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2.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pivotTables/pivotTable65.xml" ContentType="application/vnd.openxmlformats-officedocument.spreadsheetml.pivotTable+xml"/>
  <Override PartName="/xl/pivotTables/pivotTable66.xml" ContentType="application/vnd.openxmlformats-officedocument.spreadsheetml.pivotTable+xml"/>
  <Override PartName="/xl/pivotTables/pivotTable67.xml" ContentType="application/vnd.openxmlformats-officedocument.spreadsheetml.pivotTable+xml"/>
  <Override PartName="/xl/pivotTables/pivotTable68.xml" ContentType="application/vnd.openxmlformats-officedocument.spreadsheetml.pivotTable+xml"/>
  <Override PartName="/xl/pivotTables/pivotTable69.xml" ContentType="application/vnd.openxmlformats-officedocument.spreadsheetml.pivotTable+xml"/>
  <Override PartName="/xl/pivotTables/pivotTable70.xml" ContentType="application/vnd.openxmlformats-officedocument.spreadsheetml.pivotTable+xml"/>
  <Override PartName="/xl/pivotTables/pivotTable71.xml" ContentType="application/vnd.openxmlformats-officedocument.spreadsheetml.pivotTable+xml"/>
  <Override PartName="/xl/pivotTables/pivotTable72.xml" ContentType="application/vnd.openxmlformats-officedocument.spreadsheetml.pivotTable+xml"/>
  <Override PartName="/xl/pivotTables/pivotTable73.xml" ContentType="application/vnd.openxmlformats-officedocument.spreadsheetml.pivotTable+xml"/>
  <Override PartName="/xl/pivotTables/pivotTable74.xml" ContentType="application/vnd.openxmlformats-officedocument.spreadsheetml.pivotTable+xml"/>
  <Override PartName="/xl/pivotTables/pivotTable75.xml" ContentType="application/vnd.openxmlformats-officedocument.spreadsheetml.pivotTable+xml"/>
  <Override PartName="/xl/pivotTables/pivotTable76.xml" ContentType="application/vnd.openxmlformats-officedocument.spreadsheetml.pivotTable+xml"/>
  <Override PartName="/xl/pivotTables/pivotTable77.xml" ContentType="application/vnd.openxmlformats-officedocument.spreadsheetml.pivotTable+xml"/>
  <Override PartName="/xl/pivotTables/pivotTable78.xml" ContentType="application/vnd.openxmlformats-officedocument.spreadsheetml.pivotTable+xml"/>
  <Override PartName="/xl/pivotTables/pivotTable79.xml" ContentType="application/vnd.openxmlformats-officedocument.spreadsheetml.pivotTable+xml"/>
  <Override PartName="/xl/pivotTables/pivotTable80.xml" ContentType="application/vnd.openxmlformats-officedocument.spreadsheetml.pivotTable+xml"/>
  <Override PartName="/xl/pivotTables/pivotTable81.xml" ContentType="application/vnd.openxmlformats-officedocument.spreadsheetml.pivotTable+xml"/>
  <Override PartName="/xl/pivotTables/pivotTable82.xml" ContentType="application/vnd.openxmlformats-officedocument.spreadsheetml.pivotTable+xml"/>
  <Override PartName="/xl/pivotTables/pivotTable83.xml" ContentType="application/vnd.openxmlformats-officedocument.spreadsheetml.pivotTable+xml"/>
  <Override PartName="/xl/pivotTables/pivotTable84.xml" ContentType="application/vnd.openxmlformats-officedocument.spreadsheetml.pivotTable+xml"/>
  <Override PartName="/xl/pivotTables/pivotTable85.xml" ContentType="application/vnd.openxmlformats-officedocument.spreadsheetml.pivotTable+xml"/>
  <Override PartName="/xl/pivotTables/pivotTable86.xml" ContentType="application/vnd.openxmlformats-officedocument.spreadsheetml.pivotTable+xml"/>
  <Override PartName="/xl/pivotTables/pivotTable87.xml" ContentType="application/vnd.openxmlformats-officedocument.spreadsheetml.pivotTable+xml"/>
  <Override PartName="/xl/pivotTables/pivotTable88.xml" ContentType="application/vnd.openxmlformats-officedocument.spreadsheetml.pivotTable+xml"/>
  <Override PartName="/xl/pivotTables/pivotTable89.xml" ContentType="application/vnd.openxmlformats-officedocument.spreadsheetml.pivotTable+xml"/>
  <Override PartName="/xl/pivotTables/pivotTable90.xml" ContentType="application/vnd.openxmlformats-officedocument.spreadsheetml.pivotTable+xml"/>
  <Override PartName="/xl/pivotTables/pivotTable91.xml" ContentType="application/vnd.openxmlformats-officedocument.spreadsheetml.pivotTable+xml"/>
  <Override PartName="/xl/pivotTables/pivotTable92.xml" ContentType="application/vnd.openxmlformats-officedocument.spreadsheetml.pivotTable+xml"/>
  <Override PartName="/xl/pivotTables/pivotTable93.xml" ContentType="application/vnd.openxmlformats-officedocument.spreadsheetml.pivotTable+xml"/>
  <Override PartName="/xl/pivotTables/pivotTable94.xml" ContentType="application/vnd.openxmlformats-officedocument.spreadsheetml.pivotTable+xml"/>
  <Override PartName="/xl/pivotTables/pivotTable95.xml" ContentType="application/vnd.openxmlformats-officedocument.spreadsheetml.pivotTable+xml"/>
  <Override PartName="/xl/pivotTables/pivotTable96.xml" ContentType="application/vnd.openxmlformats-officedocument.spreadsheetml.pivotTable+xml"/>
  <Override PartName="/xl/pivotTables/pivotTable97.xml" ContentType="application/vnd.openxmlformats-officedocument.spreadsheetml.pivotTable+xml"/>
  <Override PartName="/xl/pivotTables/pivotTable98.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chris.williams\Desktop\"/>
    </mc:Choice>
  </mc:AlternateContent>
  <xr:revisionPtr revIDLastSave="0" documentId="13_ncr:1_{D2846F5E-8376-4597-A4D3-8D4ED870D352}" xr6:coauthVersionLast="41" xr6:coauthVersionMax="41" xr10:uidLastSave="{00000000-0000-0000-0000-000000000000}"/>
  <bookViews>
    <workbookView xWindow="-120" yWindow="-120" windowWidth="29040" windowHeight="15840" tabRatio="754" xr2:uid="{00000000-000D-0000-FFFF-FFFF00000000}"/>
  </bookViews>
  <sheets>
    <sheet name="Summary Tables" sheetId="6" r:id="rId1"/>
    <sheet name="Trajectory" sheetId="16" r:id="rId2"/>
    <sheet name="Data" sheetId="1" r:id="rId3"/>
    <sheet name="Pivots" sheetId="5" state="hidden" r:id="rId4"/>
    <sheet name="Assumptions" sheetId="17" state="hidden" r:id="rId5"/>
  </sheets>
  <externalReferences>
    <externalReference r:id="rId6"/>
    <externalReference r:id="rId7"/>
  </externalReferences>
  <definedNames>
    <definedName name="___AMR_UNIT_JULY_v1" localSheetId="1">#REF!</definedName>
    <definedName name="___AMR_UNIT_JULY_v1">#REF!</definedName>
    <definedName name="_xlnm._FilterDatabase" localSheetId="2" hidden="1">Data!$A$1:$BF$415</definedName>
    <definedName name="_xlnm._FilterDatabase" localSheetId="0" hidden="1">'Summary Tables'!$B$215:$F$235</definedName>
    <definedName name="bq" localSheetId="4">'[1]Conventional Supply Scenario 1'!#REF!</definedName>
    <definedName name="bq" localSheetId="1">'[2]Scenario 1'!#REF!</definedName>
    <definedName name="bq">'[2]Scenario 1'!#REF!</definedName>
    <definedName name="_xlnm.Print_Area" localSheetId="0">'Summary Tables'!$B$2:$R$351</definedName>
    <definedName name="_xlnm.Print_Area" localSheetId="1">Trajectory!$C$4:$X$52</definedName>
    <definedName name="_xlnm.Print_Titles" localSheetId="4">Assumptions!$5:$5</definedName>
    <definedName name="_xlnm.Print_Titles" localSheetId="2">Data!$1:$1</definedName>
    <definedName name="_xlnm.Print_Titles" localSheetId="0">'Summary Tables'!$2:$3</definedName>
    <definedName name="SURVEY_2017_MAP_LLPG">#REF!</definedName>
    <definedName name="SURVEY_COMBINED_2019_05_09___o">Data!$A$1:$BF$414</definedName>
  </definedNames>
  <calcPr calcId="191029"/>
  <pivotCaches>
    <pivotCache cacheId="0" r:id="rId8"/>
    <pivotCache cacheId="1" r:id="rId9"/>
    <pivotCache cacheId="2" r:id="rId10"/>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70" i="6" l="1"/>
  <c r="K334" i="6" l="1"/>
  <c r="H432" i="5"/>
  <c r="H433" i="5"/>
  <c r="H434" i="5"/>
  <c r="K333" i="6" s="1"/>
  <c r="H435" i="5"/>
  <c r="H436" i="5"/>
  <c r="H437" i="5"/>
  <c r="H438" i="5"/>
  <c r="H439" i="5"/>
  <c r="H440" i="5"/>
  <c r="G341" i="6"/>
  <c r="E334" i="6"/>
  <c r="H341" i="6"/>
  <c r="H336" i="6"/>
  <c r="H430" i="5" l="1"/>
  <c r="H431" i="5"/>
  <c r="K327" i="6" s="1"/>
  <c r="H429" i="5"/>
  <c r="K64" i="6" l="1"/>
  <c r="L64" i="6"/>
  <c r="M213" i="6"/>
  <c r="M209" i="6"/>
  <c r="AE18" i="1" l="1"/>
  <c r="AF18" i="1"/>
  <c r="AH19" i="1"/>
  <c r="AD2" i="1" l="1"/>
  <c r="K268" i="5" l="1"/>
  <c r="K267" i="5"/>
  <c r="K266" i="5"/>
  <c r="AD353" i="1"/>
  <c r="AD350" i="1"/>
  <c r="AD345" i="1"/>
  <c r="AD333" i="1"/>
  <c r="AD207" i="1"/>
  <c r="AD329" i="1"/>
  <c r="AD313" i="1"/>
  <c r="AD308" i="1"/>
  <c r="AD304" i="1"/>
  <c r="AD300" i="1"/>
  <c r="AD217" i="1"/>
  <c r="AD191" i="1"/>
  <c r="AD293" i="1"/>
  <c r="AD77" i="1"/>
  <c r="AD268" i="1"/>
  <c r="AE267" i="1"/>
  <c r="AD267" i="1"/>
  <c r="AL240" i="1"/>
  <c r="AL147" i="1"/>
  <c r="AD147" i="1"/>
  <c r="AD143" i="1"/>
  <c r="AL115" i="1"/>
  <c r="AD115" i="1"/>
  <c r="AE3" i="1" l="1"/>
  <c r="AE2" i="1"/>
  <c r="AE21" i="1" l="1"/>
  <c r="AL21" i="1"/>
  <c r="H446" i="5" l="1"/>
  <c r="AL114" i="1"/>
  <c r="AK114" i="1"/>
  <c r="AJ114" i="1"/>
  <c r="AI114" i="1"/>
  <c r="AH114" i="1"/>
  <c r="AG114" i="1"/>
  <c r="AF114" i="1"/>
  <c r="AE114" i="1"/>
  <c r="AK277" i="1" l="1"/>
  <c r="AJ277" i="1"/>
  <c r="AI277" i="1"/>
  <c r="AH277" i="1"/>
  <c r="AG277" i="1"/>
  <c r="AF277" i="1"/>
  <c r="AE277" i="1"/>
  <c r="AL113" i="1" l="1"/>
  <c r="AE13" i="1"/>
  <c r="AL313" i="1" l="1"/>
  <c r="AH313" i="1"/>
  <c r="AG313" i="1"/>
  <c r="AF313" i="1"/>
  <c r="AE313" i="1"/>
  <c r="G57" i="5" l="1"/>
  <c r="H37" i="6" s="1"/>
  <c r="G48" i="5"/>
  <c r="H36" i="6" s="1"/>
  <c r="G39" i="5"/>
  <c r="H35" i="6" s="1"/>
  <c r="G30" i="5"/>
  <c r="H34" i="6" s="1"/>
  <c r="G22" i="5"/>
  <c r="H33" i="6" s="1"/>
  <c r="G14" i="5"/>
  <c r="H32" i="6" s="1"/>
  <c r="R13" i="16"/>
  <c r="P7" i="16"/>
  <c r="T7" i="16"/>
  <c r="V7" i="16"/>
  <c r="R7" i="16"/>
  <c r="S7" i="16"/>
  <c r="Q7" i="16"/>
  <c r="U7" i="16"/>
  <c r="H12" i="16" l="1"/>
  <c r="H13" i="16" s="1"/>
  <c r="D12" i="16"/>
  <c r="H10" i="16"/>
  <c r="I10" i="16" s="1"/>
  <c r="J10" i="16" s="1"/>
  <c r="K10" i="16" s="1"/>
  <c r="L10" i="16" s="1"/>
  <c r="M10" i="16" s="1"/>
  <c r="N10" i="16" s="1"/>
  <c r="O10" i="16" s="1"/>
  <c r="P10" i="16" s="1"/>
  <c r="Q10" i="16" s="1"/>
  <c r="R10" i="16" s="1"/>
  <c r="S10" i="16" s="1"/>
  <c r="T10" i="16" s="1"/>
  <c r="U10" i="16" s="1"/>
  <c r="V10" i="16" s="1"/>
  <c r="W10" i="16" s="1"/>
  <c r="X10" i="16" s="1"/>
  <c r="D10" i="16"/>
  <c r="E10" i="16" s="1"/>
  <c r="F10" i="16" s="1"/>
  <c r="G10" i="16" s="1"/>
  <c r="H8" i="16"/>
  <c r="D8" i="16"/>
  <c r="I5" i="16"/>
  <c r="J5" i="16" s="1"/>
  <c r="K5" i="16" s="1"/>
  <c r="L5" i="16" s="1"/>
  <c r="M5" i="16" s="1"/>
  <c r="N5" i="16" s="1"/>
  <c r="O5" i="16" s="1"/>
  <c r="P5" i="16" s="1"/>
  <c r="Q5" i="16" s="1"/>
  <c r="E5" i="16"/>
  <c r="F5" i="16" s="1"/>
  <c r="G5" i="16" s="1"/>
  <c r="O7" i="16"/>
  <c r="N7" i="16"/>
  <c r="K6" i="16"/>
  <c r="M7" i="16"/>
  <c r="L7" i="16"/>
  <c r="E12" i="16" l="1"/>
  <c r="I12" i="16"/>
  <c r="I13" i="16" s="1"/>
  <c r="I8" i="16"/>
  <c r="J12" i="16" s="1"/>
  <c r="J13" i="16" s="1"/>
  <c r="E8" i="16"/>
  <c r="F12" i="16" s="1"/>
  <c r="F8" i="16"/>
  <c r="D11" i="16"/>
  <c r="H11" i="16"/>
  <c r="H458" i="5"/>
  <c r="H457" i="5"/>
  <c r="M341" i="6" s="1"/>
  <c r="H456" i="5"/>
  <c r="M339" i="6" s="1"/>
  <c r="H455" i="5"/>
  <c r="M338" i="6" s="1"/>
  <c r="H454" i="5"/>
  <c r="M336" i="6" s="1"/>
  <c r="H453" i="5"/>
  <c r="M335" i="6" s="1"/>
  <c r="H452" i="5"/>
  <c r="M334" i="6" s="1"/>
  <c r="H451" i="5"/>
  <c r="M333" i="6" s="1"/>
  <c r="H450" i="5"/>
  <c r="M332" i="6" s="1"/>
  <c r="H449" i="5"/>
  <c r="M329" i="6" s="1"/>
  <c r="H448" i="5"/>
  <c r="M327" i="6" s="1"/>
  <c r="H447" i="5"/>
  <c r="M326" i="6" s="1"/>
  <c r="M325" i="6"/>
  <c r="E11" i="16" l="1"/>
  <c r="I11" i="16"/>
  <c r="J8" i="16"/>
  <c r="K8" i="16" s="1"/>
  <c r="F11" i="16"/>
  <c r="G8" i="16"/>
  <c r="G11" i="16" s="1"/>
  <c r="G12" i="16"/>
  <c r="J11" i="16"/>
  <c r="K12" i="16"/>
  <c r="K13" i="16" s="1"/>
  <c r="K329" i="6"/>
  <c r="K335" i="6"/>
  <c r="E294" i="6"/>
  <c r="E230" i="6"/>
  <c r="E261" i="6"/>
  <c r="E311" i="6"/>
  <c r="E325" i="6"/>
  <c r="F250" i="6"/>
  <c r="D309" i="6"/>
  <c r="D211" i="6"/>
  <c r="F221" i="6"/>
  <c r="F222" i="6"/>
  <c r="H311" i="6"/>
  <c r="E221" i="6"/>
  <c r="G260" i="6"/>
  <c r="H337" i="6"/>
  <c r="D296" i="6"/>
  <c r="F325" i="6"/>
  <c r="G330" i="6"/>
  <c r="F251" i="6"/>
  <c r="E232" i="6"/>
  <c r="E329" i="6"/>
  <c r="E220" i="6"/>
  <c r="M210" i="6"/>
  <c r="F224" i="6"/>
  <c r="G194" i="6"/>
  <c r="G336" i="6"/>
  <c r="D210" i="6"/>
  <c r="F230" i="6"/>
  <c r="F227" i="6"/>
  <c r="F220" i="6"/>
  <c r="F249" i="6"/>
  <c r="E307" i="6"/>
  <c r="E254" i="6"/>
  <c r="F307" i="6"/>
  <c r="F248" i="6"/>
  <c r="E253" i="6"/>
  <c r="F218" i="6"/>
  <c r="F340" i="6"/>
  <c r="E298" i="6"/>
  <c r="J338" i="6"/>
  <c r="F257" i="6"/>
  <c r="G252" i="6"/>
  <c r="G225" i="6"/>
  <c r="I324" i="6"/>
  <c r="H296" i="6"/>
  <c r="E219" i="6"/>
  <c r="F254" i="6"/>
  <c r="H298" i="6"/>
  <c r="E234" i="6"/>
  <c r="F253" i="6"/>
  <c r="G338" i="6"/>
  <c r="I328" i="6"/>
  <c r="F286" i="6"/>
  <c r="J332" i="6"/>
  <c r="F259" i="6"/>
  <c r="F298" i="6"/>
  <c r="F244" i="6"/>
  <c r="E330" i="6"/>
  <c r="E335" i="6"/>
  <c r="E252" i="6"/>
  <c r="E309" i="6"/>
  <c r="F324" i="6"/>
  <c r="E332" i="6"/>
  <c r="E249" i="6"/>
  <c r="E245" i="6"/>
  <c r="D209" i="6"/>
  <c r="G244" i="6"/>
  <c r="G259" i="6"/>
  <c r="G219" i="6"/>
  <c r="H330" i="6"/>
  <c r="F219" i="6"/>
  <c r="G221" i="6"/>
  <c r="F326" i="6"/>
  <c r="E231" i="6"/>
  <c r="G294" i="6"/>
  <c r="G249" i="6"/>
  <c r="D311" i="6"/>
  <c r="E224" i="6"/>
  <c r="G248" i="6"/>
  <c r="G246" i="6"/>
  <c r="I326" i="6"/>
  <c r="E328" i="6"/>
  <c r="H338" i="6"/>
  <c r="E258" i="6"/>
  <c r="G325" i="6"/>
  <c r="J330" i="6"/>
  <c r="G223" i="6"/>
  <c r="E248" i="6"/>
  <c r="F341" i="6"/>
  <c r="F252" i="6"/>
  <c r="H328" i="6"/>
  <c r="F282" i="6"/>
  <c r="F311" i="6"/>
  <c r="F232" i="6"/>
  <c r="F223" i="6"/>
  <c r="J334" i="6"/>
  <c r="G309" i="6"/>
  <c r="F339" i="6"/>
  <c r="F258" i="6"/>
  <c r="E222" i="6"/>
  <c r="H327" i="6"/>
  <c r="F246" i="6"/>
  <c r="F229" i="6"/>
  <c r="E228" i="6"/>
  <c r="E223" i="6"/>
  <c r="F334" i="6"/>
  <c r="H294" i="6"/>
  <c r="J326" i="6"/>
  <c r="G235" i="6"/>
  <c r="G327" i="6"/>
  <c r="G228" i="6"/>
  <c r="E339" i="6"/>
  <c r="F330" i="6"/>
  <c r="H333" i="6"/>
  <c r="H282" i="6"/>
  <c r="E251" i="6"/>
  <c r="G298" i="6"/>
  <c r="E326" i="6"/>
  <c r="H284" i="6"/>
  <c r="H309" i="6"/>
  <c r="G334" i="6"/>
  <c r="G337" i="6"/>
  <c r="E247" i="6"/>
  <c r="G250" i="6"/>
  <c r="E235" i="6"/>
  <c r="F336" i="6"/>
  <c r="G218" i="6"/>
  <c r="E286" i="6"/>
  <c r="G245" i="6"/>
  <c r="F332" i="6"/>
  <c r="E282" i="6"/>
  <c r="E244" i="6"/>
  <c r="J328" i="6"/>
  <c r="D286" i="6"/>
  <c r="E338" i="6"/>
  <c r="G307" i="6"/>
  <c r="E284" i="6"/>
  <c r="G339" i="6"/>
  <c r="H332" i="6"/>
  <c r="F296" i="6"/>
  <c r="G224" i="6"/>
  <c r="F255" i="6"/>
  <c r="H325" i="6"/>
  <c r="F233" i="6"/>
  <c r="G340" i="6"/>
  <c r="H324" i="6"/>
  <c r="G234" i="6"/>
  <c r="D282" i="6"/>
  <c r="D294" i="6"/>
  <c r="G227" i="6"/>
  <c r="F335" i="6"/>
  <c r="G255" i="6"/>
  <c r="G284" i="6"/>
  <c r="G231" i="6"/>
  <c r="F338" i="6"/>
  <c r="G254" i="6"/>
  <c r="F333" i="6"/>
  <c r="E229" i="6"/>
  <c r="H334" i="6"/>
  <c r="F328" i="6"/>
  <c r="G282" i="6"/>
  <c r="G311" i="6"/>
  <c r="F261" i="6"/>
  <c r="F329" i="6"/>
  <c r="G229" i="6"/>
  <c r="G286" i="6"/>
  <c r="J324" i="6"/>
  <c r="E337" i="6"/>
  <c r="G233" i="6"/>
  <c r="E324" i="6"/>
  <c r="H339" i="6"/>
  <c r="G253" i="6"/>
  <c r="F260" i="6"/>
  <c r="E336" i="6"/>
  <c r="H335" i="6"/>
  <c r="G222" i="6"/>
  <c r="F231" i="6"/>
  <c r="F226" i="6"/>
  <c r="G232" i="6"/>
  <c r="E227" i="6"/>
  <c r="E333" i="6"/>
  <c r="E255" i="6"/>
  <c r="G328" i="6"/>
  <c r="E218" i="6"/>
  <c r="F294" i="6"/>
  <c r="F327" i="6"/>
  <c r="D298" i="6"/>
  <c r="F235" i="6"/>
  <c r="I336" i="6"/>
  <c r="E296" i="6"/>
  <c r="D208" i="6"/>
  <c r="H340" i="6"/>
  <c r="F245" i="6"/>
  <c r="G335" i="6"/>
  <c r="E246" i="6"/>
  <c r="E331" i="6"/>
  <c r="F247" i="6"/>
  <c r="H326" i="6"/>
  <c r="F228" i="6"/>
  <c r="E260" i="6"/>
  <c r="E257" i="6"/>
  <c r="F284" i="6"/>
  <c r="H286" i="6"/>
  <c r="E226" i="6"/>
  <c r="E259" i="6"/>
  <c r="F194" i="6"/>
  <c r="G333" i="6"/>
  <c r="G258" i="6"/>
  <c r="E340" i="6"/>
  <c r="H307" i="6"/>
  <c r="E327" i="6"/>
  <c r="G226" i="6"/>
  <c r="G247" i="6"/>
  <c r="F225" i="6"/>
  <c r="J333" i="6"/>
  <c r="G332" i="6"/>
  <c r="E233" i="6"/>
  <c r="F309" i="6"/>
  <c r="G261" i="6"/>
  <c r="G251" i="6"/>
  <c r="G296" i="6"/>
  <c r="J339" i="6"/>
  <c r="E250" i="6"/>
  <c r="G257" i="6"/>
  <c r="D284" i="6"/>
  <c r="F234" i="6"/>
  <c r="G326" i="6"/>
  <c r="D307" i="6"/>
  <c r="J325" i="6"/>
  <c r="G220" i="6"/>
  <c r="L327" i="6" l="1"/>
  <c r="L340" i="6"/>
  <c r="L331" i="6"/>
  <c r="L333" i="6"/>
  <c r="L336" i="6"/>
  <c r="L324" i="6"/>
  <c r="L337" i="6"/>
  <c r="L338" i="6"/>
  <c r="L326" i="6"/>
  <c r="L339" i="6"/>
  <c r="L334" i="6"/>
  <c r="L341" i="6"/>
  <c r="L328" i="6"/>
  <c r="L332" i="6"/>
  <c r="L335" i="6"/>
  <c r="L330" i="6"/>
  <c r="L329" i="6"/>
  <c r="L325" i="6"/>
  <c r="L8" i="16"/>
  <c r="L12" i="16"/>
  <c r="L13" i="16" s="1"/>
  <c r="K11" i="16"/>
  <c r="D212" i="6"/>
  <c r="K342" i="6"/>
  <c r="F196" i="6"/>
  <c r="F195" i="6"/>
  <c r="G195" i="6"/>
  <c r="G196" i="6"/>
  <c r="H194" i="6"/>
  <c r="J194" i="6" s="1"/>
  <c r="C200" i="6" s="1"/>
  <c r="D169" i="6"/>
  <c r="F172" i="6"/>
  <c r="F171" i="6"/>
  <c r="F168" i="6"/>
  <c r="F170" i="6"/>
  <c r="D172" i="6"/>
  <c r="D171" i="6"/>
  <c r="F169" i="6"/>
  <c r="D168" i="6"/>
  <c r="D170" i="6"/>
  <c r="L342" i="6" l="1"/>
  <c r="H172" i="6"/>
  <c r="H171" i="6"/>
  <c r="H168" i="6"/>
  <c r="H169" i="6"/>
  <c r="D173" i="6"/>
  <c r="F173" i="6"/>
  <c r="M12" i="16"/>
  <c r="M13" i="16" s="1"/>
  <c r="L11" i="16"/>
  <c r="M8" i="16"/>
  <c r="I194" i="6"/>
  <c r="H173" i="6" l="1"/>
  <c r="I173" i="6" s="1"/>
  <c r="M11" i="16"/>
  <c r="N8" i="16"/>
  <c r="N12" i="16"/>
  <c r="N13" i="16" s="1"/>
  <c r="I171" i="6" l="1"/>
  <c r="I172" i="6"/>
  <c r="I168" i="6"/>
  <c r="I169" i="6"/>
  <c r="I170" i="6"/>
  <c r="N11" i="16"/>
  <c r="O8" i="16"/>
  <c r="O12" i="16"/>
  <c r="O13" i="16" s="1"/>
  <c r="P8" i="16" l="1"/>
  <c r="Q12" i="16" s="1"/>
  <c r="P12" i="16"/>
  <c r="P13" i="16" s="1"/>
  <c r="O11" i="16"/>
  <c r="Q13" i="16" l="1"/>
  <c r="P11" i="16"/>
  <c r="Q8" i="16"/>
  <c r="Q11" i="16" l="1"/>
  <c r="R8" i="16"/>
  <c r="R11" i="16" l="1"/>
  <c r="S8" i="16"/>
  <c r="T8" i="16" l="1"/>
  <c r="S11" i="16"/>
  <c r="T11" i="16" l="1"/>
  <c r="U8" i="16"/>
  <c r="U11" i="16" l="1"/>
  <c r="V8" i="16"/>
  <c r="V11" i="16" l="1"/>
  <c r="W8" i="16"/>
  <c r="X8" i="16" l="1"/>
  <c r="X11" i="16" s="1"/>
  <c r="W11" i="16"/>
  <c r="D130" i="6" l="1"/>
  <c r="F130" i="6"/>
  <c r="G131" i="6"/>
  <c r="F131" i="6" s="1"/>
  <c r="G132" i="6"/>
  <c r="D132" i="6" s="1"/>
  <c r="G133" i="6"/>
  <c r="D133" i="6" s="1"/>
  <c r="G134" i="6"/>
  <c r="F134" i="6" s="1"/>
  <c r="G135" i="6"/>
  <c r="D135" i="6" s="1"/>
  <c r="G136" i="6"/>
  <c r="D136" i="6" s="1"/>
  <c r="G137" i="6"/>
  <c r="D137" i="6" s="1"/>
  <c r="D131" i="6" l="1"/>
  <c r="F135" i="6"/>
  <c r="D134" i="6"/>
  <c r="F132" i="6"/>
  <c r="F137" i="6"/>
  <c r="F133" i="6"/>
  <c r="F136" i="6"/>
  <c r="D107" i="6"/>
  <c r="E106" i="6"/>
  <c r="H61" i="6"/>
  <c r="F107" i="6"/>
  <c r="F106" i="6"/>
  <c r="F61" i="6"/>
  <c r="E107" i="6"/>
  <c r="D106" i="6"/>
  <c r="D114" i="6" l="1"/>
  <c r="M74" i="6"/>
  <c r="F59" i="6"/>
  <c r="E62" i="6"/>
  <c r="G61" i="6"/>
  <c r="H47" i="6"/>
  <c r="E72" i="6"/>
  <c r="G73" i="6"/>
  <c r="N62" i="6"/>
  <c r="G59" i="6"/>
  <c r="I47" i="6"/>
  <c r="F62" i="6"/>
  <c r="H59" i="6"/>
  <c r="E49" i="6"/>
  <c r="G47" i="6"/>
  <c r="J48" i="6"/>
  <c r="J49" i="6"/>
  <c r="H60" i="6"/>
  <c r="E71" i="6"/>
  <c r="J71" i="6"/>
  <c r="H73" i="6"/>
  <c r="I72" i="6"/>
  <c r="F60" i="6"/>
  <c r="F71" i="6"/>
  <c r="J73" i="6"/>
  <c r="I71" i="6"/>
  <c r="E50" i="6"/>
  <c r="G48" i="6"/>
  <c r="J60" i="6"/>
  <c r="I48" i="6"/>
  <c r="I49" i="6"/>
  <c r="E74" i="6"/>
  <c r="N74" i="6"/>
  <c r="I73" i="6"/>
  <c r="G49" i="6"/>
  <c r="J72" i="6"/>
  <c r="J61" i="6"/>
  <c r="H72" i="6"/>
  <c r="J59" i="6"/>
  <c r="M62" i="6"/>
  <c r="H71" i="6"/>
  <c r="F73" i="6"/>
  <c r="J47" i="6"/>
  <c r="F50" i="6"/>
  <c r="H48" i="6"/>
  <c r="I61" i="6"/>
  <c r="G71" i="6"/>
  <c r="E73" i="6"/>
  <c r="G72" i="6"/>
  <c r="E48" i="6"/>
  <c r="F49" i="6"/>
  <c r="E47" i="6"/>
  <c r="E61" i="6"/>
  <c r="I60" i="6"/>
  <c r="G60" i="6"/>
  <c r="H49" i="6"/>
  <c r="E59" i="6"/>
  <c r="E60" i="6"/>
  <c r="I59" i="6"/>
  <c r="F48" i="6"/>
  <c r="F74" i="6"/>
  <c r="F72" i="6"/>
  <c r="Q74" i="6" l="1"/>
  <c r="O74" i="6" s="1"/>
  <c r="E114" i="6"/>
  <c r="F114" i="6"/>
  <c r="C143" i="6"/>
  <c r="C144" i="6" s="1"/>
  <c r="J64" i="6"/>
  <c r="N61" i="6"/>
  <c r="C102" i="6"/>
  <c r="F47" i="6"/>
  <c r="R61" i="6" l="1"/>
  <c r="D115" i="6"/>
  <c r="D116" i="6" s="1"/>
  <c r="I313" i="6"/>
  <c r="I288" i="6"/>
  <c r="H192" i="6"/>
  <c r="I192" i="6" s="1"/>
  <c r="H191" i="6"/>
  <c r="J191" i="6" s="1"/>
  <c r="H190" i="6"/>
  <c r="H189" i="6"/>
  <c r="F141" i="6"/>
  <c r="D141" i="6"/>
  <c r="G140" i="6"/>
  <c r="F140" i="6" s="1"/>
  <c r="G139" i="6"/>
  <c r="F139" i="6" s="1"/>
  <c r="G138" i="6"/>
  <c r="L76" i="6"/>
  <c r="K76" i="6"/>
  <c r="R75" i="6"/>
  <c r="P75" i="6" s="1"/>
  <c r="R63" i="6"/>
  <c r="P63" i="6" s="1"/>
  <c r="AL261" i="1"/>
  <c r="AK261" i="1"/>
  <c r="AJ261" i="1"/>
  <c r="AI261" i="1"/>
  <c r="AH261" i="1"/>
  <c r="AG261" i="1"/>
  <c r="AF261" i="1"/>
  <c r="AE261" i="1"/>
  <c r="AL260" i="1"/>
  <c r="AK260" i="1"/>
  <c r="AJ260" i="1"/>
  <c r="AI260" i="1"/>
  <c r="AH260" i="1"/>
  <c r="AG260" i="1"/>
  <c r="AF260" i="1"/>
  <c r="AE260" i="1"/>
  <c r="AL246" i="1"/>
  <c r="AE246" i="1"/>
  <c r="AF246" i="1"/>
  <c r="AG246" i="1"/>
  <c r="AH246" i="1"/>
  <c r="AI246" i="1"/>
  <c r="AJ246" i="1"/>
  <c r="AK246" i="1"/>
  <c r="AE256" i="1"/>
  <c r="AF256" i="1"/>
  <c r="AG256" i="1"/>
  <c r="AH256" i="1"/>
  <c r="AI256" i="1"/>
  <c r="AJ256" i="1"/>
  <c r="AK256" i="1"/>
  <c r="AL256" i="1"/>
  <c r="AE163" i="1"/>
  <c r="AF163" i="1"/>
  <c r="AG163" i="1"/>
  <c r="AH163" i="1"/>
  <c r="AI163" i="1"/>
  <c r="AJ163" i="1"/>
  <c r="AK163" i="1"/>
  <c r="AL163" i="1"/>
  <c r="AE257" i="1"/>
  <c r="AF257" i="1"/>
  <c r="AG257" i="1"/>
  <c r="AH257" i="1"/>
  <c r="AI257" i="1"/>
  <c r="AJ257" i="1"/>
  <c r="AK257" i="1"/>
  <c r="AL257" i="1"/>
  <c r="AE164" i="1"/>
  <c r="AF164" i="1"/>
  <c r="AG164" i="1"/>
  <c r="AH164" i="1"/>
  <c r="AI164" i="1"/>
  <c r="AJ164" i="1"/>
  <c r="AK164" i="1"/>
  <c r="AL164" i="1"/>
  <c r="AE265" i="1"/>
  <c r="AF265" i="1"/>
  <c r="AG265" i="1"/>
  <c r="AH265" i="1"/>
  <c r="AI265" i="1"/>
  <c r="AJ265" i="1"/>
  <c r="AK265" i="1"/>
  <c r="AL265" i="1"/>
  <c r="AE177" i="1"/>
  <c r="AF177" i="1"/>
  <c r="AG177" i="1"/>
  <c r="AH177" i="1"/>
  <c r="AI177" i="1"/>
  <c r="AJ177" i="1"/>
  <c r="AK177" i="1"/>
  <c r="AL177" i="1"/>
  <c r="AE284" i="1"/>
  <c r="AF284" i="1"/>
  <c r="AG284" i="1"/>
  <c r="AH284" i="1"/>
  <c r="AI284" i="1"/>
  <c r="AJ284" i="1"/>
  <c r="AK284" i="1"/>
  <c r="AL284" i="1"/>
  <c r="AE293" i="1"/>
  <c r="AF293" i="1"/>
  <c r="AG293" i="1"/>
  <c r="AH293" i="1"/>
  <c r="AI293" i="1"/>
  <c r="AJ293" i="1"/>
  <c r="AK293" i="1"/>
  <c r="AL293" i="1"/>
  <c r="M8" i="6"/>
  <c r="I14" i="6"/>
  <c r="J189" i="6" l="1"/>
  <c r="L19" i="6"/>
  <c r="L20" i="6" s="1"/>
  <c r="L21" i="6" s="1"/>
  <c r="J14" i="6"/>
  <c r="K14" i="6" s="1"/>
  <c r="D140" i="6"/>
  <c r="N8" i="6"/>
  <c r="O8" i="6" s="1"/>
  <c r="J192" i="6"/>
  <c r="D139" i="6"/>
  <c r="H38" i="6"/>
  <c r="L25" i="6" s="1"/>
  <c r="I191" i="6"/>
  <c r="M342" i="6"/>
  <c r="I189" i="6"/>
  <c r="H51" i="6"/>
  <c r="J50" i="6"/>
  <c r="J51" i="6" s="1"/>
  <c r="E51" i="6"/>
  <c r="F51" i="6"/>
  <c r="I50" i="6"/>
  <c r="I51" i="6" s="1"/>
  <c r="G51" i="6"/>
  <c r="F138" i="6"/>
  <c r="D138" i="6"/>
  <c r="J190" i="6"/>
  <c r="I190" i="6"/>
  <c r="M208" i="6" l="1"/>
  <c r="G288" i="6"/>
  <c r="E288" i="6"/>
  <c r="E76" i="6"/>
  <c r="H300" i="6"/>
  <c r="G64" i="6"/>
  <c r="F76" i="6"/>
  <c r="M73" i="6"/>
  <c r="G262" i="6"/>
  <c r="F262" i="6"/>
  <c r="M60" i="6"/>
  <c r="Q60" i="6" s="1"/>
  <c r="I64" i="6"/>
  <c r="E108" i="6"/>
  <c r="M71" i="6"/>
  <c r="Q71" i="6" s="1"/>
  <c r="O71" i="6" s="1"/>
  <c r="F236" i="6"/>
  <c r="G313" i="6"/>
  <c r="F288" i="6"/>
  <c r="G300" i="6"/>
  <c r="H313" i="6"/>
  <c r="J342" i="6"/>
  <c r="M59" i="6"/>
  <c r="Q59" i="6" s="1"/>
  <c r="E64" i="6"/>
  <c r="M61" i="6"/>
  <c r="D108" i="6"/>
  <c r="J76" i="6"/>
  <c r="N72" i="6"/>
  <c r="D288" i="6"/>
  <c r="E300" i="6"/>
  <c r="F313" i="6"/>
  <c r="H342" i="6"/>
  <c r="F300" i="6"/>
  <c r="F64" i="6"/>
  <c r="G236" i="6"/>
  <c r="N59" i="6"/>
  <c r="F115" i="6" s="1"/>
  <c r="F116" i="6" s="1"/>
  <c r="R62" i="6"/>
  <c r="P62" i="6" s="1"/>
  <c r="N73" i="6"/>
  <c r="R73" i="6" s="1"/>
  <c r="P73" i="6" s="1"/>
  <c r="E236" i="6"/>
  <c r="H288" i="6"/>
  <c r="F108" i="6"/>
  <c r="E342" i="6"/>
  <c r="N60" i="6"/>
  <c r="N71" i="6"/>
  <c r="R71" i="6" s="1"/>
  <c r="P71" i="6" s="1"/>
  <c r="R74" i="6"/>
  <c r="P74" i="6" s="1"/>
  <c r="E262" i="6"/>
  <c r="Q62" i="6"/>
  <c r="O62" i="6" s="1"/>
  <c r="H193" i="6"/>
  <c r="D300" i="6"/>
  <c r="J299" i="6" s="1"/>
  <c r="E313" i="6"/>
  <c r="G342" i="6"/>
  <c r="G76" i="6"/>
  <c r="I76" i="6"/>
  <c r="M72" i="6"/>
  <c r="Q72" i="6" s="1"/>
  <c r="H64" i="6"/>
  <c r="I342" i="6"/>
  <c r="H76" i="6"/>
  <c r="D313" i="6"/>
  <c r="J312" i="6" s="1"/>
  <c r="F342" i="6"/>
  <c r="L27" i="6"/>
  <c r="H195" i="6" l="1"/>
  <c r="H196" i="6"/>
  <c r="R60" i="6"/>
  <c r="R64" i="6" s="1"/>
  <c r="E115" i="6"/>
  <c r="E116" i="6" s="1"/>
  <c r="R59" i="6"/>
  <c r="P59" i="6" s="1"/>
  <c r="E143" i="6"/>
  <c r="I193" i="6"/>
  <c r="I196" i="6" s="1"/>
  <c r="Q61" i="6"/>
  <c r="O61" i="6" s="1"/>
  <c r="N64" i="6"/>
  <c r="O59" i="6"/>
  <c r="M64" i="6"/>
  <c r="M76" i="6"/>
  <c r="J193" i="6"/>
  <c r="J196" i="6" s="1"/>
  <c r="N76" i="6"/>
  <c r="R72" i="6"/>
  <c r="P72" i="6" s="1"/>
  <c r="Q73" i="6"/>
  <c r="O73" i="6" s="1"/>
  <c r="L22" i="6"/>
  <c r="O72" i="6"/>
  <c r="O60" i="6"/>
  <c r="G143" i="6" l="1"/>
  <c r="E144" i="6"/>
  <c r="I195" i="6"/>
  <c r="J195" i="6"/>
  <c r="P60" i="6"/>
  <c r="Q64" i="6"/>
  <c r="R76" i="6"/>
  <c r="Q76" i="6"/>
  <c r="G142" i="6"/>
  <c r="P61" i="6"/>
  <c r="L23" i="6"/>
  <c r="L24" i="6" s="1"/>
  <c r="L26" i="6"/>
  <c r="G144" i="6" l="1"/>
  <c r="F144" i="6" s="1"/>
  <c r="F143" i="6"/>
  <c r="F174" i="6"/>
  <c r="D143" i="6"/>
  <c r="D174" i="6"/>
  <c r="D142" i="6"/>
  <c r="F142" i="6"/>
  <c r="D144" i="6" l="1"/>
  <c r="AL166" i="1"/>
  <c r="AL167" i="1"/>
  <c r="AK167" i="1"/>
  <c r="AJ167" i="1"/>
  <c r="AI167" i="1"/>
  <c r="AH167" i="1"/>
  <c r="AG167" i="1"/>
  <c r="AF167" i="1"/>
  <c r="AE167" i="1"/>
  <c r="AL168" i="1"/>
  <c r="AK168" i="1"/>
  <c r="AJ168" i="1"/>
  <c r="AI168" i="1"/>
  <c r="AH168" i="1"/>
  <c r="AG168" i="1"/>
  <c r="AF168" i="1"/>
  <c r="AE168" i="1"/>
  <c r="AL83" i="1" l="1"/>
  <c r="AE83" i="1" l="1"/>
  <c r="AF83" i="1"/>
  <c r="AG83" i="1"/>
  <c r="AH83" i="1"/>
  <c r="AI83" i="1"/>
  <c r="AJ83" i="1"/>
  <c r="AK83" i="1"/>
  <c r="AE183" i="1"/>
  <c r="AF183" i="1"/>
  <c r="AG183" i="1"/>
  <c r="AH183" i="1"/>
  <c r="AI183" i="1"/>
  <c r="AJ183" i="1"/>
  <c r="AK183" i="1"/>
  <c r="AE184" i="1"/>
  <c r="AF184" i="1"/>
  <c r="AG184" i="1"/>
  <c r="AH184" i="1"/>
  <c r="AI184" i="1"/>
  <c r="AJ184" i="1"/>
  <c r="AK184" i="1"/>
  <c r="AL184" i="1"/>
  <c r="AC190" i="1"/>
  <c r="AL190" i="1" s="1"/>
  <c r="AC90" i="1"/>
  <c r="AL90" i="1" s="1"/>
  <c r="AE90" i="1"/>
  <c r="AK190" i="1"/>
  <c r="AJ190" i="1"/>
  <c r="AI190" i="1"/>
  <c r="AH190" i="1"/>
  <c r="AG190" i="1"/>
  <c r="AF190" i="1"/>
  <c r="AE190" i="1"/>
  <c r="AL26" i="1" l="1"/>
  <c r="AK26" i="1"/>
  <c r="AJ26" i="1"/>
  <c r="AI26" i="1"/>
  <c r="AH26" i="1"/>
  <c r="AG26" i="1"/>
  <c r="AF26" i="1"/>
  <c r="AE26" i="1"/>
  <c r="AL13" i="1" l="1"/>
  <c r="AL15" i="1"/>
  <c r="AK15" i="1"/>
  <c r="AJ15" i="1"/>
  <c r="AI15" i="1"/>
  <c r="AH15" i="1"/>
  <c r="AG15" i="1"/>
  <c r="AF15" i="1"/>
  <c r="AE15" i="1"/>
  <c r="AE12" i="1"/>
  <c r="AF12" i="1"/>
  <c r="AG12" i="1"/>
  <c r="AH12" i="1"/>
  <c r="AI12" i="1"/>
  <c r="AJ12" i="1"/>
  <c r="AK12" i="1"/>
  <c r="AL12" i="1"/>
  <c r="AF13" i="1"/>
  <c r="AG13" i="1"/>
  <c r="AH13" i="1"/>
  <c r="AI13" i="1"/>
  <c r="AJ13" i="1"/>
  <c r="AK13" i="1"/>
  <c r="AE14" i="1"/>
  <c r="AF14" i="1"/>
  <c r="AG14" i="1"/>
  <c r="AH14" i="1"/>
  <c r="AI14" i="1"/>
  <c r="AJ14" i="1"/>
  <c r="AK14" i="1"/>
  <c r="AL14" i="1"/>
  <c r="AE16" i="1"/>
  <c r="AF16" i="1"/>
  <c r="AG16" i="1"/>
  <c r="AH16" i="1"/>
  <c r="AI16" i="1"/>
  <c r="AJ16" i="1"/>
  <c r="AK16" i="1"/>
  <c r="AL16" i="1"/>
  <c r="AE122" i="1"/>
  <c r="AF122" i="1"/>
  <c r="AG122" i="1"/>
  <c r="AH122" i="1"/>
  <c r="AI122" i="1"/>
  <c r="AJ122" i="1"/>
  <c r="AK122" i="1"/>
  <c r="AL122" i="1"/>
  <c r="AE17" i="1"/>
  <c r="AF17" i="1"/>
  <c r="AG17" i="1"/>
  <c r="AH17" i="1"/>
  <c r="AI17" i="1"/>
  <c r="AJ17" i="1"/>
  <c r="AK17" i="1"/>
  <c r="AL17" i="1"/>
  <c r="AE19" i="1"/>
  <c r="AF19" i="1"/>
  <c r="AG19" i="1"/>
  <c r="AI19" i="1"/>
  <c r="AJ19" i="1"/>
  <c r="AK19" i="1"/>
  <c r="AL19" i="1"/>
  <c r="AE20" i="1"/>
  <c r="AF20" i="1"/>
  <c r="AG20" i="1"/>
  <c r="AH20" i="1"/>
  <c r="AI20" i="1"/>
  <c r="AJ20" i="1"/>
  <c r="AK20" i="1"/>
  <c r="AL20" i="1"/>
  <c r="AE22" i="1"/>
  <c r="AF22" i="1"/>
  <c r="AG22" i="1"/>
  <c r="AH22" i="1"/>
  <c r="AI22" i="1"/>
  <c r="AJ22" i="1"/>
  <c r="AK22" i="1"/>
  <c r="AL22" i="1"/>
  <c r="AE126" i="1"/>
  <c r="AF126" i="1"/>
  <c r="AG126" i="1"/>
  <c r="AH126" i="1"/>
  <c r="AI126" i="1"/>
  <c r="AJ126" i="1"/>
  <c r="AK126" i="1"/>
  <c r="AL126" i="1"/>
  <c r="AE23" i="1"/>
  <c r="AF23" i="1"/>
  <c r="AG23" i="1"/>
  <c r="AH23" i="1"/>
  <c r="AI23" i="1"/>
  <c r="AJ23" i="1"/>
  <c r="AK23" i="1"/>
  <c r="AL23" i="1"/>
  <c r="AE24" i="1"/>
  <c r="AF24" i="1"/>
  <c r="AG24" i="1"/>
  <c r="AH24" i="1"/>
  <c r="AI24" i="1"/>
  <c r="AJ24" i="1"/>
  <c r="AK24" i="1"/>
  <c r="AL24" i="1"/>
  <c r="AE25" i="1"/>
  <c r="AF25" i="1"/>
  <c r="AG25" i="1"/>
  <c r="AH25" i="1"/>
  <c r="AI25" i="1"/>
  <c r="AJ25" i="1"/>
  <c r="AK25" i="1"/>
  <c r="AL25" i="1"/>
  <c r="AE28" i="1"/>
  <c r="AF28" i="1"/>
  <c r="AG28" i="1"/>
  <c r="AH28" i="1"/>
  <c r="AI28" i="1"/>
  <c r="AJ28" i="1"/>
  <c r="AK28" i="1"/>
  <c r="AL28" i="1"/>
  <c r="AE29" i="1"/>
  <c r="AF29" i="1"/>
  <c r="AG29" i="1"/>
  <c r="AH29" i="1"/>
  <c r="AI29" i="1"/>
  <c r="AJ29" i="1"/>
  <c r="AK29" i="1"/>
  <c r="AL29" i="1"/>
  <c r="AE31" i="1"/>
  <c r="AF31" i="1"/>
  <c r="AG31" i="1"/>
  <c r="AH31" i="1"/>
  <c r="AI31" i="1"/>
  <c r="AJ31" i="1"/>
  <c r="AK31" i="1"/>
  <c r="AL31" i="1"/>
  <c r="AE32" i="1"/>
  <c r="AF32" i="1"/>
  <c r="AG32" i="1"/>
  <c r="AH32" i="1"/>
  <c r="AI32" i="1"/>
  <c r="AJ32" i="1"/>
  <c r="AK32" i="1"/>
  <c r="AL32" i="1"/>
  <c r="AE34" i="1"/>
  <c r="AF34" i="1"/>
  <c r="AG34" i="1"/>
  <c r="AH34" i="1"/>
  <c r="AI34" i="1"/>
  <c r="AJ34" i="1"/>
  <c r="AK34" i="1"/>
  <c r="AL34" i="1"/>
  <c r="AE36" i="1"/>
  <c r="AF36" i="1"/>
  <c r="AG36" i="1"/>
  <c r="AH36" i="1"/>
  <c r="AI36" i="1"/>
  <c r="AJ36" i="1"/>
  <c r="AK36" i="1"/>
  <c r="AL36" i="1"/>
  <c r="AE37" i="1"/>
  <c r="AF37" i="1"/>
  <c r="AG37" i="1"/>
  <c r="AH37" i="1"/>
  <c r="AI37" i="1"/>
  <c r="AJ37" i="1"/>
  <c r="AK37" i="1"/>
  <c r="AL37" i="1"/>
  <c r="AE38" i="1"/>
  <c r="AF38" i="1"/>
  <c r="AG38" i="1"/>
  <c r="AH38" i="1"/>
  <c r="AI38" i="1"/>
  <c r="AJ38" i="1"/>
  <c r="AK38" i="1"/>
  <c r="AL38" i="1"/>
  <c r="AE39" i="1"/>
  <c r="AF39" i="1"/>
  <c r="AG39" i="1"/>
  <c r="AH39" i="1"/>
  <c r="AI39" i="1"/>
  <c r="AJ39" i="1"/>
  <c r="AK39" i="1"/>
  <c r="AL39" i="1"/>
  <c r="AE145" i="1"/>
  <c r="AF145" i="1"/>
  <c r="AG145" i="1"/>
  <c r="AH145" i="1"/>
  <c r="AI145" i="1"/>
  <c r="AJ145" i="1"/>
  <c r="AK145" i="1"/>
  <c r="AL145" i="1"/>
  <c r="AE42" i="1"/>
  <c r="AF42" i="1"/>
  <c r="AG42" i="1"/>
  <c r="AH42" i="1"/>
  <c r="AI42" i="1"/>
  <c r="AJ42" i="1"/>
  <c r="AK42" i="1"/>
  <c r="AL42" i="1"/>
  <c r="AE44" i="1"/>
  <c r="AF44" i="1"/>
  <c r="AG44" i="1"/>
  <c r="AH44" i="1"/>
  <c r="AI44" i="1"/>
  <c r="AJ44" i="1"/>
  <c r="AK44" i="1"/>
  <c r="AL44" i="1"/>
  <c r="AE45" i="1"/>
  <c r="AF45" i="1"/>
  <c r="AG45" i="1"/>
  <c r="AH45" i="1"/>
  <c r="AI45" i="1"/>
  <c r="AJ45" i="1"/>
  <c r="AK45" i="1"/>
  <c r="AL45" i="1"/>
  <c r="AE46" i="1"/>
  <c r="AF46" i="1"/>
  <c r="AG46" i="1"/>
  <c r="AH46" i="1"/>
  <c r="AI46" i="1"/>
  <c r="AJ46" i="1"/>
  <c r="AK46" i="1"/>
  <c r="AL46" i="1"/>
  <c r="AE48" i="1"/>
  <c r="AF48" i="1"/>
  <c r="AG48" i="1"/>
  <c r="AH48" i="1"/>
  <c r="AI48" i="1"/>
  <c r="AJ48" i="1"/>
  <c r="AK48" i="1"/>
  <c r="AL48" i="1"/>
  <c r="AE49" i="1"/>
  <c r="AF49" i="1"/>
  <c r="AG49" i="1"/>
  <c r="AH49" i="1"/>
  <c r="AI49" i="1"/>
  <c r="AJ49" i="1"/>
  <c r="AK49" i="1"/>
  <c r="AL49" i="1"/>
  <c r="AE50" i="1"/>
  <c r="AF50" i="1"/>
  <c r="AG50" i="1"/>
  <c r="AH50" i="1"/>
  <c r="AI50" i="1"/>
  <c r="AJ50" i="1"/>
  <c r="AK50" i="1"/>
  <c r="AL50" i="1"/>
  <c r="AE52" i="1"/>
  <c r="AF52" i="1"/>
  <c r="AG52" i="1"/>
  <c r="AH52" i="1"/>
  <c r="AI52" i="1"/>
  <c r="AJ52" i="1"/>
  <c r="AK52" i="1"/>
  <c r="AL52" i="1"/>
  <c r="AE53" i="1"/>
  <c r="AF53" i="1"/>
  <c r="AG53" i="1"/>
  <c r="AH53" i="1"/>
  <c r="AI53" i="1"/>
  <c r="AJ53" i="1"/>
  <c r="AK53" i="1"/>
  <c r="AL53" i="1"/>
  <c r="AE54" i="1"/>
  <c r="AF54" i="1"/>
  <c r="AG54" i="1"/>
  <c r="AH54" i="1"/>
  <c r="AI54" i="1"/>
  <c r="AJ54" i="1"/>
  <c r="AK54" i="1"/>
  <c r="AL54" i="1"/>
  <c r="AE55" i="1"/>
  <c r="AF55" i="1"/>
  <c r="AG55" i="1"/>
  <c r="AH55" i="1"/>
  <c r="AI55" i="1"/>
  <c r="AJ55" i="1"/>
  <c r="AK55" i="1"/>
  <c r="AL55" i="1"/>
  <c r="AE56" i="1"/>
  <c r="AF56" i="1"/>
  <c r="AG56" i="1"/>
  <c r="AH56" i="1"/>
  <c r="AI56" i="1"/>
  <c r="AJ56" i="1"/>
  <c r="AK56" i="1"/>
  <c r="AL56" i="1"/>
  <c r="AE59" i="1"/>
  <c r="AF59" i="1"/>
  <c r="AG59" i="1"/>
  <c r="AH59" i="1"/>
  <c r="AI59" i="1"/>
  <c r="AJ59" i="1"/>
  <c r="AK59" i="1"/>
  <c r="AL59" i="1"/>
  <c r="AE60" i="1"/>
  <c r="AF60" i="1"/>
  <c r="AG60" i="1"/>
  <c r="AH60" i="1"/>
  <c r="AI60" i="1"/>
  <c r="AJ60" i="1"/>
  <c r="AK60" i="1"/>
  <c r="AL60" i="1"/>
  <c r="AE62" i="1"/>
  <c r="AF62" i="1"/>
  <c r="AG62" i="1"/>
  <c r="AH62" i="1"/>
  <c r="AI62" i="1"/>
  <c r="AJ62" i="1"/>
  <c r="AK62" i="1"/>
  <c r="AL62" i="1"/>
  <c r="AE63" i="1"/>
  <c r="AF63" i="1"/>
  <c r="AG63" i="1"/>
  <c r="AH63" i="1"/>
  <c r="AI63" i="1"/>
  <c r="AJ63" i="1"/>
  <c r="AK63" i="1"/>
  <c r="AL63" i="1"/>
  <c r="AE64" i="1"/>
  <c r="AF64" i="1"/>
  <c r="AG64" i="1"/>
  <c r="AH64" i="1"/>
  <c r="AI64" i="1"/>
  <c r="AJ64" i="1"/>
  <c r="AK64" i="1"/>
  <c r="AL64" i="1"/>
  <c r="AE65" i="1"/>
  <c r="AF65" i="1"/>
  <c r="AG65" i="1"/>
  <c r="AH65" i="1"/>
  <c r="AI65" i="1"/>
  <c r="AJ65" i="1"/>
  <c r="AK65" i="1"/>
  <c r="AL65" i="1"/>
  <c r="AE66" i="1"/>
  <c r="AF66" i="1"/>
  <c r="AG66" i="1"/>
  <c r="AH66" i="1"/>
  <c r="AI66" i="1"/>
  <c r="AJ66" i="1"/>
  <c r="AK66" i="1"/>
  <c r="AL66" i="1"/>
  <c r="AE69" i="1"/>
  <c r="AF69" i="1"/>
  <c r="AG69" i="1"/>
  <c r="AH69" i="1"/>
  <c r="AI69" i="1"/>
  <c r="AJ69" i="1"/>
  <c r="AK69" i="1"/>
  <c r="AL69" i="1"/>
  <c r="AE70" i="1"/>
  <c r="AF70" i="1"/>
  <c r="AG70" i="1"/>
  <c r="AH70" i="1"/>
  <c r="AI70" i="1"/>
  <c r="AJ70" i="1"/>
  <c r="AK70" i="1"/>
  <c r="AL70" i="1"/>
  <c r="AE71" i="1"/>
  <c r="AF71" i="1"/>
  <c r="AG71" i="1"/>
  <c r="AH71" i="1"/>
  <c r="AI71" i="1"/>
  <c r="AJ71" i="1"/>
  <c r="AK71" i="1"/>
  <c r="AL71" i="1"/>
  <c r="AE73" i="1"/>
  <c r="AF73" i="1"/>
  <c r="AG73" i="1"/>
  <c r="AH73" i="1"/>
  <c r="AI73" i="1"/>
  <c r="AJ73" i="1"/>
  <c r="AK73" i="1"/>
  <c r="AL73" i="1"/>
  <c r="AE75" i="1"/>
  <c r="AF75" i="1"/>
  <c r="AG75" i="1"/>
  <c r="AH75" i="1"/>
  <c r="AI75" i="1"/>
  <c r="AJ75" i="1"/>
  <c r="AK75" i="1"/>
  <c r="AL75" i="1"/>
  <c r="AE76" i="1"/>
  <c r="AF76" i="1"/>
  <c r="AG76" i="1"/>
  <c r="AH76" i="1"/>
  <c r="AI76" i="1"/>
  <c r="AJ76" i="1"/>
  <c r="AK76" i="1"/>
  <c r="AL76" i="1"/>
  <c r="AE77" i="1"/>
  <c r="AF77" i="1"/>
  <c r="AG77" i="1"/>
  <c r="AH77" i="1"/>
  <c r="AI77" i="1"/>
  <c r="AJ77" i="1"/>
  <c r="AK77" i="1"/>
  <c r="AL77" i="1"/>
  <c r="AE80" i="1"/>
  <c r="AF80" i="1"/>
  <c r="AG80" i="1"/>
  <c r="AH80" i="1"/>
  <c r="AI80" i="1"/>
  <c r="AJ80" i="1"/>
  <c r="AK80" i="1"/>
  <c r="AL80" i="1"/>
  <c r="AE81" i="1"/>
  <c r="AF81" i="1"/>
  <c r="AG81" i="1"/>
  <c r="AH81" i="1"/>
  <c r="AI81" i="1"/>
  <c r="AJ81" i="1"/>
  <c r="AK81" i="1"/>
  <c r="AL81" i="1"/>
  <c r="AE82" i="1"/>
  <c r="AF82" i="1"/>
  <c r="AG82" i="1"/>
  <c r="AH82" i="1"/>
  <c r="AI82" i="1"/>
  <c r="AJ82" i="1"/>
  <c r="AK82" i="1"/>
  <c r="AL82" i="1"/>
  <c r="AE84" i="1"/>
  <c r="AF84" i="1"/>
  <c r="AG84" i="1"/>
  <c r="AH84" i="1"/>
  <c r="AI84" i="1"/>
  <c r="AJ84" i="1"/>
  <c r="AK84" i="1"/>
  <c r="AL84" i="1"/>
  <c r="AE88" i="1"/>
  <c r="AF88" i="1"/>
  <c r="AG88" i="1"/>
  <c r="AH88" i="1"/>
  <c r="AI88" i="1"/>
  <c r="AJ88" i="1"/>
  <c r="AK88" i="1"/>
  <c r="AL88" i="1"/>
  <c r="AE89" i="1"/>
  <c r="AF89" i="1"/>
  <c r="AG89" i="1"/>
  <c r="AH89" i="1"/>
  <c r="AI89" i="1"/>
  <c r="AJ89" i="1"/>
  <c r="AK89" i="1"/>
  <c r="AL89" i="1"/>
  <c r="AE93" i="1"/>
  <c r="AF93" i="1"/>
  <c r="AG93" i="1"/>
  <c r="AH93" i="1"/>
  <c r="AI93" i="1"/>
  <c r="AJ93" i="1"/>
  <c r="AK93" i="1"/>
  <c r="AL93" i="1"/>
  <c r="AE95" i="1"/>
  <c r="AF95" i="1"/>
  <c r="AG95" i="1"/>
  <c r="AH95" i="1"/>
  <c r="AI95" i="1"/>
  <c r="AJ95" i="1"/>
  <c r="AK95" i="1"/>
  <c r="AL95" i="1"/>
  <c r="AE96" i="1"/>
  <c r="AF96" i="1"/>
  <c r="AG96" i="1"/>
  <c r="AH96" i="1"/>
  <c r="AI96" i="1"/>
  <c r="AJ96" i="1"/>
  <c r="AK96" i="1"/>
  <c r="AL96" i="1"/>
  <c r="AE97" i="1"/>
  <c r="AF97" i="1"/>
  <c r="AG97" i="1"/>
  <c r="AH97" i="1"/>
  <c r="AI97" i="1"/>
  <c r="AJ97" i="1"/>
  <c r="AK97" i="1"/>
  <c r="AL97" i="1"/>
  <c r="AE98" i="1"/>
  <c r="AF98" i="1"/>
  <c r="AG98" i="1"/>
  <c r="AH98" i="1"/>
  <c r="AI98" i="1"/>
  <c r="AJ98" i="1"/>
  <c r="AK98" i="1"/>
  <c r="AL98" i="1"/>
  <c r="AE99" i="1"/>
  <c r="AF99" i="1"/>
  <c r="AG99" i="1"/>
  <c r="AH99" i="1"/>
  <c r="AI99" i="1"/>
  <c r="AJ99" i="1"/>
  <c r="AK99" i="1"/>
  <c r="AL99" i="1"/>
  <c r="AE100" i="1"/>
  <c r="AF100" i="1"/>
  <c r="AG100" i="1"/>
  <c r="AH100" i="1"/>
  <c r="AI100" i="1"/>
  <c r="AJ100" i="1"/>
  <c r="AK100" i="1"/>
  <c r="AL100" i="1"/>
  <c r="AE103" i="1"/>
  <c r="AF103" i="1"/>
  <c r="AG103" i="1"/>
  <c r="AH103" i="1"/>
  <c r="AI103" i="1"/>
  <c r="AJ103" i="1"/>
  <c r="AK103" i="1"/>
  <c r="AL103" i="1"/>
  <c r="AE106" i="1"/>
  <c r="AF106" i="1"/>
  <c r="AG106" i="1"/>
  <c r="AH106" i="1"/>
  <c r="AI106" i="1"/>
  <c r="AJ106" i="1"/>
  <c r="AK106" i="1"/>
  <c r="AL106" i="1"/>
  <c r="AE107" i="1"/>
  <c r="AF107" i="1"/>
  <c r="AG107" i="1"/>
  <c r="AH107" i="1"/>
  <c r="AI107" i="1"/>
  <c r="AJ107" i="1"/>
  <c r="AK107" i="1"/>
  <c r="AL107" i="1"/>
  <c r="AE108" i="1"/>
  <c r="AF108" i="1"/>
  <c r="AG108" i="1"/>
  <c r="AH108" i="1"/>
  <c r="AI108" i="1"/>
  <c r="AJ108" i="1"/>
  <c r="AK108" i="1"/>
  <c r="AL108" i="1"/>
  <c r="AE109" i="1"/>
  <c r="AF109" i="1"/>
  <c r="AG109" i="1"/>
  <c r="AH109" i="1"/>
  <c r="AI109" i="1"/>
  <c r="AJ109" i="1"/>
  <c r="AK109" i="1"/>
  <c r="AL109" i="1"/>
  <c r="AE110" i="1"/>
  <c r="AF110" i="1"/>
  <c r="AG110" i="1"/>
  <c r="AH110" i="1"/>
  <c r="AI110" i="1"/>
  <c r="AJ110" i="1"/>
  <c r="AK110" i="1"/>
  <c r="AL110" i="1"/>
  <c r="AE111" i="1"/>
  <c r="AF111" i="1"/>
  <c r="AG111" i="1"/>
  <c r="AH111" i="1"/>
  <c r="AI111" i="1"/>
  <c r="AJ111" i="1"/>
  <c r="AK111" i="1"/>
  <c r="AL111" i="1"/>
  <c r="AE112" i="1"/>
  <c r="AF112" i="1"/>
  <c r="AG112" i="1"/>
  <c r="AH112" i="1"/>
  <c r="AI112" i="1"/>
  <c r="AJ112" i="1"/>
  <c r="AK112" i="1"/>
  <c r="AL112" i="1"/>
  <c r="AE199" i="1"/>
  <c r="AF199" i="1"/>
  <c r="AG199" i="1"/>
  <c r="AH199" i="1"/>
  <c r="AI199" i="1"/>
  <c r="AJ199" i="1"/>
  <c r="AK199" i="1"/>
  <c r="AL199" i="1"/>
  <c r="AE278" i="1"/>
  <c r="AF278" i="1"/>
  <c r="AG278" i="1"/>
  <c r="AH278" i="1"/>
  <c r="AI278" i="1"/>
  <c r="AJ278" i="1"/>
  <c r="AK278" i="1"/>
  <c r="AL278" i="1"/>
  <c r="AE303" i="1"/>
  <c r="AF303" i="1"/>
  <c r="AG303" i="1"/>
  <c r="AH303" i="1"/>
  <c r="AI303" i="1"/>
  <c r="AJ303" i="1"/>
  <c r="AK303" i="1"/>
  <c r="AL303" i="1"/>
  <c r="AE223" i="1"/>
  <c r="AF223" i="1"/>
  <c r="AG223" i="1"/>
  <c r="AH223" i="1"/>
  <c r="AI223" i="1"/>
  <c r="AJ223" i="1"/>
  <c r="AK223" i="1"/>
  <c r="AL223" i="1"/>
  <c r="AE149" i="1"/>
  <c r="AF149" i="1"/>
  <c r="AG149" i="1"/>
  <c r="AH149" i="1"/>
  <c r="AI149" i="1"/>
  <c r="AJ149" i="1"/>
  <c r="AK149" i="1"/>
  <c r="AL149" i="1"/>
  <c r="AE365" i="1"/>
  <c r="AF365" i="1"/>
  <c r="AG365" i="1"/>
  <c r="AH365" i="1"/>
  <c r="AI365" i="1"/>
  <c r="AJ365" i="1"/>
  <c r="AK365" i="1"/>
  <c r="AL365" i="1"/>
  <c r="AE115" i="1"/>
  <c r="AF115" i="1"/>
  <c r="AG115" i="1"/>
  <c r="AH115" i="1"/>
  <c r="AI115" i="1"/>
  <c r="AJ115" i="1"/>
  <c r="AK115" i="1"/>
  <c r="AE196" i="1"/>
  <c r="AF196" i="1"/>
  <c r="AG196" i="1"/>
  <c r="AH196" i="1"/>
  <c r="AI196" i="1"/>
  <c r="AJ196" i="1"/>
  <c r="AK196" i="1"/>
  <c r="AL196" i="1"/>
  <c r="AE102" i="1"/>
  <c r="AF102" i="1"/>
  <c r="AG102" i="1"/>
  <c r="AH102" i="1"/>
  <c r="AI102" i="1"/>
  <c r="AJ102" i="1"/>
  <c r="AK102" i="1"/>
  <c r="AL102" i="1"/>
  <c r="AE253" i="1"/>
  <c r="AF253" i="1"/>
  <c r="AG253" i="1"/>
  <c r="AH253" i="1"/>
  <c r="AI253" i="1"/>
  <c r="AJ253" i="1"/>
  <c r="AK253" i="1"/>
  <c r="AL253" i="1"/>
  <c r="AE120" i="1"/>
  <c r="AF120" i="1"/>
  <c r="AG120" i="1"/>
  <c r="AH120" i="1"/>
  <c r="AI120" i="1"/>
  <c r="AJ120" i="1"/>
  <c r="AK120" i="1"/>
  <c r="AL120" i="1"/>
  <c r="AE346" i="1"/>
  <c r="AF346" i="1"/>
  <c r="AG346" i="1"/>
  <c r="AH346" i="1"/>
  <c r="AI346" i="1"/>
  <c r="AJ346" i="1"/>
  <c r="AK346" i="1"/>
  <c r="AL346" i="1"/>
  <c r="AE356" i="1"/>
  <c r="AF356" i="1"/>
  <c r="AG356" i="1"/>
  <c r="AH356" i="1"/>
  <c r="AI356" i="1"/>
  <c r="AJ356" i="1"/>
  <c r="AK356" i="1"/>
  <c r="AL356" i="1"/>
  <c r="AE311" i="1"/>
  <c r="AF311" i="1"/>
  <c r="AG311" i="1"/>
  <c r="AH311" i="1"/>
  <c r="AI311" i="1"/>
  <c r="AJ311" i="1"/>
  <c r="AK311" i="1"/>
  <c r="AL311" i="1"/>
  <c r="AE162" i="1"/>
  <c r="AF162" i="1"/>
  <c r="AG162" i="1"/>
  <c r="AH162" i="1"/>
  <c r="AI162" i="1"/>
  <c r="AJ162" i="1"/>
  <c r="AK162" i="1"/>
  <c r="AL162" i="1"/>
  <c r="AE154" i="1"/>
  <c r="AF154" i="1"/>
  <c r="AG154" i="1"/>
  <c r="AH154" i="1"/>
  <c r="AI154" i="1"/>
  <c r="AJ154" i="1"/>
  <c r="AK154" i="1"/>
  <c r="AL154" i="1"/>
  <c r="AE178" i="1"/>
  <c r="AF178" i="1"/>
  <c r="AG178" i="1"/>
  <c r="AH178" i="1"/>
  <c r="AI178" i="1"/>
  <c r="AJ178" i="1"/>
  <c r="AK178" i="1"/>
  <c r="AL178" i="1"/>
  <c r="AE40" i="1"/>
  <c r="AF40" i="1"/>
  <c r="AG40" i="1"/>
  <c r="AH40" i="1"/>
  <c r="AI40" i="1"/>
  <c r="AJ40" i="1"/>
  <c r="AK40" i="1"/>
  <c r="AL40" i="1"/>
  <c r="AE181" i="1"/>
  <c r="AF181" i="1"/>
  <c r="AG181" i="1"/>
  <c r="AH181" i="1"/>
  <c r="AI181" i="1"/>
  <c r="AJ181" i="1"/>
  <c r="AK181" i="1"/>
  <c r="AL181" i="1"/>
  <c r="AE86" i="1"/>
  <c r="AF86" i="1"/>
  <c r="AG86" i="1"/>
  <c r="AH86" i="1"/>
  <c r="AI86" i="1"/>
  <c r="AJ86" i="1"/>
  <c r="AK86" i="1"/>
  <c r="AL86" i="1"/>
  <c r="AE174" i="1"/>
  <c r="AF174" i="1"/>
  <c r="AG174" i="1"/>
  <c r="AH174" i="1"/>
  <c r="AI174" i="1"/>
  <c r="AJ174" i="1"/>
  <c r="AK174" i="1"/>
  <c r="AL174" i="1"/>
  <c r="AE216" i="1"/>
  <c r="AF216" i="1"/>
  <c r="AG216" i="1"/>
  <c r="AH216" i="1"/>
  <c r="AI216" i="1"/>
  <c r="AJ216" i="1"/>
  <c r="AK216" i="1"/>
  <c r="AL216" i="1"/>
  <c r="AE308" i="1"/>
  <c r="AF308" i="1"/>
  <c r="AG308" i="1"/>
  <c r="AH308" i="1"/>
  <c r="AI308" i="1"/>
  <c r="AJ308" i="1"/>
  <c r="AK308" i="1"/>
  <c r="AL308" i="1"/>
  <c r="AE91" i="1"/>
  <c r="AF91" i="1"/>
  <c r="AG91" i="1"/>
  <c r="AH91" i="1"/>
  <c r="AI91" i="1"/>
  <c r="AJ91" i="1"/>
  <c r="AK91" i="1"/>
  <c r="AL91" i="1"/>
  <c r="AE316" i="1"/>
  <c r="AF316" i="1"/>
  <c r="AG316" i="1"/>
  <c r="AH316" i="1"/>
  <c r="AI316" i="1"/>
  <c r="AJ316" i="1"/>
  <c r="AK316" i="1"/>
  <c r="AL316" i="1"/>
  <c r="AE72" i="1"/>
  <c r="AF72" i="1"/>
  <c r="AG72" i="1"/>
  <c r="AH72" i="1"/>
  <c r="AI72" i="1"/>
  <c r="AJ72" i="1"/>
  <c r="AK72" i="1"/>
  <c r="AL72" i="1"/>
  <c r="AE191" i="1"/>
  <c r="AF191" i="1"/>
  <c r="AG191" i="1"/>
  <c r="AH191" i="1"/>
  <c r="AI191" i="1"/>
  <c r="AJ191" i="1"/>
  <c r="AK191" i="1"/>
  <c r="AL191" i="1"/>
  <c r="AE203" i="1"/>
  <c r="AF203" i="1"/>
  <c r="AG203" i="1"/>
  <c r="AH203" i="1"/>
  <c r="AI203" i="1"/>
  <c r="AJ203" i="1"/>
  <c r="AK203" i="1"/>
  <c r="AL203" i="1"/>
  <c r="AE194" i="1"/>
  <c r="AF194" i="1"/>
  <c r="AG194" i="1"/>
  <c r="AH194" i="1"/>
  <c r="AI194" i="1"/>
  <c r="AJ194" i="1"/>
  <c r="AK194" i="1"/>
  <c r="AL194" i="1"/>
  <c r="AE355" i="1"/>
  <c r="AF355" i="1"/>
  <c r="AG355" i="1"/>
  <c r="AH355" i="1"/>
  <c r="AI355" i="1"/>
  <c r="AJ355" i="1"/>
  <c r="AK355" i="1"/>
  <c r="AL355" i="1"/>
  <c r="AE266" i="1"/>
  <c r="AF266" i="1"/>
  <c r="AG266" i="1"/>
  <c r="AH266" i="1"/>
  <c r="AI266" i="1"/>
  <c r="AJ266" i="1"/>
  <c r="AK266" i="1"/>
  <c r="AL266" i="1"/>
  <c r="AE78" i="1"/>
  <c r="AF78" i="1"/>
  <c r="AG78" i="1"/>
  <c r="AH78" i="1"/>
  <c r="AI78" i="1"/>
  <c r="AJ78" i="1"/>
  <c r="AK78" i="1"/>
  <c r="AL78" i="1"/>
  <c r="AE238" i="1"/>
  <c r="AF238" i="1"/>
  <c r="AG238" i="1"/>
  <c r="AH238" i="1"/>
  <c r="AI238" i="1"/>
  <c r="AJ238" i="1"/>
  <c r="AK238" i="1"/>
  <c r="AL238" i="1"/>
  <c r="AE338" i="1"/>
  <c r="AF338" i="1"/>
  <c r="AG338" i="1"/>
  <c r="AH338" i="1"/>
  <c r="AI338" i="1"/>
  <c r="AJ338" i="1"/>
  <c r="AK338" i="1"/>
  <c r="AL338" i="1"/>
  <c r="AE317" i="1"/>
  <c r="AF317" i="1"/>
  <c r="AG317" i="1"/>
  <c r="AH317" i="1"/>
  <c r="AI317" i="1"/>
  <c r="AJ317" i="1"/>
  <c r="AK317" i="1"/>
  <c r="AL317" i="1"/>
  <c r="AE328" i="1"/>
  <c r="AF328" i="1"/>
  <c r="AG328" i="1"/>
  <c r="AH328" i="1"/>
  <c r="AI328" i="1"/>
  <c r="AJ328" i="1"/>
  <c r="AK328" i="1"/>
  <c r="AL328" i="1"/>
  <c r="AE210" i="1"/>
  <c r="AF210" i="1"/>
  <c r="AG210" i="1"/>
  <c r="AH210" i="1"/>
  <c r="AI210" i="1"/>
  <c r="AJ210" i="1"/>
  <c r="AK210" i="1"/>
  <c r="AL210" i="1"/>
  <c r="AE295" i="1"/>
  <c r="AF295" i="1"/>
  <c r="AG295" i="1"/>
  <c r="AH295" i="1"/>
  <c r="AI295" i="1"/>
  <c r="AJ295" i="1"/>
  <c r="AK295" i="1"/>
  <c r="AL295" i="1"/>
  <c r="AE366" i="1"/>
  <c r="AF366" i="1"/>
  <c r="AG366" i="1"/>
  <c r="AH366" i="1"/>
  <c r="AI366" i="1"/>
  <c r="AJ366" i="1"/>
  <c r="AK366" i="1"/>
  <c r="AL366" i="1"/>
  <c r="AE354" i="1"/>
  <c r="AF354" i="1"/>
  <c r="AG354" i="1"/>
  <c r="AH354" i="1"/>
  <c r="AI354" i="1"/>
  <c r="AJ354" i="1"/>
  <c r="AK354" i="1"/>
  <c r="AL354" i="1"/>
  <c r="AE130" i="1"/>
  <c r="AF130" i="1"/>
  <c r="AG130" i="1"/>
  <c r="AH130" i="1"/>
  <c r="AI130" i="1"/>
  <c r="AJ130" i="1"/>
  <c r="AK130" i="1"/>
  <c r="AL130" i="1"/>
  <c r="AE121" i="1"/>
  <c r="AF121" i="1"/>
  <c r="AG121" i="1"/>
  <c r="AH121" i="1"/>
  <c r="AI121" i="1"/>
  <c r="AJ121" i="1"/>
  <c r="AK121" i="1"/>
  <c r="AL121" i="1"/>
  <c r="AE310" i="1"/>
  <c r="AF310" i="1"/>
  <c r="AG310" i="1"/>
  <c r="AH310" i="1"/>
  <c r="AI310" i="1"/>
  <c r="AJ310" i="1"/>
  <c r="AK310" i="1"/>
  <c r="AL310" i="1"/>
  <c r="AE337" i="1"/>
  <c r="AF337" i="1"/>
  <c r="AG337" i="1"/>
  <c r="AH337" i="1"/>
  <c r="AI337" i="1"/>
  <c r="AJ337" i="1"/>
  <c r="AK337" i="1"/>
  <c r="AL337" i="1"/>
  <c r="AE336" i="1"/>
  <c r="AF336" i="1"/>
  <c r="AG336" i="1"/>
  <c r="AH336" i="1"/>
  <c r="AI336" i="1"/>
  <c r="AJ336" i="1"/>
  <c r="AK336" i="1"/>
  <c r="AL336" i="1"/>
  <c r="AE35" i="1"/>
  <c r="AF35" i="1"/>
  <c r="AG35" i="1"/>
  <c r="AH35" i="1"/>
  <c r="AI35" i="1"/>
  <c r="AJ35" i="1"/>
  <c r="AK35" i="1"/>
  <c r="AL35" i="1"/>
  <c r="AE297" i="1"/>
  <c r="AF297" i="1"/>
  <c r="AG297" i="1"/>
  <c r="AH297" i="1"/>
  <c r="AI297" i="1"/>
  <c r="AJ297" i="1"/>
  <c r="AK297" i="1"/>
  <c r="AL297" i="1"/>
  <c r="AE358" i="1"/>
  <c r="AF358" i="1"/>
  <c r="AG358" i="1"/>
  <c r="AH358" i="1"/>
  <c r="AI358" i="1"/>
  <c r="AJ358" i="1"/>
  <c r="AK358" i="1"/>
  <c r="AL358" i="1"/>
  <c r="AE129" i="1"/>
  <c r="AF129" i="1"/>
  <c r="AG129" i="1"/>
  <c r="AH129" i="1"/>
  <c r="AI129" i="1"/>
  <c r="AJ129" i="1"/>
  <c r="AK129" i="1"/>
  <c r="AL129" i="1"/>
  <c r="AE280" i="1"/>
  <c r="AF280" i="1"/>
  <c r="AG280" i="1"/>
  <c r="AH280" i="1"/>
  <c r="AI280" i="1"/>
  <c r="AJ280" i="1"/>
  <c r="AK280" i="1"/>
  <c r="AL280" i="1"/>
  <c r="AE325" i="1"/>
  <c r="AF325" i="1"/>
  <c r="AG325" i="1"/>
  <c r="AH325" i="1"/>
  <c r="AI325" i="1"/>
  <c r="AJ325" i="1"/>
  <c r="AK325" i="1"/>
  <c r="AL325" i="1"/>
  <c r="AE150" i="1"/>
  <c r="AF150" i="1"/>
  <c r="AG150" i="1"/>
  <c r="AH150" i="1"/>
  <c r="AI150" i="1"/>
  <c r="AJ150" i="1"/>
  <c r="AK150" i="1"/>
  <c r="AL150" i="1"/>
  <c r="AE268" i="1"/>
  <c r="AF268" i="1"/>
  <c r="AG268" i="1"/>
  <c r="AH268" i="1"/>
  <c r="AI268" i="1"/>
  <c r="AJ268" i="1"/>
  <c r="AK268" i="1"/>
  <c r="AL268" i="1"/>
  <c r="AE294" i="1"/>
  <c r="AF294" i="1"/>
  <c r="AG294" i="1"/>
  <c r="AH294" i="1"/>
  <c r="AI294" i="1"/>
  <c r="AJ294" i="1"/>
  <c r="AK294" i="1"/>
  <c r="AL294" i="1"/>
  <c r="AE352" i="1"/>
  <c r="AF352" i="1"/>
  <c r="AG352" i="1"/>
  <c r="AH352" i="1"/>
  <c r="AI352" i="1"/>
  <c r="AJ352" i="1"/>
  <c r="AK352" i="1"/>
  <c r="AL352" i="1"/>
  <c r="AE339" i="1"/>
  <c r="AF339" i="1"/>
  <c r="AG339" i="1"/>
  <c r="AH339" i="1"/>
  <c r="AI339" i="1"/>
  <c r="AJ339" i="1"/>
  <c r="AK339" i="1"/>
  <c r="AL339" i="1"/>
  <c r="AE333" i="1"/>
  <c r="AF333" i="1"/>
  <c r="AG333" i="1"/>
  <c r="AH333" i="1"/>
  <c r="AI333" i="1"/>
  <c r="AJ333" i="1"/>
  <c r="AK333" i="1"/>
  <c r="AL333" i="1"/>
  <c r="AE186" i="1"/>
  <c r="AF186" i="1"/>
  <c r="AG186" i="1"/>
  <c r="AH186" i="1"/>
  <c r="AI186" i="1"/>
  <c r="AJ186" i="1"/>
  <c r="AK186" i="1"/>
  <c r="AL186" i="1"/>
  <c r="AE353" i="1"/>
  <c r="AF353" i="1"/>
  <c r="AG353" i="1"/>
  <c r="AH353" i="1"/>
  <c r="AI353" i="1"/>
  <c r="AJ353" i="1"/>
  <c r="AK353" i="1"/>
  <c r="AL353" i="1"/>
  <c r="AE79" i="1"/>
  <c r="AF79" i="1"/>
  <c r="AG79" i="1"/>
  <c r="AH79" i="1"/>
  <c r="AI79" i="1"/>
  <c r="AJ79" i="1"/>
  <c r="AK79" i="1"/>
  <c r="AL79" i="1"/>
  <c r="AE197" i="1"/>
  <c r="AF197" i="1"/>
  <c r="AG197" i="1"/>
  <c r="AH197" i="1"/>
  <c r="AI197" i="1"/>
  <c r="AJ197" i="1"/>
  <c r="AK197" i="1"/>
  <c r="AL197" i="1"/>
  <c r="AE351" i="1"/>
  <c r="AF351" i="1"/>
  <c r="AG351" i="1"/>
  <c r="AH351" i="1"/>
  <c r="AI351" i="1"/>
  <c r="AJ351" i="1"/>
  <c r="AK351" i="1"/>
  <c r="AL351" i="1"/>
  <c r="AE252" i="1"/>
  <c r="AF252" i="1"/>
  <c r="AG252" i="1"/>
  <c r="AH252" i="1"/>
  <c r="AI252" i="1"/>
  <c r="AJ252" i="1"/>
  <c r="AK252" i="1"/>
  <c r="AL252" i="1"/>
  <c r="AE187" i="1"/>
  <c r="AF187" i="1"/>
  <c r="AG187" i="1"/>
  <c r="AH187" i="1"/>
  <c r="AI187" i="1"/>
  <c r="AJ187" i="1"/>
  <c r="AK187" i="1"/>
  <c r="AL187" i="1"/>
  <c r="AF90" i="1"/>
  <c r="AG90" i="1"/>
  <c r="AH90" i="1"/>
  <c r="AI90" i="1"/>
  <c r="AJ90" i="1"/>
  <c r="AK90" i="1"/>
  <c r="AE41" i="1"/>
  <c r="AF41" i="1"/>
  <c r="AG41" i="1"/>
  <c r="AH41" i="1"/>
  <c r="AI41" i="1"/>
  <c r="AJ41" i="1"/>
  <c r="AK41" i="1"/>
  <c r="AL41" i="1"/>
  <c r="AE198" i="1"/>
  <c r="AF198" i="1"/>
  <c r="AG198" i="1"/>
  <c r="AH198" i="1"/>
  <c r="AI198" i="1"/>
  <c r="AJ198" i="1"/>
  <c r="AK198" i="1"/>
  <c r="AL198" i="1"/>
  <c r="AE241" i="1"/>
  <c r="AF241" i="1"/>
  <c r="AG241" i="1"/>
  <c r="AH241" i="1"/>
  <c r="AI241" i="1"/>
  <c r="AJ241" i="1"/>
  <c r="AK241" i="1"/>
  <c r="AL241" i="1"/>
  <c r="AE228" i="1"/>
  <c r="AF228" i="1"/>
  <c r="AG228" i="1"/>
  <c r="AH228" i="1"/>
  <c r="AI228" i="1"/>
  <c r="AJ228" i="1"/>
  <c r="AK228" i="1"/>
  <c r="AL228" i="1"/>
  <c r="AE179" i="1"/>
  <c r="AF179" i="1"/>
  <c r="AG179" i="1"/>
  <c r="AH179" i="1"/>
  <c r="AI179" i="1"/>
  <c r="AJ179" i="1"/>
  <c r="AK179" i="1"/>
  <c r="AL179" i="1"/>
  <c r="AP179" i="1" s="1"/>
  <c r="AE249" i="1"/>
  <c r="AF249" i="1"/>
  <c r="AG249" i="1"/>
  <c r="AH249" i="1"/>
  <c r="AI249" i="1"/>
  <c r="AJ249" i="1"/>
  <c r="AK249" i="1"/>
  <c r="AL249" i="1"/>
  <c r="AE227" i="1"/>
  <c r="AF227" i="1"/>
  <c r="AG227" i="1"/>
  <c r="AH227" i="1"/>
  <c r="AI227" i="1"/>
  <c r="AJ227" i="1"/>
  <c r="AK227" i="1"/>
  <c r="AL227" i="1"/>
  <c r="AE189" i="1"/>
  <c r="AF189" i="1"/>
  <c r="AG189" i="1"/>
  <c r="AH189" i="1"/>
  <c r="AI189" i="1"/>
  <c r="AJ189" i="1"/>
  <c r="AK189" i="1"/>
  <c r="AL189" i="1"/>
  <c r="AE85" i="1"/>
  <c r="AF85" i="1"/>
  <c r="AG85" i="1"/>
  <c r="AH85" i="1"/>
  <c r="AI85" i="1"/>
  <c r="AJ85" i="1"/>
  <c r="AK85" i="1"/>
  <c r="AL85" i="1"/>
  <c r="AE171" i="1"/>
  <c r="AF171" i="1"/>
  <c r="AG171" i="1"/>
  <c r="AH171" i="1"/>
  <c r="AI171" i="1"/>
  <c r="AJ171" i="1"/>
  <c r="AK171" i="1"/>
  <c r="AL171" i="1"/>
  <c r="AE113" i="1"/>
  <c r="AF113" i="1"/>
  <c r="AG113" i="1"/>
  <c r="AH113" i="1"/>
  <c r="AI113" i="1"/>
  <c r="AJ113" i="1"/>
  <c r="AK113" i="1"/>
  <c r="AE229" i="1"/>
  <c r="AF229" i="1"/>
  <c r="AG229" i="1"/>
  <c r="AH229" i="1"/>
  <c r="AI229" i="1"/>
  <c r="AJ229" i="1"/>
  <c r="AK229" i="1"/>
  <c r="AL229" i="1"/>
  <c r="AE255" i="1"/>
  <c r="AF255" i="1"/>
  <c r="AG255" i="1"/>
  <c r="AH255" i="1"/>
  <c r="AI255" i="1"/>
  <c r="AJ255" i="1"/>
  <c r="AK255" i="1"/>
  <c r="AL255" i="1"/>
  <c r="AE327" i="1"/>
  <c r="AF327" i="1"/>
  <c r="AG327" i="1"/>
  <c r="AH327" i="1"/>
  <c r="AI327" i="1"/>
  <c r="AJ327" i="1"/>
  <c r="AK327" i="1"/>
  <c r="AL327" i="1"/>
  <c r="AE309" i="1"/>
  <c r="AF309" i="1"/>
  <c r="AG309" i="1"/>
  <c r="AH309" i="1"/>
  <c r="AI309" i="1"/>
  <c r="AJ309" i="1"/>
  <c r="AK309" i="1"/>
  <c r="AL309" i="1"/>
  <c r="AE119" i="1"/>
  <c r="AF119" i="1"/>
  <c r="AG119" i="1"/>
  <c r="AH119" i="1"/>
  <c r="AI119" i="1"/>
  <c r="AJ119" i="1"/>
  <c r="AK119" i="1"/>
  <c r="AL119" i="1"/>
  <c r="AE159" i="1"/>
  <c r="AF159" i="1"/>
  <c r="AG159" i="1"/>
  <c r="AH159" i="1"/>
  <c r="AI159" i="1"/>
  <c r="AJ159" i="1"/>
  <c r="AK159" i="1"/>
  <c r="AL159" i="1"/>
  <c r="AE134" i="1"/>
  <c r="AF134" i="1"/>
  <c r="AG134" i="1"/>
  <c r="AH134" i="1"/>
  <c r="AI134" i="1"/>
  <c r="AJ134" i="1"/>
  <c r="AK134" i="1"/>
  <c r="AL134" i="1"/>
  <c r="AE236" i="1"/>
  <c r="AF236" i="1"/>
  <c r="AG236" i="1"/>
  <c r="AH236" i="1"/>
  <c r="AI236" i="1"/>
  <c r="AJ236" i="1"/>
  <c r="AK236" i="1"/>
  <c r="AL236" i="1"/>
  <c r="AE254" i="1"/>
  <c r="AF254" i="1"/>
  <c r="AG254" i="1"/>
  <c r="AH254" i="1"/>
  <c r="AI254" i="1"/>
  <c r="AJ254" i="1"/>
  <c r="AK254" i="1"/>
  <c r="AL254" i="1"/>
  <c r="AE27" i="1"/>
  <c r="AF27" i="1"/>
  <c r="AG27" i="1"/>
  <c r="AH27" i="1"/>
  <c r="AI27" i="1"/>
  <c r="AJ27" i="1"/>
  <c r="AK27" i="1"/>
  <c r="AL27" i="1"/>
  <c r="AE332" i="1"/>
  <c r="AF332" i="1"/>
  <c r="AG332" i="1"/>
  <c r="AH332" i="1"/>
  <c r="AI332" i="1"/>
  <c r="AJ332" i="1"/>
  <c r="AK332" i="1"/>
  <c r="AL332" i="1"/>
  <c r="AE127" i="1"/>
  <c r="AF127" i="1"/>
  <c r="AG127" i="1"/>
  <c r="AH127" i="1"/>
  <c r="AI127" i="1"/>
  <c r="AJ127" i="1"/>
  <c r="AK127" i="1"/>
  <c r="AL127" i="1"/>
  <c r="AE51" i="1"/>
  <c r="AF51" i="1"/>
  <c r="AG51" i="1"/>
  <c r="AH51" i="1"/>
  <c r="AI51" i="1"/>
  <c r="AJ51" i="1"/>
  <c r="AK51" i="1"/>
  <c r="AL51" i="1"/>
  <c r="AE180" i="1"/>
  <c r="AF180" i="1"/>
  <c r="AG180" i="1"/>
  <c r="AH180" i="1"/>
  <c r="AI180" i="1"/>
  <c r="AJ180" i="1"/>
  <c r="AK180" i="1"/>
  <c r="AL180" i="1"/>
  <c r="AE271" i="1"/>
  <c r="AF271" i="1"/>
  <c r="AG271" i="1"/>
  <c r="AH271" i="1"/>
  <c r="AI271" i="1"/>
  <c r="AJ271" i="1"/>
  <c r="AK271" i="1"/>
  <c r="AL271" i="1"/>
  <c r="AE242" i="1"/>
  <c r="AF242" i="1"/>
  <c r="AG242" i="1"/>
  <c r="AH242" i="1"/>
  <c r="AI242" i="1"/>
  <c r="AJ242" i="1"/>
  <c r="AK242" i="1"/>
  <c r="AL242" i="1"/>
  <c r="AE188" i="1"/>
  <c r="AF188" i="1"/>
  <c r="AG188" i="1"/>
  <c r="AH188" i="1"/>
  <c r="AI188" i="1"/>
  <c r="AJ188" i="1"/>
  <c r="AK188" i="1"/>
  <c r="AL188" i="1"/>
  <c r="AE259" i="1"/>
  <c r="AF259" i="1"/>
  <c r="AG259" i="1"/>
  <c r="AH259" i="1"/>
  <c r="AI259" i="1"/>
  <c r="AJ259" i="1"/>
  <c r="AK259" i="1"/>
  <c r="AL259" i="1"/>
  <c r="AE68" i="1"/>
  <c r="AF68" i="1"/>
  <c r="AG68" i="1"/>
  <c r="AH68" i="1"/>
  <c r="AI68" i="1"/>
  <c r="AJ68" i="1"/>
  <c r="AK68" i="1"/>
  <c r="AL68" i="1"/>
  <c r="AE61" i="1"/>
  <c r="AF61" i="1"/>
  <c r="AG61" i="1"/>
  <c r="AH61" i="1"/>
  <c r="AI61" i="1"/>
  <c r="AJ61" i="1"/>
  <c r="AK61" i="1"/>
  <c r="AL61" i="1"/>
  <c r="AE33" i="1"/>
  <c r="AF33" i="1"/>
  <c r="AG33" i="1"/>
  <c r="AH33" i="1"/>
  <c r="AI33" i="1"/>
  <c r="AJ33" i="1"/>
  <c r="AK33" i="1"/>
  <c r="AL33" i="1"/>
  <c r="AE263" i="1"/>
  <c r="AF263" i="1"/>
  <c r="AG263" i="1"/>
  <c r="AH263" i="1"/>
  <c r="AI263" i="1"/>
  <c r="AJ263" i="1"/>
  <c r="AK263" i="1"/>
  <c r="AL263" i="1"/>
  <c r="AE138" i="1"/>
  <c r="AF138" i="1"/>
  <c r="AG138" i="1"/>
  <c r="AH138" i="1"/>
  <c r="AI138" i="1"/>
  <c r="AJ138" i="1"/>
  <c r="AK138" i="1"/>
  <c r="AL138" i="1"/>
  <c r="AE147" i="1"/>
  <c r="AF147" i="1"/>
  <c r="AG147" i="1"/>
  <c r="AH147" i="1"/>
  <c r="AI147" i="1"/>
  <c r="AJ147" i="1"/>
  <c r="AK147" i="1"/>
  <c r="AE219" i="1"/>
  <c r="AF219" i="1"/>
  <c r="AG219" i="1"/>
  <c r="AH219" i="1"/>
  <c r="AI219" i="1"/>
  <c r="AJ219" i="1"/>
  <c r="AK219" i="1"/>
  <c r="AL219" i="1"/>
  <c r="AE155" i="1"/>
  <c r="AF155" i="1"/>
  <c r="AG155" i="1"/>
  <c r="AH155" i="1"/>
  <c r="AI155" i="1"/>
  <c r="AJ155" i="1"/>
  <c r="AK155" i="1"/>
  <c r="AL155" i="1"/>
  <c r="AE323" i="1"/>
  <c r="AF323" i="1"/>
  <c r="AG323" i="1"/>
  <c r="AH323" i="1"/>
  <c r="AI323" i="1"/>
  <c r="AJ323" i="1"/>
  <c r="AK323" i="1"/>
  <c r="AL323" i="1"/>
  <c r="AE182" i="1"/>
  <c r="AF182" i="1"/>
  <c r="AG182" i="1"/>
  <c r="AH182" i="1"/>
  <c r="AI182" i="1"/>
  <c r="AJ182" i="1"/>
  <c r="AK182" i="1"/>
  <c r="AL182" i="1"/>
  <c r="AE247" i="1"/>
  <c r="AF247" i="1"/>
  <c r="AG247" i="1"/>
  <c r="AH247" i="1"/>
  <c r="AI247" i="1"/>
  <c r="AJ247" i="1"/>
  <c r="AK247" i="1"/>
  <c r="AL247" i="1"/>
  <c r="AE349" i="1"/>
  <c r="AF349" i="1"/>
  <c r="AG349" i="1"/>
  <c r="AH349" i="1"/>
  <c r="AI349" i="1"/>
  <c r="AJ349" i="1"/>
  <c r="AK349" i="1"/>
  <c r="AL349" i="1"/>
  <c r="AE285" i="1"/>
  <c r="AF285" i="1"/>
  <c r="AG285" i="1"/>
  <c r="AH285" i="1"/>
  <c r="AI285" i="1"/>
  <c r="AJ285" i="1"/>
  <c r="AK285" i="1"/>
  <c r="AL285" i="1"/>
  <c r="AE334" i="1"/>
  <c r="AF334" i="1"/>
  <c r="AG334" i="1"/>
  <c r="AH334" i="1"/>
  <c r="AI334" i="1"/>
  <c r="AJ334" i="1"/>
  <c r="AK334" i="1"/>
  <c r="AL334" i="1"/>
  <c r="AG18" i="1"/>
  <c r="AH18" i="1"/>
  <c r="AI18" i="1"/>
  <c r="AJ18" i="1"/>
  <c r="AK18" i="1"/>
  <c r="AL18" i="1"/>
  <c r="AE245" i="1"/>
  <c r="AF245" i="1"/>
  <c r="AG245" i="1"/>
  <c r="AH245" i="1"/>
  <c r="AI245" i="1"/>
  <c r="AJ245" i="1"/>
  <c r="AK245" i="1"/>
  <c r="AL245" i="1"/>
  <c r="AE160" i="1"/>
  <c r="AF160" i="1"/>
  <c r="AG160" i="1"/>
  <c r="AH160" i="1"/>
  <c r="AI160" i="1"/>
  <c r="AJ160" i="1"/>
  <c r="AK160" i="1"/>
  <c r="AL160" i="1"/>
  <c r="AE320" i="1"/>
  <c r="AF320" i="1"/>
  <c r="AG320" i="1"/>
  <c r="AH320" i="1"/>
  <c r="AI320" i="1"/>
  <c r="AJ320" i="1"/>
  <c r="AK320" i="1"/>
  <c r="AL320" i="1"/>
  <c r="AE74" i="1"/>
  <c r="AF74" i="1"/>
  <c r="AG74" i="1"/>
  <c r="AH74" i="1"/>
  <c r="AI74" i="1"/>
  <c r="AJ74" i="1"/>
  <c r="AK74" i="1"/>
  <c r="AL74" i="1"/>
  <c r="AE362" i="1"/>
  <c r="AF362" i="1"/>
  <c r="AG362" i="1"/>
  <c r="AH362" i="1"/>
  <c r="AI362" i="1"/>
  <c r="AJ362" i="1"/>
  <c r="AK362" i="1"/>
  <c r="AL362" i="1"/>
  <c r="AE288" i="1"/>
  <c r="AF288" i="1"/>
  <c r="AG288" i="1"/>
  <c r="AH288" i="1"/>
  <c r="AI288" i="1"/>
  <c r="AJ288" i="1"/>
  <c r="AK288" i="1"/>
  <c r="AL288" i="1"/>
  <c r="AE117" i="1"/>
  <c r="AF117" i="1"/>
  <c r="AG117" i="1"/>
  <c r="AH117" i="1"/>
  <c r="AI117" i="1"/>
  <c r="AJ117" i="1"/>
  <c r="AK117" i="1"/>
  <c r="AL117" i="1"/>
  <c r="AE151" i="1"/>
  <c r="AF151" i="1"/>
  <c r="AG151" i="1"/>
  <c r="AH151" i="1"/>
  <c r="AI151" i="1"/>
  <c r="AJ151" i="1"/>
  <c r="AK151" i="1"/>
  <c r="AL151" i="1"/>
  <c r="AE231" i="1"/>
  <c r="AF231" i="1"/>
  <c r="AG231" i="1"/>
  <c r="AH231" i="1"/>
  <c r="AI231" i="1"/>
  <c r="AJ231" i="1"/>
  <c r="AK231" i="1"/>
  <c r="AL231" i="1"/>
  <c r="AE92" i="1"/>
  <c r="AF92" i="1"/>
  <c r="AG92" i="1"/>
  <c r="AH92" i="1"/>
  <c r="AI92" i="1"/>
  <c r="AJ92" i="1"/>
  <c r="AK92" i="1"/>
  <c r="AL92" i="1"/>
  <c r="AE342" i="1"/>
  <c r="AF342" i="1"/>
  <c r="AG342" i="1"/>
  <c r="AH342" i="1"/>
  <c r="AI342" i="1"/>
  <c r="AJ342" i="1"/>
  <c r="AK342" i="1"/>
  <c r="AL342" i="1"/>
  <c r="AE275" i="1"/>
  <c r="AF275" i="1"/>
  <c r="AG275" i="1"/>
  <c r="AH275" i="1"/>
  <c r="AI275" i="1"/>
  <c r="AJ275" i="1"/>
  <c r="AK275" i="1"/>
  <c r="AL275" i="1"/>
  <c r="AE244" i="1"/>
  <c r="AF244" i="1"/>
  <c r="AG244" i="1"/>
  <c r="AH244" i="1"/>
  <c r="AI244" i="1"/>
  <c r="AJ244" i="1"/>
  <c r="AK244" i="1"/>
  <c r="AL244" i="1"/>
  <c r="AE290" i="1"/>
  <c r="AF290" i="1"/>
  <c r="AG290" i="1"/>
  <c r="AH290" i="1"/>
  <c r="AI290" i="1"/>
  <c r="AJ290" i="1"/>
  <c r="AK290" i="1"/>
  <c r="AL290" i="1"/>
  <c r="AE264" i="1"/>
  <c r="AF264" i="1"/>
  <c r="AG264" i="1"/>
  <c r="AH264" i="1"/>
  <c r="AI264" i="1"/>
  <c r="AJ264" i="1"/>
  <c r="AK264" i="1"/>
  <c r="AL264" i="1"/>
  <c r="AL183" i="1"/>
  <c r="AE205" i="1"/>
  <c r="AF205" i="1"/>
  <c r="AG205" i="1"/>
  <c r="AH205" i="1"/>
  <c r="AI205" i="1"/>
  <c r="AJ205" i="1"/>
  <c r="AK205" i="1"/>
  <c r="AL205" i="1"/>
  <c r="AE350" i="1"/>
  <c r="AF350" i="1"/>
  <c r="AG350" i="1"/>
  <c r="AH350" i="1"/>
  <c r="AI350" i="1"/>
  <c r="AJ350" i="1"/>
  <c r="AK350" i="1"/>
  <c r="AL350" i="1"/>
  <c r="AE300" i="1"/>
  <c r="AF300" i="1"/>
  <c r="AG300" i="1"/>
  <c r="AH300" i="1"/>
  <c r="AI300" i="1"/>
  <c r="AJ300" i="1"/>
  <c r="AK300" i="1"/>
  <c r="AL300" i="1"/>
  <c r="AE299" i="1"/>
  <c r="AF299" i="1"/>
  <c r="AG299" i="1"/>
  <c r="AH299" i="1"/>
  <c r="AI299" i="1"/>
  <c r="AJ299" i="1"/>
  <c r="AK299" i="1"/>
  <c r="AL299" i="1"/>
  <c r="AE304" i="1"/>
  <c r="AF304" i="1"/>
  <c r="AG304" i="1"/>
  <c r="AH304" i="1"/>
  <c r="AI304" i="1"/>
  <c r="AJ304" i="1"/>
  <c r="AK304" i="1"/>
  <c r="AL304" i="1"/>
  <c r="AE218" i="1"/>
  <c r="AF218" i="1"/>
  <c r="AG218" i="1"/>
  <c r="AH218" i="1"/>
  <c r="AI218" i="1"/>
  <c r="AJ218" i="1"/>
  <c r="AK218" i="1"/>
  <c r="AL218" i="1"/>
  <c r="AE207" i="1"/>
  <c r="AF207" i="1"/>
  <c r="AG207" i="1"/>
  <c r="AH207" i="1"/>
  <c r="AI207" i="1"/>
  <c r="AJ207" i="1"/>
  <c r="AK207" i="1"/>
  <c r="AL207" i="1"/>
  <c r="AE140" i="1"/>
  <c r="AF140" i="1"/>
  <c r="AG140" i="1"/>
  <c r="AH140" i="1"/>
  <c r="AI140" i="1"/>
  <c r="AJ140" i="1"/>
  <c r="AK140" i="1"/>
  <c r="AL140" i="1"/>
  <c r="AE335" i="1"/>
  <c r="AF335" i="1"/>
  <c r="AG335" i="1"/>
  <c r="AH335" i="1"/>
  <c r="AI335" i="1"/>
  <c r="AJ335" i="1"/>
  <c r="AK335" i="1"/>
  <c r="AL335" i="1"/>
  <c r="AE347" i="1"/>
  <c r="AF347" i="1"/>
  <c r="AG347" i="1"/>
  <c r="AH347" i="1"/>
  <c r="AI347" i="1"/>
  <c r="AJ347" i="1"/>
  <c r="AK347" i="1"/>
  <c r="AL347" i="1"/>
  <c r="AE251" i="1"/>
  <c r="AF251" i="1"/>
  <c r="AG251" i="1"/>
  <c r="AH251" i="1"/>
  <c r="AI251" i="1"/>
  <c r="AJ251" i="1"/>
  <c r="AK251" i="1"/>
  <c r="AL251" i="1"/>
  <c r="AE276" i="1"/>
  <c r="AF276" i="1"/>
  <c r="AG276" i="1"/>
  <c r="AH276" i="1"/>
  <c r="AI276" i="1"/>
  <c r="AJ276" i="1"/>
  <c r="AK276" i="1"/>
  <c r="AL276" i="1"/>
  <c r="AE315" i="1"/>
  <c r="AF315" i="1"/>
  <c r="AG315" i="1"/>
  <c r="AH315" i="1"/>
  <c r="AI315" i="1"/>
  <c r="AJ315" i="1"/>
  <c r="AK315" i="1"/>
  <c r="AL315" i="1"/>
  <c r="AE125" i="1"/>
  <c r="AF125" i="1"/>
  <c r="AG125" i="1"/>
  <c r="AH125" i="1"/>
  <c r="AI125" i="1"/>
  <c r="AJ125" i="1"/>
  <c r="AK125" i="1"/>
  <c r="AL125" i="1"/>
  <c r="AE195" i="1"/>
  <c r="AF195" i="1"/>
  <c r="AG195" i="1"/>
  <c r="AH195" i="1"/>
  <c r="AI195" i="1"/>
  <c r="AJ195" i="1"/>
  <c r="AK195" i="1"/>
  <c r="AL195" i="1"/>
  <c r="AE305" i="1"/>
  <c r="AF305" i="1"/>
  <c r="AG305" i="1"/>
  <c r="AH305" i="1"/>
  <c r="AI305" i="1"/>
  <c r="AJ305" i="1"/>
  <c r="AK305" i="1"/>
  <c r="AL305" i="1"/>
  <c r="AE326" i="1"/>
  <c r="AF326" i="1"/>
  <c r="AG326" i="1"/>
  <c r="AH326" i="1"/>
  <c r="AI326" i="1"/>
  <c r="AJ326" i="1"/>
  <c r="AK326" i="1"/>
  <c r="AL326" i="1"/>
  <c r="AE240" i="1"/>
  <c r="AF240" i="1"/>
  <c r="AG240" i="1"/>
  <c r="AH240" i="1"/>
  <c r="AI240" i="1"/>
  <c r="AJ240" i="1"/>
  <c r="AK240" i="1"/>
  <c r="AE214" i="1"/>
  <c r="AF214" i="1"/>
  <c r="AG214" i="1"/>
  <c r="AH214" i="1"/>
  <c r="AI214" i="1"/>
  <c r="AJ214" i="1"/>
  <c r="AK214" i="1"/>
  <c r="AL214" i="1"/>
  <c r="AE217" i="1"/>
  <c r="AF217" i="1"/>
  <c r="AG217" i="1"/>
  <c r="AH217" i="1"/>
  <c r="AI217" i="1"/>
  <c r="AJ217" i="1"/>
  <c r="AK217" i="1"/>
  <c r="AL217" i="1"/>
  <c r="AE344" i="1"/>
  <c r="AF344" i="1"/>
  <c r="AG344" i="1"/>
  <c r="AH344" i="1"/>
  <c r="AI344" i="1"/>
  <c r="AJ344" i="1"/>
  <c r="AK344" i="1"/>
  <c r="AL344" i="1"/>
  <c r="AE318" i="1"/>
  <c r="AF318" i="1"/>
  <c r="AG318" i="1"/>
  <c r="AH318" i="1"/>
  <c r="AI318" i="1"/>
  <c r="AJ318" i="1"/>
  <c r="AK318" i="1"/>
  <c r="AL318" i="1"/>
  <c r="AE94" i="1"/>
  <c r="AF94" i="1"/>
  <c r="AG94" i="1"/>
  <c r="AH94" i="1"/>
  <c r="AI94" i="1"/>
  <c r="AJ94" i="1"/>
  <c r="AK94" i="1"/>
  <c r="AL94" i="1"/>
  <c r="AE322" i="1"/>
  <c r="AF322" i="1"/>
  <c r="AG322" i="1"/>
  <c r="AH322" i="1"/>
  <c r="AI322" i="1"/>
  <c r="AJ322" i="1"/>
  <c r="AK322" i="1"/>
  <c r="AL322" i="1"/>
  <c r="AE312" i="1"/>
  <c r="AF312" i="1"/>
  <c r="AG312" i="1"/>
  <c r="AH312" i="1"/>
  <c r="AI312" i="1"/>
  <c r="AJ312" i="1"/>
  <c r="AK312" i="1"/>
  <c r="AL312" i="1"/>
  <c r="AE343" i="1"/>
  <c r="AF343" i="1"/>
  <c r="AG343" i="1"/>
  <c r="AH343" i="1"/>
  <c r="AI343" i="1"/>
  <c r="AJ343" i="1"/>
  <c r="AK343" i="1"/>
  <c r="AL343" i="1"/>
  <c r="AE133" i="1"/>
  <c r="AF133" i="1"/>
  <c r="AG133" i="1"/>
  <c r="AH133" i="1"/>
  <c r="AI133" i="1"/>
  <c r="AJ133" i="1"/>
  <c r="AK133" i="1"/>
  <c r="AL133" i="1"/>
  <c r="AE359" i="1"/>
  <c r="AF359" i="1"/>
  <c r="AG359" i="1"/>
  <c r="AH359" i="1"/>
  <c r="AI359" i="1"/>
  <c r="AJ359" i="1"/>
  <c r="AK359" i="1"/>
  <c r="AL359" i="1"/>
  <c r="AE104" i="1"/>
  <c r="AF104" i="1"/>
  <c r="AG104" i="1"/>
  <c r="AH104" i="1"/>
  <c r="AI104" i="1"/>
  <c r="AJ104" i="1"/>
  <c r="AK104" i="1"/>
  <c r="AL104" i="1"/>
  <c r="AE281" i="1"/>
  <c r="AF281" i="1"/>
  <c r="AG281" i="1"/>
  <c r="AH281" i="1"/>
  <c r="AI281" i="1"/>
  <c r="AJ281" i="1"/>
  <c r="AK281" i="1"/>
  <c r="AL281" i="1"/>
  <c r="AE161" i="1"/>
  <c r="AF161" i="1"/>
  <c r="AG161" i="1"/>
  <c r="AH161" i="1"/>
  <c r="AI161" i="1"/>
  <c r="AJ161" i="1"/>
  <c r="AK161" i="1"/>
  <c r="AL161" i="1"/>
  <c r="AE230" i="1"/>
  <c r="AF230" i="1"/>
  <c r="AG230" i="1"/>
  <c r="AH230" i="1"/>
  <c r="AI230" i="1"/>
  <c r="AJ230" i="1"/>
  <c r="AK230" i="1"/>
  <c r="AL230" i="1"/>
  <c r="AE235" i="1"/>
  <c r="AF235" i="1"/>
  <c r="AG235" i="1"/>
  <c r="AH235" i="1"/>
  <c r="AI235" i="1"/>
  <c r="AJ235" i="1"/>
  <c r="AK235" i="1"/>
  <c r="AL235" i="1"/>
  <c r="AE330" i="1"/>
  <c r="AF330" i="1"/>
  <c r="AG330" i="1"/>
  <c r="AH330" i="1"/>
  <c r="AI330" i="1"/>
  <c r="AJ330" i="1"/>
  <c r="AK330" i="1"/>
  <c r="AL330" i="1"/>
  <c r="AE58" i="1"/>
  <c r="AF58" i="1"/>
  <c r="AG58" i="1"/>
  <c r="AH58" i="1"/>
  <c r="AI58" i="1"/>
  <c r="AJ58" i="1"/>
  <c r="AK58" i="1"/>
  <c r="AL58" i="1"/>
  <c r="AE170" i="1"/>
  <c r="AF170" i="1"/>
  <c r="AG170" i="1"/>
  <c r="AH170" i="1"/>
  <c r="AI170" i="1"/>
  <c r="AJ170" i="1"/>
  <c r="AK170" i="1"/>
  <c r="AL170" i="1"/>
  <c r="AE141" i="1"/>
  <c r="AF141" i="1"/>
  <c r="AG141" i="1"/>
  <c r="AH141" i="1"/>
  <c r="AI141" i="1"/>
  <c r="AJ141" i="1"/>
  <c r="AK141" i="1"/>
  <c r="AL141" i="1"/>
  <c r="AF267" i="1"/>
  <c r="AG267" i="1"/>
  <c r="AH267" i="1"/>
  <c r="AI267" i="1"/>
  <c r="AJ267" i="1"/>
  <c r="AK267" i="1"/>
  <c r="AL267" i="1"/>
  <c r="AE215" i="1"/>
  <c r="AF215" i="1"/>
  <c r="AG215" i="1"/>
  <c r="AH215" i="1"/>
  <c r="AI215" i="1"/>
  <c r="AJ215" i="1"/>
  <c r="AK215" i="1"/>
  <c r="AL215" i="1"/>
  <c r="AE208" i="1"/>
  <c r="AF208" i="1"/>
  <c r="AG208" i="1"/>
  <c r="AH208" i="1"/>
  <c r="AI208" i="1"/>
  <c r="AJ208" i="1"/>
  <c r="AK208" i="1"/>
  <c r="AL208" i="1"/>
  <c r="AE47" i="1"/>
  <c r="AF47" i="1"/>
  <c r="AG47" i="1"/>
  <c r="AH47" i="1"/>
  <c r="AI47" i="1"/>
  <c r="AJ47" i="1"/>
  <c r="AK47" i="1"/>
  <c r="AL47" i="1"/>
  <c r="AE250" i="1"/>
  <c r="AF250" i="1"/>
  <c r="AG250" i="1"/>
  <c r="AH250" i="1"/>
  <c r="AI250" i="1"/>
  <c r="AJ250" i="1"/>
  <c r="AK250" i="1"/>
  <c r="AL250" i="1"/>
  <c r="AE209" i="1"/>
  <c r="AF209" i="1"/>
  <c r="AG209" i="1"/>
  <c r="AH209" i="1"/>
  <c r="AI209" i="1"/>
  <c r="AJ209" i="1"/>
  <c r="AK209" i="1"/>
  <c r="AL209" i="1"/>
  <c r="AE298" i="1"/>
  <c r="AF298" i="1"/>
  <c r="AG298" i="1"/>
  <c r="AH298" i="1"/>
  <c r="AI298" i="1"/>
  <c r="AJ298" i="1"/>
  <c r="AK298" i="1"/>
  <c r="AL298" i="1"/>
  <c r="AE274" i="1"/>
  <c r="AF274" i="1"/>
  <c r="AG274" i="1"/>
  <c r="AH274" i="1"/>
  <c r="AI274" i="1"/>
  <c r="AJ274" i="1"/>
  <c r="AK274" i="1"/>
  <c r="AL274" i="1"/>
  <c r="AE105" i="1"/>
  <c r="AF105" i="1"/>
  <c r="AG105" i="1"/>
  <c r="AH105" i="1"/>
  <c r="AI105" i="1"/>
  <c r="AJ105" i="1"/>
  <c r="AK105" i="1"/>
  <c r="AL105" i="1"/>
  <c r="AE144" i="1"/>
  <c r="AF144" i="1"/>
  <c r="AG144" i="1"/>
  <c r="AH144" i="1"/>
  <c r="AI144" i="1"/>
  <c r="AJ144" i="1"/>
  <c r="AK144" i="1"/>
  <c r="AL144" i="1"/>
  <c r="AE306" i="1"/>
  <c r="AF306" i="1"/>
  <c r="AG306" i="1"/>
  <c r="AH306" i="1"/>
  <c r="AI306" i="1"/>
  <c r="AJ306" i="1"/>
  <c r="AK306" i="1"/>
  <c r="AL306" i="1"/>
  <c r="AE364" i="1"/>
  <c r="AF364" i="1"/>
  <c r="AG364" i="1"/>
  <c r="AH364" i="1"/>
  <c r="AI364" i="1"/>
  <c r="AJ364" i="1"/>
  <c r="AK364" i="1"/>
  <c r="AL364" i="1"/>
  <c r="AE201" i="1"/>
  <c r="AF201" i="1"/>
  <c r="AG201" i="1"/>
  <c r="AH201" i="1"/>
  <c r="AI201" i="1"/>
  <c r="AJ201" i="1"/>
  <c r="AK201" i="1"/>
  <c r="AL201" i="1"/>
  <c r="AE296" i="1"/>
  <c r="AF296" i="1"/>
  <c r="AG296" i="1"/>
  <c r="AH296" i="1"/>
  <c r="AI296" i="1"/>
  <c r="AJ296" i="1"/>
  <c r="AK296" i="1"/>
  <c r="AL296" i="1"/>
  <c r="AE363" i="1"/>
  <c r="AF363" i="1"/>
  <c r="AG363" i="1"/>
  <c r="AH363" i="1"/>
  <c r="AI363" i="1"/>
  <c r="AJ363" i="1"/>
  <c r="AK363" i="1"/>
  <c r="AL363" i="1"/>
  <c r="AE243" i="1"/>
  <c r="AF243" i="1"/>
  <c r="AG243" i="1"/>
  <c r="AH243" i="1"/>
  <c r="AI243" i="1"/>
  <c r="AJ243" i="1"/>
  <c r="AK243" i="1"/>
  <c r="AL243" i="1"/>
  <c r="AE248" i="1"/>
  <c r="AF248" i="1"/>
  <c r="AG248" i="1"/>
  <c r="AH248" i="1"/>
  <c r="AI248" i="1"/>
  <c r="AJ248" i="1"/>
  <c r="AK248" i="1"/>
  <c r="AL248" i="1"/>
  <c r="AE234" i="1"/>
  <c r="AF234" i="1"/>
  <c r="AG234" i="1"/>
  <c r="AH234" i="1"/>
  <c r="AI234" i="1"/>
  <c r="AJ234" i="1"/>
  <c r="AK234" i="1"/>
  <c r="AL234" i="1"/>
  <c r="AE272" i="1"/>
  <c r="AF272" i="1"/>
  <c r="AG272" i="1"/>
  <c r="AH272" i="1"/>
  <c r="AI272" i="1"/>
  <c r="AJ272" i="1"/>
  <c r="AK272" i="1"/>
  <c r="AL272" i="1"/>
  <c r="AE348" i="1"/>
  <c r="AF348" i="1"/>
  <c r="AG348" i="1"/>
  <c r="AH348" i="1"/>
  <c r="AI348" i="1"/>
  <c r="AJ348" i="1"/>
  <c r="AK348" i="1"/>
  <c r="AL348" i="1"/>
  <c r="AE361" i="1"/>
  <c r="AF361" i="1"/>
  <c r="AG361" i="1"/>
  <c r="AH361" i="1"/>
  <c r="AI361" i="1"/>
  <c r="AJ361" i="1"/>
  <c r="AK361" i="1"/>
  <c r="AL361" i="1"/>
  <c r="AE185" i="1"/>
  <c r="AF185" i="1"/>
  <c r="AG185" i="1"/>
  <c r="AH185" i="1"/>
  <c r="AI185" i="1"/>
  <c r="AJ185" i="1"/>
  <c r="AK185" i="1"/>
  <c r="AL185" i="1"/>
  <c r="AE233" i="1"/>
  <c r="AF233" i="1"/>
  <c r="AG233" i="1"/>
  <c r="AH233" i="1"/>
  <c r="AI233" i="1"/>
  <c r="AJ233" i="1"/>
  <c r="AK233" i="1"/>
  <c r="AL233" i="1"/>
  <c r="AE132" i="1"/>
  <c r="AF132" i="1"/>
  <c r="AG132" i="1"/>
  <c r="AH132" i="1"/>
  <c r="AI132" i="1"/>
  <c r="AJ132" i="1"/>
  <c r="AK132" i="1"/>
  <c r="AL132" i="1"/>
  <c r="AE146" i="1"/>
  <c r="AF146" i="1"/>
  <c r="AG146" i="1"/>
  <c r="AH146" i="1"/>
  <c r="AI146" i="1"/>
  <c r="AJ146" i="1"/>
  <c r="AK146" i="1"/>
  <c r="AL146" i="1"/>
  <c r="AE331" i="1"/>
  <c r="AF331" i="1"/>
  <c r="AG331" i="1"/>
  <c r="AH331" i="1"/>
  <c r="AI331" i="1"/>
  <c r="AJ331" i="1"/>
  <c r="AK331" i="1"/>
  <c r="AL331" i="1"/>
  <c r="AE292" i="1"/>
  <c r="AF292" i="1"/>
  <c r="AG292" i="1"/>
  <c r="AH292" i="1"/>
  <c r="AI292" i="1"/>
  <c r="AJ292" i="1"/>
  <c r="AK292" i="1"/>
  <c r="AL292" i="1"/>
  <c r="AE175" i="1"/>
  <c r="AF175" i="1"/>
  <c r="AG175" i="1"/>
  <c r="AH175" i="1"/>
  <c r="AI175" i="1"/>
  <c r="AJ175" i="1"/>
  <c r="AK175" i="1"/>
  <c r="AL175" i="1"/>
  <c r="AE321" i="1"/>
  <c r="AF321" i="1"/>
  <c r="AG321" i="1"/>
  <c r="AH321" i="1"/>
  <c r="AI321" i="1"/>
  <c r="AJ321" i="1"/>
  <c r="AK321" i="1"/>
  <c r="AL321" i="1"/>
  <c r="AE206" i="1"/>
  <c r="AF206" i="1"/>
  <c r="AG206" i="1"/>
  <c r="AH206" i="1"/>
  <c r="AI206" i="1"/>
  <c r="AJ206" i="1"/>
  <c r="AK206" i="1"/>
  <c r="AL206" i="1"/>
  <c r="AE57" i="1"/>
  <c r="AF57" i="1"/>
  <c r="AG57" i="1"/>
  <c r="AH57" i="1"/>
  <c r="AI57" i="1"/>
  <c r="AJ57" i="1"/>
  <c r="AK57" i="1"/>
  <c r="AL57" i="1"/>
  <c r="AE139" i="1"/>
  <c r="AF139" i="1"/>
  <c r="AG139" i="1"/>
  <c r="AH139" i="1"/>
  <c r="AI139" i="1"/>
  <c r="AJ139" i="1"/>
  <c r="AK139" i="1"/>
  <c r="AL139" i="1"/>
  <c r="AE193" i="1"/>
  <c r="AF193" i="1"/>
  <c r="AG193" i="1"/>
  <c r="AH193" i="1"/>
  <c r="AI193" i="1"/>
  <c r="AJ193" i="1"/>
  <c r="AK193" i="1"/>
  <c r="AL193" i="1"/>
  <c r="AE232" i="1"/>
  <c r="AF232" i="1"/>
  <c r="AG232" i="1"/>
  <c r="AH232" i="1"/>
  <c r="AI232" i="1"/>
  <c r="AJ232" i="1"/>
  <c r="AK232" i="1"/>
  <c r="AL232" i="1"/>
  <c r="AE273" i="1"/>
  <c r="AF273" i="1"/>
  <c r="AG273" i="1"/>
  <c r="AH273" i="1"/>
  <c r="AI273" i="1"/>
  <c r="AJ273" i="1"/>
  <c r="AK273" i="1"/>
  <c r="AL273" i="1"/>
  <c r="AE143" i="1"/>
  <c r="AF143" i="1"/>
  <c r="AG143" i="1"/>
  <c r="AH143" i="1"/>
  <c r="AI143" i="1"/>
  <c r="AJ143" i="1"/>
  <c r="AK143" i="1"/>
  <c r="AL143" i="1"/>
  <c r="AE221" i="1"/>
  <c r="AF221" i="1"/>
  <c r="AG221" i="1"/>
  <c r="AH221" i="1"/>
  <c r="AI221" i="1"/>
  <c r="AJ221" i="1"/>
  <c r="AK221" i="1"/>
  <c r="AL221" i="1"/>
  <c r="AE213" i="1"/>
  <c r="AF213" i="1"/>
  <c r="AG213" i="1"/>
  <c r="AH213" i="1"/>
  <c r="AI213" i="1"/>
  <c r="AJ213" i="1"/>
  <c r="AK213" i="1"/>
  <c r="AL213" i="1"/>
  <c r="AE158" i="1"/>
  <c r="AF158" i="1"/>
  <c r="AG158" i="1"/>
  <c r="AH158" i="1"/>
  <c r="AI158" i="1"/>
  <c r="AJ158" i="1"/>
  <c r="AK158" i="1"/>
  <c r="AL158" i="1"/>
  <c r="AE286" i="1"/>
  <c r="AF286" i="1"/>
  <c r="AG286" i="1"/>
  <c r="AH286" i="1"/>
  <c r="AI286" i="1"/>
  <c r="AJ286" i="1"/>
  <c r="AK286" i="1"/>
  <c r="AL286" i="1"/>
  <c r="AE157" i="1"/>
  <c r="AF157" i="1"/>
  <c r="AG157" i="1"/>
  <c r="AH157" i="1"/>
  <c r="AI157" i="1"/>
  <c r="AJ157" i="1"/>
  <c r="AK157" i="1"/>
  <c r="AL157" i="1"/>
  <c r="AE137" i="1"/>
  <c r="AF137" i="1"/>
  <c r="AG137" i="1"/>
  <c r="AH137" i="1"/>
  <c r="AI137" i="1"/>
  <c r="AJ137" i="1"/>
  <c r="AK137" i="1"/>
  <c r="AL137" i="1"/>
  <c r="AE212" i="1"/>
  <c r="AF212" i="1"/>
  <c r="AG212" i="1"/>
  <c r="AH212" i="1"/>
  <c r="AI212" i="1"/>
  <c r="AJ212" i="1"/>
  <c r="AK212" i="1"/>
  <c r="AL212" i="1"/>
  <c r="AE329" i="1"/>
  <c r="AF329" i="1"/>
  <c r="AG329" i="1"/>
  <c r="AH329" i="1"/>
  <c r="AI329" i="1"/>
  <c r="AJ329" i="1"/>
  <c r="AK329" i="1"/>
  <c r="AL329" i="1"/>
  <c r="AE173" i="1"/>
  <c r="AF173" i="1"/>
  <c r="AG173" i="1"/>
  <c r="AH173" i="1"/>
  <c r="AI173" i="1"/>
  <c r="AJ173" i="1"/>
  <c r="AK173" i="1"/>
  <c r="AL173" i="1"/>
  <c r="AE166" i="1"/>
  <c r="AF166" i="1"/>
  <c r="AG166" i="1"/>
  <c r="AH166" i="1"/>
  <c r="AI166" i="1"/>
  <c r="AJ166" i="1"/>
  <c r="AK166" i="1"/>
  <c r="AE324" i="1"/>
  <c r="AF324" i="1"/>
  <c r="AG324" i="1"/>
  <c r="AH324" i="1"/>
  <c r="AI324" i="1"/>
  <c r="AJ324" i="1"/>
  <c r="AK324" i="1"/>
  <c r="AL324" i="1"/>
  <c r="AE340" i="1"/>
  <c r="AF340" i="1"/>
  <c r="AG340" i="1"/>
  <c r="AH340" i="1"/>
  <c r="AI340" i="1"/>
  <c r="AJ340" i="1"/>
  <c r="AK340" i="1"/>
  <c r="AL340" i="1"/>
  <c r="AE176" i="1"/>
  <c r="AF176" i="1"/>
  <c r="AG176" i="1"/>
  <c r="AH176" i="1"/>
  <c r="AI176" i="1"/>
  <c r="AJ176" i="1"/>
  <c r="AK176" i="1"/>
  <c r="AL176" i="1"/>
  <c r="AE142" i="1"/>
  <c r="AF142" i="1"/>
  <c r="AG142" i="1"/>
  <c r="AH142" i="1"/>
  <c r="AI142" i="1"/>
  <c r="AJ142" i="1"/>
  <c r="AK142" i="1"/>
  <c r="AL142" i="1"/>
  <c r="AE204" i="1"/>
  <c r="AF204" i="1"/>
  <c r="AG204" i="1"/>
  <c r="AH204" i="1"/>
  <c r="AI204" i="1"/>
  <c r="AJ204" i="1"/>
  <c r="AK204" i="1"/>
  <c r="AL204" i="1"/>
  <c r="AE225" i="1"/>
  <c r="AF225" i="1"/>
  <c r="AG225" i="1"/>
  <c r="AH225" i="1"/>
  <c r="AI225" i="1"/>
  <c r="AJ225" i="1"/>
  <c r="AK225" i="1"/>
  <c r="AL225" i="1"/>
  <c r="AE202" i="1"/>
  <c r="AF202" i="1"/>
  <c r="AG202" i="1"/>
  <c r="AH202" i="1"/>
  <c r="AI202" i="1"/>
  <c r="AJ202" i="1"/>
  <c r="AK202" i="1"/>
  <c r="AL202" i="1"/>
  <c r="AE237" i="1"/>
  <c r="AF237" i="1"/>
  <c r="AG237" i="1"/>
  <c r="AH237" i="1"/>
  <c r="AI237" i="1"/>
  <c r="AJ237" i="1"/>
  <c r="AK237" i="1"/>
  <c r="AL237" i="1"/>
  <c r="AE341" i="1"/>
  <c r="AF341" i="1"/>
  <c r="AG341" i="1"/>
  <c r="AH341" i="1"/>
  <c r="AI341" i="1"/>
  <c r="AJ341" i="1"/>
  <c r="AK341" i="1"/>
  <c r="AL341" i="1"/>
  <c r="AE67" i="1"/>
  <c r="AF67" i="1"/>
  <c r="AG67" i="1"/>
  <c r="AH67" i="1"/>
  <c r="AI67" i="1"/>
  <c r="AJ67" i="1"/>
  <c r="AK67" i="1"/>
  <c r="AL67" i="1"/>
  <c r="AE135" i="1"/>
  <c r="AF135" i="1"/>
  <c r="AG135" i="1"/>
  <c r="AH135" i="1"/>
  <c r="AI135" i="1"/>
  <c r="AJ135" i="1"/>
  <c r="AK135" i="1"/>
  <c r="AL135" i="1"/>
  <c r="AE200" i="1"/>
  <c r="AF200" i="1"/>
  <c r="AG200" i="1"/>
  <c r="AH200" i="1"/>
  <c r="AI200" i="1"/>
  <c r="AJ200" i="1"/>
  <c r="AK200" i="1"/>
  <c r="AL200" i="1"/>
  <c r="AE124" i="1"/>
  <c r="AF124" i="1"/>
  <c r="AG124" i="1"/>
  <c r="AH124" i="1"/>
  <c r="AI124" i="1"/>
  <c r="AJ124" i="1"/>
  <c r="AK124" i="1"/>
  <c r="AE287" i="1"/>
  <c r="AF287" i="1"/>
  <c r="AG287" i="1"/>
  <c r="AH287" i="1"/>
  <c r="AI287" i="1"/>
  <c r="AJ287" i="1"/>
  <c r="AK287" i="1"/>
  <c r="AL287" i="1"/>
  <c r="AE283" i="1"/>
  <c r="AF283" i="1"/>
  <c r="AG283" i="1"/>
  <c r="AH283" i="1"/>
  <c r="AI283" i="1"/>
  <c r="AJ283" i="1"/>
  <c r="AK283" i="1"/>
  <c r="AL283" i="1"/>
  <c r="AE222" i="1"/>
  <c r="AF222" i="1"/>
  <c r="AG222" i="1"/>
  <c r="AH222" i="1"/>
  <c r="AI222" i="1"/>
  <c r="AJ222" i="1"/>
  <c r="AK222" i="1"/>
  <c r="AL222" i="1"/>
  <c r="AE220" i="1"/>
  <c r="AF220" i="1"/>
  <c r="AG220" i="1"/>
  <c r="AH220" i="1"/>
  <c r="AI220" i="1"/>
  <c r="AJ220" i="1"/>
  <c r="AK220" i="1"/>
  <c r="AL220" i="1"/>
  <c r="AE211" i="1"/>
  <c r="AF211" i="1"/>
  <c r="AG211" i="1"/>
  <c r="AH211" i="1"/>
  <c r="AI211" i="1"/>
  <c r="AJ211" i="1"/>
  <c r="AK211" i="1"/>
  <c r="AL211" i="1"/>
  <c r="AE360" i="1"/>
  <c r="AF360" i="1"/>
  <c r="AG360" i="1"/>
  <c r="AH360" i="1"/>
  <c r="AI360" i="1"/>
  <c r="AJ360" i="1"/>
  <c r="AK360" i="1"/>
  <c r="AL360" i="1"/>
  <c r="AE165" i="1"/>
  <c r="AF165" i="1"/>
  <c r="AG165" i="1"/>
  <c r="AH165" i="1"/>
  <c r="AI165" i="1"/>
  <c r="AJ165" i="1"/>
  <c r="AK165" i="1"/>
  <c r="AL165" i="1"/>
  <c r="AE101" i="1"/>
  <c r="AF101" i="1"/>
  <c r="AG101" i="1"/>
  <c r="AH101" i="1"/>
  <c r="AI101" i="1"/>
  <c r="AJ101" i="1"/>
  <c r="AK101" i="1"/>
  <c r="AL101" i="1"/>
  <c r="AE136" i="1"/>
  <c r="AF136" i="1"/>
  <c r="AG136" i="1"/>
  <c r="AH136" i="1"/>
  <c r="AI136" i="1"/>
  <c r="AJ136" i="1"/>
  <c r="AK136" i="1"/>
  <c r="AL136" i="1"/>
  <c r="AE87" i="1"/>
  <c r="AF87" i="1"/>
  <c r="AG87" i="1"/>
  <c r="AH87" i="1"/>
  <c r="AI87" i="1"/>
  <c r="AJ87" i="1"/>
  <c r="AK87" i="1"/>
  <c r="AL87" i="1"/>
  <c r="AE262" i="1"/>
  <c r="AF262" i="1"/>
  <c r="AG262" i="1"/>
  <c r="AH262" i="1"/>
  <c r="AI262" i="1"/>
  <c r="AJ262" i="1"/>
  <c r="AK262" i="1"/>
  <c r="AL262" i="1"/>
  <c r="AE123" i="1"/>
  <c r="AF123" i="1"/>
  <c r="AG123" i="1"/>
  <c r="AH123" i="1"/>
  <c r="AI123" i="1"/>
  <c r="AJ123" i="1"/>
  <c r="AK123" i="1"/>
  <c r="AL123" i="1"/>
  <c r="AE269" i="1"/>
  <c r="AF269" i="1"/>
  <c r="AG269" i="1"/>
  <c r="AH269" i="1"/>
  <c r="AI269" i="1"/>
  <c r="AJ269" i="1"/>
  <c r="AK269" i="1"/>
  <c r="AL269" i="1"/>
  <c r="AE282" i="1"/>
  <c r="AF282" i="1"/>
  <c r="AG282" i="1"/>
  <c r="AH282" i="1"/>
  <c r="AI282" i="1"/>
  <c r="AJ282" i="1"/>
  <c r="AK282" i="1"/>
  <c r="AL282" i="1"/>
  <c r="AE226" i="1"/>
  <c r="AF226" i="1"/>
  <c r="AG226" i="1"/>
  <c r="AH226" i="1"/>
  <c r="AI226" i="1"/>
  <c r="AJ226" i="1"/>
  <c r="AK226" i="1"/>
  <c r="AL226" i="1"/>
  <c r="AE307" i="1"/>
  <c r="AF307" i="1"/>
  <c r="AG307" i="1"/>
  <c r="AH307" i="1"/>
  <c r="AI307" i="1"/>
  <c r="AJ307" i="1"/>
  <c r="AK307" i="1"/>
  <c r="AL307" i="1"/>
  <c r="AE258" i="1"/>
  <c r="AF258" i="1"/>
  <c r="AG258" i="1"/>
  <c r="AH258" i="1"/>
  <c r="AI258" i="1"/>
  <c r="AJ258" i="1"/>
  <c r="AK258" i="1"/>
  <c r="AL258" i="1"/>
  <c r="AE169" i="1"/>
  <c r="AF169" i="1"/>
  <c r="AG169" i="1"/>
  <c r="AH169" i="1"/>
  <c r="AI169" i="1"/>
  <c r="AJ169" i="1"/>
  <c r="AK169" i="1"/>
  <c r="AL169" i="1"/>
  <c r="AE152" i="1"/>
  <c r="AF152" i="1"/>
  <c r="AG152" i="1"/>
  <c r="AH152" i="1"/>
  <c r="AI152" i="1"/>
  <c r="AJ152" i="1"/>
  <c r="AK152" i="1"/>
  <c r="AL152" i="1"/>
  <c r="AE128" i="1"/>
  <c r="AF128" i="1"/>
  <c r="AG128" i="1"/>
  <c r="AH128" i="1"/>
  <c r="AI128" i="1"/>
  <c r="AJ128" i="1"/>
  <c r="AK128" i="1"/>
  <c r="AL128" i="1"/>
  <c r="AE291" i="1"/>
  <c r="AF291" i="1"/>
  <c r="AG291" i="1"/>
  <c r="AH291" i="1"/>
  <c r="AI291" i="1"/>
  <c r="AJ291" i="1"/>
  <c r="AK291" i="1"/>
  <c r="AL291" i="1"/>
  <c r="AE345" i="1"/>
  <c r="AF345" i="1"/>
  <c r="AG345" i="1"/>
  <c r="AH345" i="1"/>
  <c r="AI345" i="1"/>
  <c r="AJ345" i="1"/>
  <c r="AK345" i="1"/>
  <c r="AL345" i="1"/>
  <c r="AE270" i="1"/>
  <c r="AF270" i="1"/>
  <c r="AG270" i="1"/>
  <c r="AH270" i="1"/>
  <c r="AI270" i="1"/>
  <c r="AJ270" i="1"/>
  <c r="AK270" i="1"/>
  <c r="AL270" i="1"/>
  <c r="AE172" i="1"/>
  <c r="AF172" i="1"/>
  <c r="AG172" i="1"/>
  <c r="AH172" i="1"/>
  <c r="AI172" i="1"/>
  <c r="AJ172" i="1"/>
  <c r="AK172" i="1"/>
  <c r="AL172" i="1"/>
  <c r="AE279" i="1"/>
  <c r="AF279" i="1"/>
  <c r="AG279" i="1"/>
  <c r="AH279" i="1"/>
  <c r="AI279" i="1"/>
  <c r="AJ279" i="1"/>
  <c r="AK279" i="1"/>
  <c r="AL279" i="1"/>
  <c r="AE148" i="1"/>
  <c r="AF148" i="1"/>
  <c r="AG148" i="1"/>
  <c r="AH148" i="1"/>
  <c r="AI148" i="1"/>
  <c r="AJ148" i="1"/>
  <c r="AK148" i="1"/>
  <c r="AL148" i="1"/>
  <c r="AE7" i="1"/>
  <c r="AF7" i="1"/>
  <c r="AG7" i="1"/>
  <c r="AH7" i="1"/>
  <c r="AI7" i="1"/>
  <c r="AJ7" i="1"/>
  <c r="AK7" i="1"/>
  <c r="AL7" i="1"/>
  <c r="AE118" i="1"/>
  <c r="AF118" i="1"/>
  <c r="AG118" i="1"/>
  <c r="AH118" i="1"/>
  <c r="AI118" i="1"/>
  <c r="AJ118" i="1"/>
  <c r="AK118" i="1"/>
  <c r="AL118" i="1"/>
  <c r="AE301" i="1"/>
  <c r="AF301" i="1"/>
  <c r="AG301" i="1"/>
  <c r="AH301" i="1"/>
  <c r="AI301" i="1"/>
  <c r="AJ301" i="1"/>
  <c r="AK301" i="1"/>
  <c r="AL301" i="1"/>
  <c r="AF21" i="1"/>
  <c r="AG21" i="1"/>
  <c r="AH21" i="1"/>
  <c r="AI21" i="1"/>
  <c r="AJ21" i="1"/>
  <c r="AK21" i="1"/>
  <c r="AE302" i="1"/>
  <c r="AF302" i="1"/>
  <c r="AG302" i="1"/>
  <c r="AH302" i="1"/>
  <c r="AI302" i="1"/>
  <c r="AJ302" i="1"/>
  <c r="AK302" i="1"/>
  <c r="AL302" i="1"/>
  <c r="AE43" i="1"/>
  <c r="AF43" i="1"/>
  <c r="AG43" i="1"/>
  <c r="AH43" i="1"/>
  <c r="AI43" i="1"/>
  <c r="AJ43" i="1"/>
  <c r="AK43" i="1"/>
  <c r="AL43" i="1"/>
  <c r="AE224" i="1"/>
  <c r="AF224" i="1"/>
  <c r="AG224" i="1"/>
  <c r="AH224" i="1"/>
  <c r="AI224" i="1"/>
  <c r="AJ224" i="1"/>
  <c r="AK224" i="1"/>
  <c r="AL224" i="1"/>
  <c r="AE192" i="1"/>
  <c r="AF192" i="1"/>
  <c r="AG192" i="1"/>
  <c r="AH192" i="1"/>
  <c r="AI192" i="1"/>
  <c r="AJ192" i="1"/>
  <c r="AK192" i="1"/>
  <c r="AL192" i="1"/>
  <c r="AE131" i="1"/>
  <c r="AF131" i="1"/>
  <c r="AG131" i="1"/>
  <c r="AH131" i="1"/>
  <c r="AI131" i="1"/>
  <c r="AJ131" i="1"/>
  <c r="AK131" i="1"/>
  <c r="AL131" i="1"/>
  <c r="AE314" i="1"/>
  <c r="AF314" i="1"/>
  <c r="AG314" i="1"/>
  <c r="AH314" i="1"/>
  <c r="AI314" i="1"/>
  <c r="AJ314" i="1"/>
  <c r="AK314" i="1"/>
  <c r="AL314" i="1"/>
  <c r="AE289" i="1"/>
  <c r="AF289" i="1"/>
  <c r="AG289" i="1"/>
  <c r="AH289" i="1"/>
  <c r="AI289" i="1"/>
  <c r="AJ289" i="1"/>
  <c r="AK289" i="1"/>
  <c r="AL289" i="1"/>
  <c r="AE319" i="1"/>
  <c r="AF319" i="1"/>
  <c r="AG319" i="1"/>
  <c r="AH319" i="1"/>
  <c r="AI319" i="1"/>
  <c r="AJ319" i="1"/>
  <c r="AK319" i="1"/>
  <c r="AL319" i="1"/>
  <c r="AE239" i="1"/>
  <c r="AF239" i="1"/>
  <c r="AG239" i="1"/>
  <c r="AH239" i="1"/>
  <c r="AI239" i="1"/>
  <c r="AJ239" i="1"/>
  <c r="AK239" i="1"/>
  <c r="AL239" i="1"/>
  <c r="AE153" i="1"/>
  <c r="AF153" i="1"/>
  <c r="AG153" i="1"/>
  <c r="AH153" i="1"/>
  <c r="AI153" i="1"/>
  <c r="AJ153" i="1"/>
  <c r="AK153" i="1"/>
  <c r="AL153" i="1"/>
  <c r="AE357" i="1"/>
  <c r="AF357" i="1"/>
  <c r="AG357" i="1"/>
  <c r="AH357" i="1"/>
  <c r="AI357" i="1"/>
  <c r="AJ357" i="1"/>
  <c r="AK357" i="1"/>
  <c r="AL357" i="1"/>
  <c r="AE30" i="1"/>
  <c r="AF30" i="1"/>
  <c r="AG30" i="1"/>
  <c r="AH30" i="1"/>
  <c r="AI30" i="1"/>
  <c r="AJ30" i="1"/>
  <c r="AK30" i="1"/>
  <c r="AL30" i="1"/>
  <c r="AE116" i="1"/>
  <c r="AF116" i="1"/>
  <c r="AG116" i="1"/>
  <c r="AH116" i="1"/>
  <c r="AI116" i="1"/>
  <c r="AJ116" i="1"/>
  <c r="AK116" i="1"/>
  <c r="AL116" i="1"/>
  <c r="AE156" i="1"/>
  <c r="AF156" i="1"/>
  <c r="AG156" i="1"/>
  <c r="AH156" i="1"/>
  <c r="AI156" i="1"/>
  <c r="AJ156" i="1"/>
  <c r="AK156" i="1"/>
  <c r="AL156" i="1"/>
  <c r="AF3" i="1"/>
  <c r="AG3" i="1"/>
  <c r="AH3" i="1"/>
  <c r="AI3" i="1"/>
  <c r="AJ3" i="1"/>
  <c r="AK3" i="1"/>
  <c r="AL3" i="1"/>
  <c r="AE4" i="1"/>
  <c r="AF4" i="1"/>
  <c r="AG4" i="1"/>
  <c r="AH4" i="1"/>
  <c r="AI4" i="1"/>
  <c r="AJ4" i="1"/>
  <c r="AK4" i="1"/>
  <c r="AL4" i="1"/>
  <c r="AE5" i="1"/>
  <c r="AF5" i="1"/>
  <c r="AG5" i="1"/>
  <c r="AH5" i="1"/>
  <c r="AI5" i="1"/>
  <c r="AJ5" i="1"/>
  <c r="AK5" i="1"/>
  <c r="AL5" i="1"/>
  <c r="AE6" i="1"/>
  <c r="AF6" i="1"/>
  <c r="AG6" i="1"/>
  <c r="AH6" i="1"/>
  <c r="AI6" i="1"/>
  <c r="AJ6" i="1"/>
  <c r="AK6" i="1"/>
  <c r="AL6" i="1"/>
  <c r="AE8" i="1"/>
  <c r="AF8" i="1"/>
  <c r="AG8" i="1"/>
  <c r="AH8" i="1"/>
  <c r="AI8" i="1"/>
  <c r="AJ8" i="1"/>
  <c r="AK8" i="1"/>
  <c r="AL8" i="1"/>
  <c r="AE9" i="1"/>
  <c r="AF9" i="1"/>
  <c r="AG9" i="1"/>
  <c r="AH9" i="1"/>
  <c r="AI9" i="1"/>
  <c r="AJ9" i="1"/>
  <c r="AK9" i="1"/>
  <c r="AL9" i="1"/>
  <c r="AE10" i="1"/>
  <c r="AF10" i="1"/>
  <c r="AG10" i="1"/>
  <c r="AH10" i="1"/>
  <c r="AI10" i="1"/>
  <c r="AJ10" i="1"/>
  <c r="AK10" i="1"/>
  <c r="AL10" i="1"/>
  <c r="AE11" i="1"/>
  <c r="AF11" i="1"/>
  <c r="AG11" i="1"/>
  <c r="AH11" i="1"/>
  <c r="AI11" i="1"/>
  <c r="AJ11" i="1"/>
  <c r="AK11" i="1"/>
  <c r="AL11" i="1"/>
  <c r="AL2" i="1"/>
  <c r="AK2" i="1"/>
  <c r="AJ2" i="1"/>
  <c r="AI2" i="1"/>
  <c r="AH2" i="1"/>
  <c r="AG2" i="1"/>
  <c r="AF2" i="1"/>
  <c r="J311" i="6" l="1"/>
  <c r="J313" i="6"/>
  <c r="I314" i="6" s="1"/>
  <c r="J307" i="6"/>
  <c r="J288" i="6"/>
  <c r="H289" i="6" s="1"/>
  <c r="J284" i="6"/>
  <c r="H285" i="6" s="1"/>
  <c r="J309" i="6"/>
  <c r="F310" i="6" s="1"/>
  <c r="J282" i="6"/>
  <c r="F283" i="6" s="1"/>
  <c r="J286" i="6"/>
  <c r="I287" i="6" s="1"/>
  <c r="D314" i="6" l="1"/>
  <c r="E314" i="6"/>
  <c r="E287" i="6"/>
  <c r="F314" i="6"/>
  <c r="H287" i="6"/>
  <c r="J289" i="6"/>
  <c r="I283" i="6"/>
  <c r="E283" i="6"/>
  <c r="D289" i="6"/>
  <c r="I285" i="6"/>
  <c r="G287" i="6"/>
  <c r="G283" i="6"/>
  <c r="G285" i="6"/>
  <c r="G314" i="6"/>
  <c r="F289" i="6"/>
  <c r="E289" i="6"/>
  <c r="D287" i="6"/>
  <c r="D283" i="6"/>
  <c r="D285" i="6"/>
  <c r="E310" i="6"/>
  <c r="F287" i="6"/>
  <c r="E285" i="6"/>
  <c r="H283" i="6"/>
  <c r="F285" i="6"/>
  <c r="H314" i="6"/>
  <c r="G289" i="6"/>
  <c r="I289" i="6"/>
  <c r="J314" i="6"/>
  <c r="J287" i="6" l="1"/>
  <c r="J285" i="6"/>
  <c r="J283" i="6"/>
  <c r="J296" i="6"/>
  <c r="I310" i="6" s="1"/>
  <c r="J294" i="6"/>
  <c r="I295" i="6" s="1"/>
  <c r="I297" i="6" l="1"/>
  <c r="D295" i="6"/>
  <c r="F308" i="6"/>
  <c r="H297" i="6"/>
  <c r="I308" i="6"/>
  <c r="E308" i="6"/>
  <c r="H308" i="6"/>
  <c r="I300" i="6"/>
  <c r="J298" i="6"/>
  <c r="E297" i="6"/>
  <c r="D308" i="6"/>
  <c r="G295" i="6"/>
  <c r="G308" i="6"/>
  <c r="H310" i="6"/>
  <c r="D297" i="6"/>
  <c r="F295" i="6"/>
  <c r="G310" i="6"/>
  <c r="F297" i="6"/>
  <c r="D310" i="6"/>
  <c r="H295" i="6"/>
  <c r="E295" i="6"/>
  <c r="G297" i="6"/>
  <c r="J295" i="6" l="1"/>
  <c r="J310" i="6"/>
  <c r="J308" i="6"/>
  <c r="J300" i="6"/>
  <c r="I301" i="6" s="1"/>
  <c r="J297" i="6"/>
  <c r="F301" i="6" l="1"/>
  <c r="D301" i="6"/>
  <c r="G301" i="6"/>
  <c r="E301" i="6"/>
  <c r="H301" i="6"/>
  <c r="J301" i="6"/>
</calcChain>
</file>

<file path=xl/sharedStrings.xml><?xml version="1.0" encoding="utf-8"?>
<sst xmlns="http://schemas.openxmlformats.org/spreadsheetml/2006/main" count="4761" uniqueCount="1582">
  <si>
    <t>Status</t>
  </si>
  <si>
    <t>Affordable</t>
  </si>
  <si>
    <t>07/2346/FUL</t>
  </si>
  <si>
    <t>62 Mill Farm Crescent_x000D_Whitton_x000D_Middlesex_x000D_TW4 5PG</t>
  </si>
  <si>
    <t>Conversion of house into three units incorporating: one studio unit, one 1-bedroom unit,one 3-bedroom unit. Rear Extension And Associated Parking, Refuse And Cycle Storage Facilities.</t>
  </si>
  <si>
    <t>CON</t>
  </si>
  <si>
    <t>08/0225/FUL</t>
  </si>
  <si>
    <t>Pouparts Yard And Land Rear Of 84A_x000D_Hampton Road_x000D_Twickenham_x000D_Middlesex</t>
  </si>
  <si>
    <t>Demolition of Pouparts Yard workshop and the erection of a mixed use development comprising 9 No. residential units and 348 square metres of commercial floor space with associated parking and landscaping.</t>
  </si>
  <si>
    <t>NEW</t>
  </si>
  <si>
    <t>09/3265/FUL</t>
  </si>
  <si>
    <t>Newland House School_x000D_28 - 36 Waldegrave Park_x000D_Twickenham</t>
  </si>
  <si>
    <t>Demolish no. 28 Waldegrave Park, replace with pre-preparatory unit and change of use to educational. Demolish storage units rear of 36 Waldegrave Park. New vehicular access. Create 8 new car parking spaces inc.1 disabled space. Rearrange parking at front</t>
  </si>
  <si>
    <t>10/1026/FUL</t>
  </si>
  <si>
    <t>21 St Georges Road_x000D_Twickenham</t>
  </si>
  <si>
    <t>Change of use from 3 no. self contained flats to a single family dwelling house incorporating minor internal alterations.</t>
  </si>
  <si>
    <t>10/1864/FUL</t>
  </si>
  <si>
    <t>84 Whitton Road_x000D_Twickenham_x000D_TW1 1BS</t>
  </si>
  <si>
    <t>Erection of 9 residential units.</t>
  </si>
  <si>
    <t>12/3452/FUL</t>
  </si>
  <si>
    <t>105 Church Road_x000D_Teddington_x000D_TW11 8QH</t>
  </si>
  <si>
    <t>Extension at ground and roof level to create an additional residential unit, to form 2 no. 1 bed flats</t>
  </si>
  <si>
    <t>EXT</t>
  </si>
  <si>
    <t>13/2845/P3JPA</t>
  </si>
  <si>
    <t>99 South Worple Way_x000D_East Sheen_x000D_London</t>
  </si>
  <si>
    <t>Change of use from class B1 (offices) to C3 (residential).</t>
  </si>
  <si>
    <t>CHU</t>
  </si>
  <si>
    <t>13/4409/FUL</t>
  </si>
  <si>
    <t>Royal Star And Garter Home_x000D_Richmond Hill_x000D_Richmond_x000D_TW10 6RR</t>
  </si>
  <si>
    <t>Change of use from care home (use class C2) to residential (use class C3), comprising 86 dwelling units, including reconfiguration of the listed building and minor demolition to modern additions, new basement car park and associated landscaping.</t>
  </si>
  <si>
    <t>13/4790/FUL</t>
  </si>
  <si>
    <t>5 Chestnut Avenue_x000D_Hampton_x000D_TW12 2NY</t>
  </si>
  <si>
    <t>Construction of a pair of three storey, semi detached three/four bedroom houses on site of recently demolished bungalow.</t>
  </si>
  <si>
    <t>14/0790/FUL</t>
  </si>
  <si>
    <t>6 And 8 And 10_x000D_High Street_x000D_Hampton Wick</t>
  </si>
  <si>
    <t>Conversion of existing listed buildings from disused bakery and joinery workshop to provide two houses (within no6-8) and flat over shop/office (no10). Demolition of part-three, part-two and single storey rear (later extensions) within the curtilage (and</t>
  </si>
  <si>
    <t>14/1488/FUL</t>
  </si>
  <si>
    <t>Inland Revenue_x000D_Ruskin Avenue_x000D_Kew</t>
  </si>
  <si>
    <t>Erection of 4 blocks containing 170 no. 1, 2 and 3 bedroom apartments (including 27 affordable housing 16%) and a GP surgery with associated semi-basement car and cycle parking, open space, play space, landscaping and new access arrangements.</t>
  </si>
  <si>
    <t>Y</t>
  </si>
  <si>
    <t>14/1865/FUL</t>
  </si>
  <si>
    <t>211 Staines Road_x000D_Twickenham_x000D_TW2 5AY</t>
  </si>
  <si>
    <t>Demolition of existing single storey side extension and detached garage to rear, alterations and erection of a new two-storey dwelling (including basement and accommodation within roof) adjoining No.211 Staines Road with associated landscaping and parkin</t>
  </si>
  <si>
    <t>14/2118/FUL</t>
  </si>
  <si>
    <t>14 Sheen Gate Gardens_x000D_East Sheen_x000D_London</t>
  </si>
  <si>
    <t>Conversion of existing block of 3 flats, back into onedwellinghouse. Demolition of existing part 2 storey, part single storey rear addition and erection of part 2 storey and part single storey rear extension. Erection of basement extension, part under ex</t>
  </si>
  <si>
    <t>14/2490/FUL</t>
  </si>
  <si>
    <t>29 Charles Street_x000D_Barnes_x000D_London</t>
  </si>
  <si>
    <t>Demolition of existing lock up garages and car repair garage and redevelopment to provide five dwellings (four houses on ground and basement level and one first floor flat) and 148 sqm of office (B1) accommodation, with associated parking and landscaping</t>
  </si>
  <si>
    <t>14/2687/FUL</t>
  </si>
  <si>
    <t>6 Cambrian Road_x000D_Richmond</t>
  </si>
  <si>
    <t>Reversion from two flats into one single 4 bed dwellinghouse and addition of solar panels</t>
  </si>
  <si>
    <t>14/2736/FUL</t>
  </si>
  <si>
    <t>Demolition and the replacement of an existing bungalow with a single family dwelling.</t>
  </si>
  <si>
    <t>14/3027/P3JPA</t>
  </si>
  <si>
    <t>Barnes Police Station_x000D_92 - 102 Station Road_x000D_Barnes_x000D_London_x000D_SW13 0NG</t>
  </si>
  <si>
    <t>Change of use from office building (use class B1a) to residential use (use class C3).</t>
  </si>
  <si>
    <t>14/3780/FUL</t>
  </si>
  <si>
    <t>Richmond Film Services_x000D_Park Lane_x000D_Richmond_x000D_TW9 2RA</t>
  </si>
  <si>
    <t>The conversion and restoration of the Old School building to form 5 no. residential apartments, and 90 square metres of B1a Office space, and the erection of 3no. terraced townhouses with basement accommodation at the rear, with car parking, landscaping,</t>
  </si>
  <si>
    <t>MIX</t>
  </si>
  <si>
    <t>14/3783/FUL</t>
  </si>
  <si>
    <t>51 Burtons Road_x000D_Hampton Hill_x000D_Hampton_x000D_TW12 1DE</t>
  </si>
  <si>
    <t>Erection of 2 bedroom house on land adjacent to 51 Burtons Road</t>
  </si>
  <si>
    <t>14/4801/FUL</t>
  </si>
  <si>
    <t>65 Heathside_x000D_Whitton_x000D_Hounslow_x000D_TW4 5NJ</t>
  </si>
  <si>
    <t>Erection of a detached 3 bedroom dwelling with associated landscaping, 2 no. off-street parking spaces and new vehicle crossover.</t>
  </si>
  <si>
    <t>14/4842/FUL</t>
  </si>
  <si>
    <t>Queens House_x000D_2 Holly Road_x000D_Twickenham</t>
  </si>
  <si>
    <t>Conversion, elevational alterations and infill extension of the existing Queens House building from office (B1) to residential use comprising 10 x 1 bed and 22 x 2 bed flats (100% affordable housing). Demolition of existing 2 storey extension to Queens H</t>
  </si>
  <si>
    <t>15/0182/FUL</t>
  </si>
  <si>
    <t>2 Longford Close_x000D_Hampton Hill_x000D_TW12 1AB</t>
  </si>
  <si>
    <t>Extension to the side of the existing building, that will become a new 2 bedroom family dwelling.</t>
  </si>
  <si>
    <t>15/0429/FUL</t>
  </si>
  <si>
    <t>1 Ham Farm Road_x000D_Ham_x000D_Richmond_x000D_TW10 5ND</t>
  </si>
  <si>
    <t>Ground floor and first floor extension to rear of existing garage to create a self-contained residential unit.</t>
  </si>
  <si>
    <t>15/1135/PS192</t>
  </si>
  <si>
    <t>Ground Floor_x000D_18 Water Lane_x000D_Richmond_x000D_TW9 1TJ</t>
  </si>
  <si>
    <t>15/1397/P3JPA</t>
  </si>
  <si>
    <t>38-42 Hampton Road_x000D_Teddington_x000D_TW11 0JE</t>
  </si>
  <si>
    <t>Change of use from B1 office use to C3 residential use (17 x 1 bed units (2 person), 10 x 2 bed units (3 person), 8 x 2 bed units (4 person) units (totalling 35 residential units).</t>
  </si>
  <si>
    <t>15/1687/FUL</t>
  </si>
  <si>
    <t>186 Castelnau_x000D_Barnes_x000D_London_x000D_SW13 9DH</t>
  </si>
  <si>
    <t>Change of use for part of the ground floor (A1 use) shop to (C3 use) residential and single storey rear extension to create a new 1 bedroom residential dwelling.</t>
  </si>
  <si>
    <t>15/3256/GPD15</t>
  </si>
  <si>
    <t>1D Becketts Place_x000D_Hampton Wick</t>
  </si>
  <si>
    <t>Change of use of B1 office to C3 residential use of ground and mezzanine floors (2 x 1 bed flats at ground floor level, 1 x 1 bed flat at first floor level)</t>
  </si>
  <si>
    <t>15/4257/FUL</t>
  </si>
  <si>
    <t>13 Rectory Road_x000D_Barnes_x000D_London_x000D_SW13 0DU</t>
  </si>
  <si>
    <t>Re-unification of two flats into a single house.</t>
  </si>
  <si>
    <t>15/4337/FUL</t>
  </si>
  <si>
    <t>27 Grove Terrace_x000D_Teddington_x000D_TW11 8AU</t>
  </si>
  <si>
    <t>Construction of detached house with amenity space and off street car parking following removal of trees &amp; part removal/ replacement of boundary fence.</t>
  </si>
  <si>
    <t>15/4691/FUL</t>
  </si>
  <si>
    <t>26 Runnymede Road_x000D_Twickenham_x000D_TW2 7HF</t>
  </si>
  <si>
    <t>Demolition of existing single storey dwelling and erection of three new three storey houses, with off street parking.</t>
  </si>
  <si>
    <t>15/5216/FUL</t>
  </si>
  <si>
    <t>Redevelopment of the site to provide a care home, 4 supported living units and 15 affordable housing units, with associated onsite parking and external works. (This scheme is linked to application 15/5217/FUL - whereby the existing care home at Silver Bi</t>
  </si>
  <si>
    <t>16/0046/FUL</t>
  </si>
  <si>
    <t>283 Lonsdale Road_x000D_Barnes_x000D_London_x000D_SW13 9QB</t>
  </si>
  <si>
    <t>Demolition of the existing building and the erection of three x 2 bed dwellings with associated parking, landscaping and basement.</t>
  </si>
  <si>
    <t>16/0400/FUL</t>
  </si>
  <si>
    <t>16A Red Lion Street_x000D_Richmond_x000D_TW9 1RW</t>
  </si>
  <si>
    <t>Subdivision of existing flat to create an additional residential unit. Infill of light well on first and second floors.</t>
  </si>
  <si>
    <t>16/0401/FUL</t>
  </si>
  <si>
    <t>18A Red Lion Street_x000D_Richmond</t>
  </si>
  <si>
    <t>Subdivision of existing flat to create an additional unit at same time as filling in the light well on first and second floors.</t>
  </si>
  <si>
    <t>16/0537/FUL</t>
  </si>
  <si>
    <t>51A Third Cross Road_x000D_Twickenham_x000D_TW2 5DY</t>
  </si>
  <si>
    <t>Replacement of existing single storey dwelling house with new two storey dwellinghouse.</t>
  </si>
  <si>
    <t>16/0602/FUL</t>
  </si>
  <si>
    <t>The Idle Hour _x000D_62 Railway Side_x000D_Barnes_x000D_London_x000D_SW13 0PQ</t>
  </si>
  <si>
    <t>Extension and conversion of existing pub and three-bedroom flat to create a two-bedroom house and two two-bedroom flats.</t>
  </si>
  <si>
    <t>16/0693/FUL</t>
  </si>
  <si>
    <t>25 School House Lane_x000D_Teddington_x000D_TW11 9DP</t>
  </si>
  <si>
    <t>Conversion of one dwelling into two new homes. Retention of and alteration to openings in the front façade with an additional front entrance. part single, part two storey extension to the rear. Internal works throughout to create new layout</t>
  </si>
  <si>
    <t>16/0726/FUL</t>
  </si>
  <si>
    <t>5 St Johns Road_x000D_Richmond_x000D_TW9 2PE</t>
  </si>
  <si>
    <t>Change of use from a basement flat and a maisonette to a single dwelling, with minor alterations.</t>
  </si>
  <si>
    <t>16/0966/GPD15</t>
  </si>
  <si>
    <t>Sheen Stables Rear Of 119_x000D_Sheen Lane_x000D_East Sheen_x000D_London_x000D_SW14 8AE</t>
  </si>
  <si>
    <t>Change of use from 5 no. offices (B1a use) to 2 no. residential houses (C3 use).</t>
  </si>
  <si>
    <t>16/1344/FUL</t>
  </si>
  <si>
    <t>208 - 210 Amyand Park Road_x000D_Twickenham_x000D_TW1 3HY</t>
  </si>
  <si>
    <t>Conversion works to lower ground floor to provide 1No 1-bedroom flat and basement storage for use ancillary to upper ground floor minicab offices.  Conversion of first floor to 2No. 1-bedroom flats (including conversion of part upper ground floor to prov</t>
  </si>
  <si>
    <t>16/1537/FUL</t>
  </si>
  <si>
    <t>85 Station Road_x000D_Hampton_x000D_TW12 2BJ</t>
  </si>
  <si>
    <t>Convert the house into two family dwellings.</t>
  </si>
  <si>
    <t>16/1624/FUL</t>
  </si>
  <si>
    <t>18 Cambrian Road_x000D_Richmond_x000D_TW10 6JQ</t>
  </si>
  <si>
    <t>Conversion of the existing house into 2No. self-contained split level maisonettes. Installation of solar photovoltaic panels to the rear roofslope and storage enclosure to front garden.</t>
  </si>
  <si>
    <t>16/1891/FUL</t>
  </si>
  <si>
    <t>14A St Peters Road_x000D_Twickenham_x000D_TW1 1QX</t>
  </si>
  <si>
    <t>Demolition of existing dwelling and erection of a two storey replacement dwellinghouse.</t>
  </si>
  <si>
    <t>16/2032/FUL</t>
  </si>
  <si>
    <t>188 Amyand Park Road_x000D_Twickenham_x000D_TW1 3HY</t>
  </si>
  <si>
    <t>Demolition of existing building. Erection of 2x terraced town houses (1 x 3 bed and 1 x 5 bed) with associated bin store and rear car parking area with 2x turntables. Demolition of the garage to the rear of property on Bridle Lane and the construction of</t>
  </si>
  <si>
    <t>16/2151/FUL</t>
  </si>
  <si>
    <t>Basement Flat_x000D_57 Church Road_x000D_Richmond_x000D_TW10 6LX</t>
  </si>
  <si>
    <t>Change of use from current use by the Labour Party (D2) to use as a residential dwelling (C3) and rear extension.</t>
  </si>
  <si>
    <t>16/2489/FUL</t>
  </si>
  <si>
    <t>34 - 40 The Quadrant_x000D_Richmond</t>
  </si>
  <si>
    <t>Erection of an extension to the third storey of an existing residential building to provide 2 no. (2 x one-bedroom) flats including roof terrace.</t>
  </si>
  <si>
    <t>16/2642/FUL</t>
  </si>
  <si>
    <t>Garages Rear Of Salliesfield_x000D_Kneller Road_x000D_Twickenham</t>
  </si>
  <si>
    <t>Demolition of existing garages for development of 4 no. residential units (3 no. 1 bed and 1 no. 2 bed units) and associated parking, cycle and refuse store, hard and soft landscaping.  Resiting of existing refuse store/area serving Salliesfield developm</t>
  </si>
  <si>
    <t>16/2959/FUL</t>
  </si>
  <si>
    <t>Prince House_x000D_116 High Street_x000D_Hampton Hill</t>
  </si>
  <si>
    <t>Erection of a single storey two bedroom house, with associated parking and amenity space.</t>
  </si>
  <si>
    <t>16/3019/FUL</t>
  </si>
  <si>
    <t>9 Tudor Road And_x000D_27 Milton Road_x000D_Hampton</t>
  </si>
  <si>
    <t>Redevelopment of the site to provide seven houses, associated landscaping and parking following the demolition of all existing buildings.</t>
  </si>
  <si>
    <t>16/3206/FUL</t>
  </si>
  <si>
    <t>349 - 351 Upper Richmond Road West_x000D_East Sheen_x000D_London</t>
  </si>
  <si>
    <t>Construction of two self contained flats at second floor level and accompanying interior alterations at first floor level to allow access to the new units [revised description].</t>
  </si>
  <si>
    <t>16/3605/PS192</t>
  </si>
  <si>
    <t>57 - 58 George Street_x000D_Richmond_x000D_TW9 1HE</t>
  </si>
  <si>
    <t>16/3670/FUL</t>
  </si>
  <si>
    <t>36 Denbigh Gardens_x000D_Richmond_x000D_TW10 6EL</t>
  </si>
  <si>
    <t>Demolition of existing two storey detached four bedroom house and construction of new detached two storey five bedroom house.</t>
  </si>
  <si>
    <t>16/3791/FUL</t>
  </si>
  <si>
    <t>92 - 94 Station Road_x000D_Hampton_x000D_TW12 2AX</t>
  </si>
  <si>
    <t>Erection of a single-storey, two-bedroom house with accommodation at roof level and associated car parking, cycle and refuse store.</t>
  </si>
  <si>
    <t>16/4000/FUL</t>
  </si>
  <si>
    <t>10 Stretton Road_x000D_Ham_x000D_Richmond_x000D_TW10 7QQ</t>
  </si>
  <si>
    <t>Conversion of an end-of-terrace 3-bed house into 2 no. flats.</t>
  </si>
  <si>
    <t>16/4231/FUL</t>
  </si>
  <si>
    <t>202 Upper Richmond Road West_x000D_East Sheen_x000D_London_x000D_SW14 8AN</t>
  </si>
  <si>
    <t>Alterations with dormer extensions to existing first floor dwelling, conversion into 3 no. apartments incorporating a loft conversion.</t>
  </si>
  <si>
    <t>16/4590/FUL</t>
  </si>
  <si>
    <t>2A Suffolk Road_x000D_Barnes_x000D_London_x000D_SW13 9PH</t>
  </si>
  <si>
    <t>Demolition of existing property and the construction of a new 4 bed house with basement with associated landscaping (bin and bike store).</t>
  </si>
  <si>
    <t>16/4669/FUL</t>
  </si>
  <si>
    <t>42 George Street_x000D_Richmond_x000D_TW9 1HJ</t>
  </si>
  <si>
    <t>Change of use of first and second floors from A1 ancillary to C3 residential to create 1 No. Studio apartment and 1 No. 2-bedroom apartment. First floor rear extension and alterations to fenestration.</t>
  </si>
  <si>
    <t>17/0259/FUL</t>
  </si>
  <si>
    <t>2 Queens Road_x000D_East Sheen_x000D_London_x000D_SW14 8PJ</t>
  </si>
  <si>
    <t>Demolition of building and erection of new dwelling with basement.</t>
  </si>
  <si>
    <t>17/0908/FUL</t>
  </si>
  <si>
    <t>224 - 226 Hampton Road_x000D_Twickenham</t>
  </si>
  <si>
    <t>Proposed two storey side/rear extension, single storey front and rear extensions and basement level to facilitate the provision of 137.5sqm additional A1(retail) floorspace to existing ground floor A1 retail store (no. 226) and internal reconfiguration o</t>
  </si>
  <si>
    <t>17/0968/FUL</t>
  </si>
  <si>
    <t>1 Palace Gate_x000D_Hampton Court Road_x000D_Hampton_x000D_East Molesey_x000D_KT8 9BN</t>
  </si>
  <si>
    <t>Change of use of part ground floor (stair access) and first floor from B1a(Office) to C3 (residential) use and change of use of part ground floor from A1(retail) to C3(residential).  Replacement door and window on ground floor side elevatio and installat</t>
  </si>
  <si>
    <t>17/1331/FUL</t>
  </si>
  <si>
    <t>56 Coval Road_x000D_East Sheen_x000D_London_x000D_SW14 7RL</t>
  </si>
  <si>
    <t>Application for the creation of a new single three storey family dwelling.</t>
  </si>
  <si>
    <t>17/2523/FUL</t>
  </si>
  <si>
    <t>Railway Cottage _x000D_White Hart Lane_x000D_Barnes_x000D_London_x000D_SW13 0PZ</t>
  </si>
  <si>
    <t>Conversion of existing dwelling house to 5 no. self-contained flats, comprising 3no. 1 bedroom units, 1no. 2 bedroom unit and 1no. 3 bedroom unit, and external alterations to existing fenestration.</t>
  </si>
  <si>
    <t>66 Derby Road East Sheen SW14 7DP</t>
  </si>
  <si>
    <t>77 - 79 Richmond Road Twickenham</t>
  </si>
  <si>
    <t>17/2656/FUL</t>
  </si>
  <si>
    <t>15 - 17 Paved Court_x000D_Richmond_x000D_TW9 1LZ</t>
  </si>
  <si>
    <t>Conversion of upper floors and part ground floor of property from A1 retail use (ground floor level) and storage ancillary to the retail use (first and second floors) to C3 residential comprising 1 no. 1 bedroom flat, incorporating associated internal al</t>
  </si>
  <si>
    <t>17/2779/NMA</t>
  </si>
  <si>
    <t>Non Material Amendment to Planning Permission 17/2779/VRC  (Removal of condition U05665 - NS09 (Formally condition 9 - Lifetime Homes Standards) of Planning Permission 16/0523/VRC) Amendments to include internal amendments to revise housing mix in Latchm</t>
  </si>
  <si>
    <t>17/3504/FUL</t>
  </si>
  <si>
    <t>Second Floor_x000D_57 - 58 George Street_x000D_Richmond</t>
  </si>
  <si>
    <t>Erection of second floor rear extension to create a 2 bedroom, 3 person residential unit (use class C3).</t>
  </si>
  <si>
    <t>17/3651/ES191</t>
  </si>
  <si>
    <t>11A St Johns Road_x000D_Hampton Wick_x000D_Kingston Upon Thames_x000D_KT1 4AN</t>
  </si>
  <si>
    <t>Application to establish the use as C3.</t>
  </si>
  <si>
    <t>17/3748/FUL</t>
  </si>
  <si>
    <t>101 Forsyth House_x000D_211 - 217 Lower Richmond Road_x000D_Richmond_x000D_TW9 4LN</t>
  </si>
  <si>
    <t>Creation of 2 No. x 1 bedroom residential flats through a third floor extension and alterations to fenestration [revised description].</t>
  </si>
  <si>
    <t>17/4002/FUL</t>
  </si>
  <si>
    <t>228 Kingston Road_x000D_Teddington</t>
  </si>
  <si>
    <t>Reversion of the existing premises (2 flats) back into a single family dwelling house involving construction of a new two storey rear extension, rear loft extension and alterations to the existing front dormer.</t>
  </si>
  <si>
    <t>17/4166/FUL</t>
  </si>
  <si>
    <t>37 Ferry Road_x000D_Barnes_x000D_London_x000D_SW13 9PP</t>
  </si>
  <si>
    <t>Retrospective application for the retention of the dwelling in situ comprising a new single family dwelling including a basement level.</t>
  </si>
  <si>
    <t>17/4605/GPD15</t>
  </si>
  <si>
    <t>10 Church Lane_x000D_Teddington_x000D_TW11 8PA</t>
  </si>
  <si>
    <t>Change of use from offices (B1a) to residential (C3) to provide 1 x 3 bed dwellinghouse.</t>
  </si>
  <si>
    <t>18/0049/FUL</t>
  </si>
  <si>
    <t>269 - 271 Sandycombe Road_x000D_Richmond</t>
  </si>
  <si>
    <t>Change of use to Bed and Breakfast accommodation (use class C1 - Hotel/Guesthouse).</t>
  </si>
  <si>
    <t>18/0774/ES191</t>
  </si>
  <si>
    <t>7A Kneller Road_x000D_Twickenham_x000D_TW2 7DF</t>
  </si>
  <si>
    <t>Application to establish the use of No.7A Kneller Road as a separate self-contained dwelling unit.</t>
  </si>
  <si>
    <t>18/1374/FUL</t>
  </si>
  <si>
    <t>19 - 20 Courtlands Avenue_x000D_Kew</t>
  </si>
  <si>
    <t>Conversion of 2 maisonettes into 1 family dwellinghouse including associated external and internal alterations.</t>
  </si>
  <si>
    <t>18/1549/FUL</t>
  </si>
  <si>
    <t>102 Oldfield Road_x000D_Hampton_x000D_TW12 2HR</t>
  </si>
  <si>
    <t>Part change of use and part reversion from 1x2 bed ground floor flat and 1x3 bed (HMO) on first floor flat to a 1x4 bed (6 persons) dwellinghouse (retrospective). Proposed works would include the removal of 3 parking spaces to the front with 2 parking sp</t>
  </si>
  <si>
    <t>63 Kew Green Kew</t>
  </si>
  <si>
    <t>18/2847/ES191</t>
  </si>
  <si>
    <t>4 Waldeck Road_x000D_Mortlake_x000D_London_x000D_SW14 7HF</t>
  </si>
  <si>
    <t>Establish use as single dwellinghouse (C3 residential use)</t>
  </si>
  <si>
    <t>18/3117/FUL</t>
  </si>
  <si>
    <t>Courtview House_x000D_Hampton Court Road_x000D_Hampton</t>
  </si>
  <si>
    <t>Change of use of the basement and second floor from office (Use Class B1) to two two-bedroom residential dwellings (Use Class C3).</t>
  </si>
  <si>
    <t>18/3940/GPD13</t>
  </si>
  <si>
    <t>138 Kneller Road_x000D_Twickenham_x000D_TW2 7DX</t>
  </si>
  <si>
    <t>Change of use from betting shop (sui generis) to C3 (residential) use to provide 2 x 1 bedroom flats.</t>
  </si>
  <si>
    <t>18/4092/FUL</t>
  </si>
  <si>
    <t>Third Floor_x000D_49 - 53 York Street_x000D_Twickenham_x000D_TW1 3LP</t>
  </si>
  <si>
    <t>Change of use of the third floor from residential (use class C3) to office (B1a), the provision of cycle parking, car parking alterations and associated works.</t>
  </si>
  <si>
    <t>19/0079/FUL</t>
  </si>
  <si>
    <t>35A Westmoreland Road_x000D_Barnes_x000D_London_x000D_SW13 9RZ</t>
  </si>
  <si>
    <t>Retrospective change of use from dwellinghouse (C3 use) to mixed dwellinghouse (C3 use) and children's day care (D1 use).</t>
  </si>
  <si>
    <t>18/0282/FUL</t>
  </si>
  <si>
    <t>Upton House 19 - 20 Queens Ride Barnes SW13 0HX</t>
  </si>
  <si>
    <t>Demolition of the existing 2 storey residential building and single storey garages and erection of a pair of semi-detached, 3 storey (plus basement) 4 bedroom dwellings with associated private gardens and off street parking.  Creation of a new crossover</t>
  </si>
  <si>
    <t>Under Construction</t>
  </si>
  <si>
    <t>Not Started</t>
  </si>
  <si>
    <t>17/0460/FUL</t>
  </si>
  <si>
    <t>45 Castelnau Barnes SW13 9RT</t>
  </si>
  <si>
    <t>Reversion of 4no. flats to a single family dwellinghouse.</t>
  </si>
  <si>
    <t>17/3265/FUL</t>
  </si>
  <si>
    <t>Lestock House 73B Castelnau Barnes SW13 9RT</t>
  </si>
  <si>
    <t>Demolition of existing detached house and erection of a new detached single family dwellinghouse.</t>
  </si>
  <si>
    <t>14/0676/FUL</t>
  </si>
  <si>
    <t>36 Lonsdale Road Barnes SW13 9EB</t>
  </si>
  <si>
    <t>Demolition of single storey garden building and erection of a two storey, 3 bedroom dwelling</t>
  </si>
  <si>
    <t>16/0432/FUL</t>
  </si>
  <si>
    <t>48 Glentham Road
Barnes
London
SW13 9JJ</t>
  </si>
  <si>
    <t>Demolition of existing building and erection of three storey building plus basement to provide B1 use at basement, ground floor and first floor, and one 2 bedroom apartment above at second floor level.</t>
  </si>
  <si>
    <t>19/0171/GPD15</t>
  </si>
  <si>
    <t>62 Glentham Road Barnes SW13 9JJ</t>
  </si>
  <si>
    <t>Change of use from B1 (Offices) to C3(a) (Dwellings) (2 x 2 bed).</t>
  </si>
  <si>
    <t>08/1760/EXT</t>
  </si>
  <si>
    <t>St Pauls School
Lonsdale Road
Barnes
London
SW13 9JT</t>
  </si>
  <si>
    <t>Application for a new planning permission to replace the extant planning permission 08/1760/OUT: 'Demolition of most of existing School buildings. Outline permission for the refurbishment of the sports hall and construction of a maximum of 36,090m2 floor</t>
  </si>
  <si>
    <t>17/4268/FUL</t>
  </si>
  <si>
    <t>41 Lonsdale Road Barnes</t>
  </si>
  <si>
    <t>Demolition of existing garages and construction of a new part subterranean split level part two storey dwelling house, new landscaping to surrounding amenity space.</t>
  </si>
  <si>
    <t>18/0420/FUL</t>
  </si>
  <si>
    <t>43 - 43A Lonsdale Road Barnes</t>
  </si>
  <si>
    <t>Demolition of a single storey side extension, erection of a single-storey link extension between main dwelling (43) and detached coach house (43A) to facilitate the creation of one single family dwelling (Use Class C3).</t>
  </si>
  <si>
    <t>16/2709/FUL</t>
  </si>
  <si>
    <t>29 Howsman Road
Barnes
London
SW13 9AW</t>
  </si>
  <si>
    <t>Demolition of the existing building and the erection of two new two-storey houses, one with a basement and side lightwells and the other with a basement with rear lightwell and rear dormer.</t>
  </si>
  <si>
    <t>13/3913/P3JPA</t>
  </si>
  <si>
    <t>28 Barnes Avenue Barnes SW13 9AB</t>
  </si>
  <si>
    <t>Change of use from B1(a) office to C3 residential.</t>
  </si>
  <si>
    <t>18/2038/FUL</t>
  </si>
  <si>
    <t>33 Parke Road
Barnes
London
SW13 9NJ</t>
  </si>
  <si>
    <t>Demolition of existing building and construction of new building with basement.</t>
  </si>
  <si>
    <t>18/3285/FUL</t>
  </si>
  <si>
    <t>74 Lowther Road
Barnes
London
SW13 9NU</t>
  </si>
  <si>
    <t>Demolition of existing house and construction of a new 5 bed house with basement</t>
  </si>
  <si>
    <t>17/3761/FUL</t>
  </si>
  <si>
    <t>2 Belgrave Road Barnes SW13 9NS</t>
  </si>
  <si>
    <t>Demolition of existing dwelling and erection of a replacement three-storey plus basement house (4 bedroom) with cycle parking and 1 off-street parking space.</t>
  </si>
  <si>
    <t>16/2637/FUL</t>
  </si>
  <si>
    <t>9 Belgrave Road
Barnes
London
SW13 9NS</t>
  </si>
  <si>
    <t>Demolition of the existing building and the erection of new two-storey house, with a basement and front and rear light wells and a rear dormer.</t>
  </si>
  <si>
    <t>16/1882/FUL</t>
  </si>
  <si>
    <t>9 Charlotte Road
Barnes
London
SW13 9QJ</t>
  </si>
  <si>
    <t>Demolition of existing single dwelling and erection of a new single dwelling.</t>
  </si>
  <si>
    <t>17/0220/GPD15</t>
  </si>
  <si>
    <t>5 King Edward Mews
Barnes
London
SW13 9HD</t>
  </si>
  <si>
    <t>Change of use of ground floor office (use class B1(a)) to residential dwelling (use class C3).</t>
  </si>
  <si>
    <t>15/4822/FUL</t>
  </si>
  <si>
    <t>88 Church Road Barnes SW13 0DQ</t>
  </si>
  <si>
    <t>Conversion of first and second floors into two self-contained flats, new external staircase with refuse storage under and conversion of existing out building for cycle storage.</t>
  </si>
  <si>
    <t>17/0956/FUL</t>
  </si>
  <si>
    <t>Rear Of 74 Church Road Barnes SW13 0DQ</t>
  </si>
  <si>
    <t>Proposed demolition of existing buildings and erection of residential-led mixed-use development and associated works.</t>
  </si>
  <si>
    <t>17/2181/GPD15</t>
  </si>
  <si>
    <t>Claridge House 29 Barnes High Street Barnes SW13 9LW</t>
  </si>
  <si>
    <t>Change from B1 office use into C3 residential use comprising 2 no. 2 bedroom flats.</t>
  </si>
  <si>
    <t>16/3961/FUL</t>
  </si>
  <si>
    <t>8 Barnes High Street
Barnes
London
SW13 9LW</t>
  </si>
  <si>
    <t>Demolition of rear stock room and yard to create a 2 bedroom dwelling over 2 floors with one integral parking space at ground level.</t>
  </si>
  <si>
    <t>18/2114/FUL</t>
  </si>
  <si>
    <t>7 Barnes High Street
Barnes
London
SW13 9LW</t>
  </si>
  <si>
    <t>Two-storey rear extension, rear roof extension and conversion of the rear part of the ground floor shop; in connection with the use of the property as a ground floor retail unit, 1x two-bedroom flat and 2 x one-bedroom flats.</t>
  </si>
  <si>
    <t>17/3610/FUL</t>
  </si>
  <si>
    <t>Partial demolition of existing buildings, refurbishment of  2  x commercial units (A2 use Class) on ground floor. Partial new build extensions to the roof in addition to ground, first and second floor extensions to the rear of the site to provide 2 x 2-b</t>
  </si>
  <si>
    <t>17/2919/FUL</t>
  </si>
  <si>
    <t>2 Brookwood Avenue
Barnes
London
SW13 0LR</t>
  </si>
  <si>
    <t>Reversion from 2 no. self-contained flats to a single dwelling house.</t>
  </si>
  <si>
    <t>17/4122/FUL</t>
  </si>
  <si>
    <t>Land Adjacent To 93
Elm Bank Gardens
Barnes
London</t>
  </si>
  <si>
    <t>Demolition of garage and the erection of a three-storey two-bedroom detached dwelling with associated landscaping. (Re-consultation required for the following reason: Building line adjusted following a further site survey to accurately record the locatio</t>
  </si>
  <si>
    <t>16/3876/FUL</t>
  </si>
  <si>
    <t>26 The Terrace
Barnes
London
SW13 0NR</t>
  </si>
  <si>
    <t>Demolition of remaining damaged ground floor structure and stairwell, following the collapse of the original building and subsequent demolition by the Council, and erection of a new house to be built over existing basement from ground to third floor leve</t>
  </si>
  <si>
    <t>17/2939/FUL</t>
  </si>
  <si>
    <t>54 White Hart Lane
Barnes
London
SW13 0PZ</t>
  </si>
  <si>
    <t>Part conversion of rear shop unit and single storey side/rear extension to form a studio flat.</t>
  </si>
  <si>
    <t>18/0737/FUL</t>
  </si>
  <si>
    <t>70 White Hart Lane
Barnes
London
SW13 0PZ</t>
  </si>
  <si>
    <t>Change of use of rear part of ground floor from retail use (Class A1) to residential use (Class C3) to create a 1No. one-bedroom dwelling with basement accommodation excavated.</t>
  </si>
  <si>
    <t>17/3347/FUL</t>
  </si>
  <si>
    <t>12 Westfields Avenue
Barnes
London
SW13 0AU</t>
  </si>
  <si>
    <t>Erection of a pair of four-bedroom semi-detached dwellings together with landscaping, following demolition of existing hall building (use class D2).</t>
  </si>
  <si>
    <t>18/3210/GPD15</t>
  </si>
  <si>
    <t>59 North Worple Way
Mortlake
London</t>
  </si>
  <si>
    <t>Change use from B1a offices to C3 residential, as a 1 x 2 bedroom flat.</t>
  </si>
  <si>
    <t>16/4384/FUL</t>
  </si>
  <si>
    <t>Land Junction Of North Worple Way And Wrights Walk Rear Of 31 Alder Road Mortlake</t>
  </si>
  <si>
    <t>Demolition of the existing garage and erection of a new partially sunken one-bedroom, single-storey dwelling, and provision of a new boundary wall and entrance gate.</t>
  </si>
  <si>
    <t>16/4794/FUL</t>
  </si>
  <si>
    <t>Boatrace House
63 Mortlake High Street
Mortlake
London</t>
  </si>
  <si>
    <t>Erection of one additional storey to provide two residential units and alterations to the elevations of the building</t>
  </si>
  <si>
    <t>15/5395/FUL</t>
  </si>
  <si>
    <t>68 Shalstone Road
Mortlake
London</t>
  </si>
  <si>
    <t>Conversion from 2 flats to a single dwelling house and the addition of an entrance porch and window.</t>
  </si>
  <si>
    <t>18/1248/FUL</t>
  </si>
  <si>
    <t>1 Trinity Road
Richmond
TW9 2LD</t>
  </si>
  <si>
    <t>Conversion, refurbishment and extension of existing tyre shop with maisonette above (C3) into two self-contained one bedroom flats (C3).</t>
  </si>
  <si>
    <t>17/4292/FUL</t>
  </si>
  <si>
    <t>Cliveden House_x000D_Victoria Villas_x000D_Richmond_x000D_TW9 2JX</t>
  </si>
  <si>
    <t>Proposed roof and side extension to the existing two storey residential building to provide three new apartment units and to increase the size of four of the existing units. Alterations to elevations including balconies at first and second floor.</t>
  </si>
  <si>
    <t>18/0305/GPD15</t>
  </si>
  <si>
    <t>Argyle House
1 Dee Road
Richmond</t>
  </si>
  <si>
    <t>Change of use of basement from B1a (office use) to C3 (residential use) - creation of 1 x 2 bed flat</t>
  </si>
  <si>
    <t>18/1175/FUL</t>
  </si>
  <si>
    <t>17 - 20 Tersha Street
Richmond</t>
  </si>
  <si>
    <t>Construction of 3 front roof dormer windows to facilitate the creation of a new two-bedroom flat in the roof space, including the alteration to the layout of flat 19 (resulting in a decrease in size) to provide access.</t>
  </si>
  <si>
    <t>17/2597/GPD15</t>
  </si>
  <si>
    <t>West House 108 And East House 109
South Worple Way
East Sheen
London</t>
  </si>
  <si>
    <t>Conversion of East and West House from B1(a) offices to 1 x 2 bed house (C3) (West House) and 2 x 2 bed flats (C3) (East House).</t>
  </si>
  <si>
    <t>19/0181/GPD15</t>
  </si>
  <si>
    <t>95 South Worple Way
East Sheen
London
SW14 8ND</t>
  </si>
  <si>
    <t>Change of use from B1 (Offices) to C3(a) (Dwellings) (1 x 1 bed).</t>
  </si>
  <si>
    <t>18/3195/GPD15</t>
  </si>
  <si>
    <t>75 Sheen Lane
East Sheen
London
SW14 8AD</t>
  </si>
  <si>
    <t>Change of use of first and second floor B1(a) office accommodation to 1 x three bedroom C3 residential unit.</t>
  </si>
  <si>
    <t>14/4793/FUL</t>
  </si>
  <si>
    <t>42 Sheen Lane East Sheen SW14 8LP</t>
  </si>
  <si>
    <t>Refurbishment of existing shop and refurbishment and part extension of existing 1st floor flat to provide 2 new 1 and 2 bed flats. Refurbishment and part demolition of existing 2 storey barn to provide new 2 bed 2 storey dwelling.</t>
  </si>
  <si>
    <t>14/1683/FUL</t>
  </si>
  <si>
    <t>14 St Leonards Road East Sheen SW14 7LY</t>
  </si>
  <si>
    <t>Demolition of mechanic workshop and construction of a new two storey building comprising a two bedroom maisonette at first floor and roof level and ground floor office (revised description).</t>
  </si>
  <si>
    <t>17/3696/GPD16</t>
  </si>
  <si>
    <t>1A St Leonards Road East Sheen SW14 7LY</t>
  </si>
  <si>
    <t>Change of use of premises from B8 (warehouse/distrubtion) to C3 (residential - 6 x 1 bed flats)</t>
  </si>
  <si>
    <t>18/1064/GPD15</t>
  </si>
  <si>
    <t>21A St Leonards Road East Sheen SW14 7LY</t>
  </si>
  <si>
    <t>Change of use from offices (B1) to residential (C3)</t>
  </si>
  <si>
    <t>18/1038/FUL</t>
  </si>
  <si>
    <t>Partial demolition and alterations to the existing building and the erection of 3 x 3-bedroom new build houses on the eastern part of the site, with associated parking and landscaping.</t>
  </si>
  <si>
    <t>15/2757/FUL</t>
  </si>
  <si>
    <t>Land Adjacent To 32 Bexhill Road East Sheen</t>
  </si>
  <si>
    <t>Erection of a single two-bedroom house and the demolition of three lock-up garages.</t>
  </si>
  <si>
    <t>17/2693/GPD15</t>
  </si>
  <si>
    <t>246 Upper Richmond Road West
East Sheen
London
SW14 8AG</t>
  </si>
  <si>
    <t>Change of use from Class B1(a) office to Class C3 residential.</t>
  </si>
  <si>
    <t>18/3515/FUL</t>
  </si>
  <si>
    <t>311 Upper Richmond Road West
East Sheen
London
SW14 8QR</t>
  </si>
  <si>
    <t>Conversion of first and second floor flat and construction of rear dormer roof extension to provide 4no. (3 x 1B1P and 1 x 2B3P) residential dwellings and other alterations.</t>
  </si>
  <si>
    <t>14/4721/FUL</t>
  </si>
  <si>
    <t>97A White Hart Lane Barnes SW13 0JL</t>
  </si>
  <si>
    <t>Demolition of the existing buildings and erection of a mixed-use residential-led redevelopment of two storeys over basement with roof accommodation and balconies and roof terraces comprising eight apartments; 401m2 of B1(a) floorspace; twelve car parking</t>
  </si>
  <si>
    <t>17/0733/FUL</t>
  </si>
  <si>
    <t>26 Colston Road East Sheen SW14 7PG</t>
  </si>
  <si>
    <t>Alterations incorporating rear dormer, rooflights to front roofslope and external stairs to rear.  Alterations to create a 1-bed flat on the first floor, a 2-bed duplex flat on the second and third floor roof extension. Division of the rear roof terrace</t>
  </si>
  <si>
    <t>18/0216/FUL</t>
  </si>
  <si>
    <t>34 Colston Road East Sheen SW14 7PG</t>
  </si>
  <si>
    <t>The division of the existing single dwelling on the upper floors into two dwellings. Rear dormer and roof lights to the front roofslope.</t>
  </si>
  <si>
    <t>16/0680/FUL</t>
  </si>
  <si>
    <t>2 Firs Avenue East Sheen SW14 7NZ</t>
  </si>
  <si>
    <t>Part demolition of single dwelling house and formation of two semi-detached houses.</t>
  </si>
  <si>
    <t>16/4587/FUL</t>
  </si>
  <si>
    <t>24 Christchurch Road East Sheen SW14 7AA</t>
  </si>
  <si>
    <t>Proposed conversion of garden studio to one person residential studio incorporating the extension of depth and height of existing garden studio in order to create a first floor level, with installation of a rooflight to the eastern roofslope and a roofli</t>
  </si>
  <si>
    <t>17/2586/FUL</t>
  </si>
  <si>
    <t>First Floor Flat
18 Percival Road
East Sheen
London
SW14 7QE</t>
  </si>
  <si>
    <t>Change of use from 2 no. flats back to a single family dwelling house.</t>
  </si>
  <si>
    <t>18/2654/FUL</t>
  </si>
  <si>
    <t>East Sheen Baptist Church 
Temple Sheen Road
East Sheen
London
SW14 7PY</t>
  </si>
  <si>
    <t>Erection of single-storey extension to front elevation of existing church hall building.</t>
  </si>
  <si>
    <t>18/1360/GPD15</t>
  </si>
  <si>
    <t>1 Coval Passage
East Sheen
London
SW14 7RE</t>
  </si>
  <si>
    <t>Change of use of ground floor from B1 (office) to C3 (dwellinghouse) to provide a 1 bedroom unit.</t>
  </si>
  <si>
    <t>18/0866/FUL</t>
  </si>
  <si>
    <t>422 Upper Richmond Road West East Sheen</t>
  </si>
  <si>
    <t>Extension and alterations to existing 2 no. retail units and 1 no. 3-bedroom residential unit to provide 1 no. A1/A2/B1 unit and 5 no. residential units, including provision of lower ground floor level and rear dormers.</t>
  </si>
  <si>
    <t>17/1996/FUL</t>
  </si>
  <si>
    <t>49 Clifford Avenue East Sheen SW14 7BW</t>
  </si>
  <si>
    <t>Demolition of existing outbuildings and construction of 2 No. detached dwellinghouses.</t>
  </si>
  <si>
    <t>18/2716/GPD13</t>
  </si>
  <si>
    <t>561 - 563 Upper Richmond Road West
East Sheen
London
SW14 7ED</t>
  </si>
  <si>
    <t>Change of use of premises from a A1 use to to C3 (residential use - 2 no studio flats and 1 x 1 bed flat with existing first floor flat above no. 561 to remain)</t>
  </si>
  <si>
    <t>16/4798/FUL</t>
  </si>
  <si>
    <t>19 Stanley Road East Sheen SW14 7EB</t>
  </si>
  <si>
    <t>Demolition of existing dwelling and the construction of a 2.5/3-storey dwelling with basement including front and rear light well with walk-over covering. Additional construction of car port/storage building to rear of site including vehicular footway cr</t>
  </si>
  <si>
    <t>17/4517/VRC</t>
  </si>
  <si>
    <t>Variation of condition U30401 (Approved drawings) of planning permission 17/2624/FUL (Demolition of the existing four bedroom house and erection of two semi-detached, four bedroom townhouses incorporating basements) to allow for internal alterations to l</t>
  </si>
  <si>
    <t>18/2494/FUL</t>
  </si>
  <si>
    <t>4 West Temple Sheen
East Sheen
London
SW14 7RT</t>
  </si>
  <si>
    <t>Demolition of an existing dwelling and erection of 2no. two-storey three-bedroom dwelling houses with roof space accommodation  and associated landscaping. Replacement of front boundary wall. Removal of crossover and closure of vehicular access.</t>
  </si>
  <si>
    <t>16/2704/FUL</t>
  </si>
  <si>
    <t>3 Berwyn Road
Richmond
TW10 5BP</t>
  </si>
  <si>
    <t>Demolition of existing dwelling and erection of a replacement dwelling.</t>
  </si>
  <si>
    <t>17/2488/FUL</t>
  </si>
  <si>
    <t>32 Fife Road East Sheen SW14 7EL</t>
  </si>
  <si>
    <t>Replacement dwellinghouse with associated landscaping, boundary treatment and summer house.</t>
  </si>
  <si>
    <t>HMP Latchmere House Church Road Ham TW10 5HH</t>
  </si>
  <si>
    <t>15/4878/FUL</t>
  </si>
  <si>
    <t>6 Ham Farm Road
Ham
Richmond
TW10 5LZ</t>
  </si>
  <si>
    <t>Demolition of existing dwelling and detached garage and erection of a 2-storey replacement dwellinghouse and detached carport with altered driveway road access.</t>
  </si>
  <si>
    <t>17/4606/FUL</t>
  </si>
  <si>
    <t>1 Upper Ham Road Ham TW10 5LD</t>
  </si>
  <si>
    <t>Construction of 2No. 3 bed dwellinghouses (including basement accommodation) with rear plot boundary alteration.</t>
  </si>
  <si>
    <t>16/0489/PS192</t>
  </si>
  <si>
    <t>321 Richmond Road Ham KT2 5QU</t>
  </si>
  <si>
    <t>Change of use of ground floor from Class A1 (shops) to Class A2 (financial and professional services).</t>
  </si>
  <si>
    <t>15/2855/FUL</t>
  </si>
  <si>
    <t>Garages At Maguire Drive Ham</t>
  </si>
  <si>
    <t>Demolition of 20 garages in two rows; Construction of two three-bedroom houses</t>
  </si>
  <si>
    <t>17/0396/FUL</t>
  </si>
  <si>
    <t>Garage Site Craig Road Ham</t>
  </si>
  <si>
    <t>Demolition of existing garages and creation of 3 x 1bed 2person flats and 1 x 2bed 3-person bungalow with associated parking and landscaping.</t>
  </si>
  <si>
    <t>16/2271/FUL</t>
  </si>
  <si>
    <t>Garages Rear Of 81 To 85 Woodville Road Ham</t>
  </si>
  <si>
    <t>Erection of a detached office building.</t>
  </si>
  <si>
    <t>15/2854/FUL</t>
  </si>
  <si>
    <t>Garages At Riverside Drive Ham</t>
  </si>
  <si>
    <t>Demolition of a row of 18 garages; Proposed to construct two two-bedroom Wheelchair Bungalows; Provision of two car parking spaces.</t>
  </si>
  <si>
    <t>54 Sandy Lane
Petersham
Richmond
TW10 7EL</t>
  </si>
  <si>
    <t>17/2769/FUL</t>
  </si>
  <si>
    <t>Demolition of existing detached dwelling and construction of a new 2 storey, 5 bedroom dwelling.</t>
  </si>
  <si>
    <t>17/1971/FUL</t>
  </si>
  <si>
    <t>59 Ham Street Ham TW10 7HR</t>
  </si>
  <si>
    <t>Demolition of the existing bungalow (C3) and the erection of a pair of semi-detached dwellings with associated landscaping and off-street parking.</t>
  </si>
  <si>
    <t>16/3552/FUL</t>
  </si>
  <si>
    <t>St Michaels Convent 56 Ham Common Ham TW10 7JH</t>
  </si>
  <si>
    <t>Conversion and extension of the existing convent buildings (following demolition of some mid-20th century extensions), together with new build apartments and houses, to provide a total of 23 residential retirement units, an estate managers office and mee</t>
  </si>
  <si>
    <t>07/3348/FUL</t>
  </si>
  <si>
    <t>289 Petersham Road
Richmond
Surrey
TW10 7DA</t>
  </si>
  <si>
    <t>Demolition of existing house and outbuildings, construction of 3 houses.</t>
  </si>
  <si>
    <t>15/2857/FUL</t>
  </si>
  <si>
    <t>Garages At Clifford Road Petersham</t>
  </si>
  <si>
    <t>Removal of 26 garages; Creation of 3 two storey three-bedroom houses. Provision of 11 parking spaces in a shared surface courtyard</t>
  </si>
  <si>
    <t>16/2736/FUL</t>
  </si>
  <si>
    <t>Downlands
Petersham Close
Petersham
Richmond
TW10 7DZ</t>
  </si>
  <si>
    <t>Demolition of existing detached dwelling and construction of new 4 bed house.</t>
  </si>
  <si>
    <t>18/0301/FUL</t>
  </si>
  <si>
    <t>18 Cedar Heights
Petersham
Richmond
TW10 7AE</t>
  </si>
  <si>
    <t>Demolition of the existing detached dwelling house and replacement with a new detached family home with associated off street parking.</t>
  </si>
  <si>
    <t>17/3667/FUL</t>
  </si>
  <si>
    <t>Manor Farm Riding School
Petersham Road
Petersham
Richmond
TW10 7AH</t>
  </si>
  <si>
    <t>Demolition of existing staff accommodation caravans and storage barn and erection of replacement grooms accommodation.</t>
  </si>
  <si>
    <t>13/1327/FUL</t>
  </si>
  <si>
    <t>Doughty House And Doughty Cottage
142 - 142A Richmond Hill
Richmond</t>
  </si>
  <si>
    <t>Reversion of Doughty House and Doughty Cottage, change of use from D1 gallery to a single family dwelling. New conservatory with basement below; underground car parking beneath the upper garden and linked to Doughty House; part re-construction of rear el</t>
  </si>
  <si>
    <t>16/2306/FUL</t>
  </si>
  <si>
    <t>112 Richmond Hill Richmond</t>
  </si>
  <si>
    <t>Conversion of the building into one family house, plus an additional apartment at basement level to the front.</t>
  </si>
  <si>
    <t>15/0421/FUL</t>
  </si>
  <si>
    <t>17 Kings Road
Richmond</t>
  </si>
  <si>
    <t>Reversion of a Building of Townscape Merit from four self-contained flats (3x2 and 1x1 beds) to a single-family dwelling (Use Class C3: Dwelling Houses) with lower and upper ground rear extensions, external alterations to dormers, fenestration, and stair</t>
  </si>
  <si>
    <t>15/5217/FUL</t>
  </si>
  <si>
    <t>Silver Birches
2 - 6 Marchmont Road
Richmond
TW10 6HH</t>
  </si>
  <si>
    <t>Demolition of care home, and the construction of nine residential units and associated works. (The affordable housing associated to this development is proposed off site on The Avenue Centre site as part of its redevelopment - refer to application 15/521</t>
  </si>
  <si>
    <t>16/2729/FUL</t>
  </si>
  <si>
    <t>41A Kings Road
Richmond
TW10 6EG</t>
  </si>
  <si>
    <t>This Application proposes: 'Nos. 41 and 41a (currently a house and self-contained flat) to become a single dwelling house.'</t>
  </si>
  <si>
    <t>14/5167/FUL</t>
  </si>
  <si>
    <t>24 Denbigh Gardens
Richmond
TW10 6EL</t>
  </si>
  <si>
    <t>Demolition of existing house. Erection of a new house with similar footprint and heights</t>
  </si>
  <si>
    <t>18/0723/FUL</t>
  </si>
  <si>
    <t>3 Queens Rise
Richmond
TW10 6HL</t>
  </si>
  <si>
    <t>Demolition of existing dwelling and the erection of a replacement two storey, 4 bedroom dwelling</t>
  </si>
  <si>
    <t>14/3983/FUL</t>
  </si>
  <si>
    <t>Kings Road Garage Kings Road Richmond TW10 6EG</t>
  </si>
  <si>
    <t>Demolition of existing buildings and erection of 2 pairs of two storey four bedroom townhouses, with basements, roofspace accomodation, associated landscaping and 4 car parking spaces.</t>
  </si>
  <si>
    <t>16/0775/FUL</t>
  </si>
  <si>
    <t>The Chaplains House
164 Sheen Road
Richmond
TW9 1XD</t>
  </si>
  <si>
    <t>Conversion of existing house to 1 x 1 bed and 1 x 3 bed flats.</t>
  </si>
  <si>
    <t>17/0346/FUL</t>
  </si>
  <si>
    <t>49 Manor Road Richmond TW9 1YA</t>
  </si>
  <si>
    <t>Subdivision of house (C3) to form 2 no. 2-bed flats (C3), ground floor infill side extension, to the rear of property, with windows to north elevation and hip to gable roof extension, rear facing dormer, including 2 No. front facing rooflights, following</t>
  </si>
  <si>
    <t>17/0605/FUL</t>
  </si>
  <si>
    <t>114 Sheen Road Richmond TW9 1UR</t>
  </si>
  <si>
    <t>Two-storey rear and basement extensions to provide additional retail and ancillary accommodation.</t>
  </si>
  <si>
    <t>16/4902/FUL</t>
  </si>
  <si>
    <t>91 Sheen Road Richmond TW9 1YJ</t>
  </si>
  <si>
    <t>Construction of a two storey, one bed dwelling-house along with associated cycle storage, car parking and landscaping.</t>
  </si>
  <si>
    <t>16/0510/FUL</t>
  </si>
  <si>
    <t>Shanklin House
70 Sheen Road
Richmond
TW9 1UF</t>
  </si>
  <si>
    <t>Alterations including construction of a new rear ground floor extension and change of use to commercial space and two 2-bedroom self-contained flats.</t>
  </si>
  <si>
    <t>17/2534/FUL</t>
  </si>
  <si>
    <t>1 Royston Road Richmond</t>
  </si>
  <si>
    <t>Creation of a single storey rear and side extension and conversion of the two lower flats and upper maisonette into a single dwelling house</t>
  </si>
  <si>
    <t>16/3290/FUL</t>
  </si>
  <si>
    <t>45 The Vineyard Richmond TW10 6AS</t>
  </si>
  <si>
    <t>Partial demolition of an existing building and the creation of 3 new dwelling houses and associated works.</t>
  </si>
  <si>
    <t>16/3460/FUL</t>
  </si>
  <si>
    <t>19 The Hermitage Richmond</t>
  </si>
  <si>
    <t>Conversion of existing building from four flats to single family dwelling. Replace existing conservatory to lower ground floor with new single storey rear extension, rear extension at upper ground floor level. All materials to match existing.</t>
  </si>
  <si>
    <t>16/2259/FUL</t>
  </si>
  <si>
    <t>1 Hill Rise Richmond</t>
  </si>
  <si>
    <t>Application for change of use from C4 Residential to B1 (a) office.</t>
  </si>
  <si>
    <t>15/1444/FUL</t>
  </si>
  <si>
    <t>3 - 5 Richmond Hill Richmond</t>
  </si>
  <si>
    <t>The reversion of the interconnected Buildings of Townscape Merit from vacant office premises (Use Class B1: Business) to residential use single-family dwelling (Use Class C3: Dwelling Houses) with external alterations and associated works.</t>
  </si>
  <si>
    <t>16/3624/FUL</t>
  </si>
  <si>
    <t>12 Ellerker Gardens Richmond</t>
  </si>
  <si>
    <t>The reversion of the existing premises (five studios and one x one bed flat) to a single family dwelling.  Further excavation of existing basement by approximately 1m in depth, external alterations to the property and removal of existing ground floor rea</t>
  </si>
  <si>
    <t>15/2440/VRC</t>
  </si>
  <si>
    <t>11 Sandycombe Road Richmond TW9 2EP</t>
  </si>
  <si>
    <t>1 - 9 Sandycombe Road Richmond</t>
  </si>
  <si>
    <t>15/5376/FUL</t>
  </si>
  <si>
    <t>Redevelopment of site to provide for a mixed use development of 535m2 of commercial space (B1(a) offices, B1(b) research and development, B1(c) light industrial and B8 storage Use Class) and 20 residential units, together with car parking and landscaping</t>
  </si>
  <si>
    <t>18/3941/GPD15</t>
  </si>
  <si>
    <t>Sherwood House Forest Road Kew TW9 3BY</t>
  </si>
  <si>
    <t>Change of use from office (B1) to three residential units (C3), with associated car parking provision.</t>
  </si>
  <si>
    <t>16/1903/FUL</t>
  </si>
  <si>
    <t>Change of use from office (B1) to residential (C3), demolition and rebuild of the existing single storey rear building, basement extension to Grade II listed building in the Kew Green Conservation Area.</t>
  </si>
  <si>
    <t>17/4453/FUL</t>
  </si>
  <si>
    <t>286 Kew Road
Kew
Richmond
TW9 3DU</t>
  </si>
  <si>
    <t>Single storey rear extension and basement extension, including lightwells to the front and rear, to create 1 no. additional new dwelling.</t>
  </si>
  <si>
    <t>17/1207/FUL</t>
  </si>
  <si>
    <t>12 Princes Road_x000D_Kew_x000D_Richmond_x000D_TW9 3HP</t>
  </si>
  <si>
    <t>Redevelopment comprising ground floor Change of Use from MOT garage (B2) to a Dental Surgery (D1) and Office (B1); and replacement (over) of 1 no. 2-bed flat with 3 no. 2-bed flats; and associated landscaping.</t>
  </si>
  <si>
    <t>16/1592/FUL</t>
  </si>
  <si>
    <t>5 Royal Parade
Kew
Richmond
TW9 3QD</t>
  </si>
  <si>
    <t>Change of use of the rear of the ground floor level from an 'A1' shop (Dry-cleaning), to C3 Dwelling for use as a 2 bedroom maisonette flat, extending the basement level, together with some internal reconfiguration.</t>
  </si>
  <si>
    <t>18/2322/FUL</t>
  </si>
  <si>
    <t>300 - 302 Sandycombe Road Richmond TW9 3NG</t>
  </si>
  <si>
    <t>Demolition of existing single-storey rear lean-to extension and formation of new external patio and other external alterations to elevations.  Change of use of rear part of ground floor level from A1(retail) to C3 (residential) to faciliate its conversio</t>
  </si>
  <si>
    <t>17/1285/GPD15</t>
  </si>
  <si>
    <t>First Floor
300 - 302 Sandycombe Road
Richmond</t>
  </si>
  <si>
    <t>Change of use from B1 office to C3 residential.</t>
  </si>
  <si>
    <t>18/0946/FUL</t>
  </si>
  <si>
    <t>Second Floor Flat 
302 Sandycombe Road
Richmond
TW9 3NG</t>
  </si>
  <si>
    <t>Conversion of Second Floor Flat into 2 no. x 1-bedroom Flats</t>
  </si>
  <si>
    <t>305 Sandycombe Road Richmond TW9 3NA</t>
  </si>
  <si>
    <t>14/2543/FUL</t>
  </si>
  <si>
    <t>Change of use of the ground floor of the building from Estate Agents (Use Class A2) to a residential flat (Use Class C3) with rear infill extension, the conversion of the upper floor self-contained maisonette to two self-contained flats (one on each floo</t>
  </si>
  <si>
    <t>16/0905/FUL</t>
  </si>
  <si>
    <t>275 Sandycombe Road
Richmond
TW9 3LU</t>
  </si>
  <si>
    <t>Demolition of the existing hall and the erection of a new community facility building and 6 flats</t>
  </si>
  <si>
    <t>16/2348/FUL</t>
  </si>
  <si>
    <t>38A Pagoda Avenue Richmond TW9 2HF</t>
  </si>
  <si>
    <t>Demolition of existing sheds and construction of a single storey one bedroom dwelling.</t>
  </si>
  <si>
    <t>17/4360/FUL</t>
  </si>
  <si>
    <t>25 Kew Foot Road
Richmond
TW9 2SS</t>
  </si>
  <si>
    <t>Demolition of existing single storey building and redevelopment with a two storey building providing approximtely 870sqm of B1 floorspace (including in the roof space), off street car parking, upgrades to a public footpath, landscaping, improved access a</t>
  </si>
  <si>
    <t>16/4058/FUL</t>
  </si>
  <si>
    <t>59 - 61 High Street
Hampton Wick
Kingston Upon Thames
KT1 4DG</t>
  </si>
  <si>
    <t>Internal configuration of existing ancillary accommodation to create 4 self-contained flats; removal of external first floor fire escape, removal, repositioning and replacement of rear windows at first and second floor level including (including the installation one new window at each level totalling 5); replacement rooftiles to the front and rear roofslope; removal of defective chimney to the rear and raising and pitching of the front roofslope (retrospective).</t>
  </si>
  <si>
    <t>18/3815/GPD15</t>
  </si>
  <si>
    <t>42 - 42A High Street
Hampton Wick
Kingston Upon Thames
KT1 4DB</t>
  </si>
  <si>
    <t>Change of use of two detached buildings and the associated curtilage from light industrial use (Class B1(c)) to residential use (Class C3) to provide 7 x 1 bedroom units and 1 x 2 bedroom unit.</t>
  </si>
  <si>
    <t>17/1550/FUL</t>
  </si>
  <si>
    <t>The Firs
Church Grove
Hampton Wick
Kingston Upon Thames
KT1 4AL</t>
  </si>
  <si>
    <t>Demolition of existing building and erection of part two storey/part four storey building to provide 9 residential flats (6 x one bed, 3 x two bed) and new basement level to facilitate provision of underground parking and associated hard and soft landsca</t>
  </si>
  <si>
    <t>11/0468/PS192</t>
  </si>
  <si>
    <t>Becketts Wharf And Osbourne House
Becketts Place
Hampton Wick</t>
  </si>
  <si>
    <t>Continuing construction of block of 11 flats on site of Osbourne House under permission 07/2991/FUL after 28/02/2011 (when the permission would otherwise have expired) will be lawful.</t>
  </si>
  <si>
    <t>16/1145/FUL</t>
  </si>
  <si>
    <t>19 - 21 Lower Teddington Road
Hampton Wick</t>
  </si>
  <si>
    <t>Conversion of part lower ground floor to form 1 x 1 bed self contained flat. New external staircase to match existing</t>
  </si>
  <si>
    <t>15/3394/FUL</t>
  </si>
  <si>
    <t>Wick House
10 Station Road
Hampton Wick</t>
  </si>
  <si>
    <t>Erection of new mansard roof to accommodate 2 new self contained flats, new lift shaft, new bin stores.</t>
  </si>
  <si>
    <t>17/3061/FUL</t>
  </si>
  <si>
    <t>19 - 19A Warwick Road
Hampton Wick</t>
  </si>
  <si>
    <t>Conversion of flats 19 and 19a Warwick Road into a single family dwelling. Replacement window on ground floor front elevation.</t>
  </si>
  <si>
    <t>18/1743/FUL</t>
  </si>
  <si>
    <t>168 Broom Road
Teddington
TW11 9PQ</t>
  </si>
  <si>
    <t>Subdivision of existing curtilage at 168 Broom Road; alterations to existing garage to the rear of the site comprising single storey side extension; two rear dormer roof extensions; two rooflights to the front roofslope and fenestration alterations to fa</t>
  </si>
  <si>
    <t>17/0330/FUL</t>
  </si>
  <si>
    <t>58 Munster Road
Teddington
TW11 9LL</t>
  </si>
  <si>
    <t>1 no. 2 storey 6-bedroom dwellinghouse with rooms in the roof and 1 no. one storey with basement 5-bedroom dwelling house (following demolition of existing dwelling at No.58 Munster Road), and associated refuse/recycling store, cycle parking and parking</t>
  </si>
  <si>
    <t>16/0647/FUL</t>
  </si>
  <si>
    <t>Garages Rear Of 8
Atbara Road
Teddington</t>
  </si>
  <si>
    <t>Demolition of the existing garages and redevelopment of the site with the erection of two residential houses with associated landscaping.</t>
  </si>
  <si>
    <t>17/1782/FUL</t>
  </si>
  <si>
    <t>8 Atbara Road
Teddington
TW11 9PD</t>
  </si>
  <si>
    <t>Demolition of existing two-storey detached dwelling with basement, and construction of new three-storey detached dwelling with basement.</t>
  </si>
  <si>
    <t>16/4127/FUL</t>
  </si>
  <si>
    <t>Weir Cottage
5 Broom Road
Teddington</t>
  </si>
  <si>
    <t>Conversion of property into two residential units (1 x 2 bed house and 1 x 3 bed house) with associated alterations to fenestration arrangements; Levelling of ground level; new canopy structure to east elevation and enlargement of rear terrace at ground</t>
  </si>
  <si>
    <t>17/1286/VRC</t>
  </si>
  <si>
    <t>Teddington Studios Broom Road Teddington</t>
  </si>
  <si>
    <t>Variation of approved drawing nos attached to 14/0914/FUL to allow for the development of Block B as two blocks and an increase in the overall number of units from 220 to 238 and minor changes to the riverside walkway._x000D_To allow changes to the internal la</t>
  </si>
  <si>
    <t>18/0745/FUL</t>
  </si>
  <si>
    <t>149 High Street Teddington TW11 8HH</t>
  </si>
  <si>
    <t>Part two-storey rear extension including Juliet balcony at ground floor level rear elevation; part lower ground floor side and rear extension to allow for the conversion of the existing dwellinghouse into 2x2 bed (1X 2B4P and 1x 2B3P flats); retention of</t>
  </si>
  <si>
    <t>18/2328/GPD15</t>
  </si>
  <si>
    <t>4 Udney Park Road Teddington TW11 9BG</t>
  </si>
  <si>
    <t>Change of use from B1 to C3 (1No. studio flat and 2No. one bed apartments).</t>
  </si>
  <si>
    <t>17/3003/GPD16</t>
  </si>
  <si>
    <t>Unit 4 To 5A
Plough Lane
Teddington</t>
  </si>
  <si>
    <t>Change of use from B8 (storage) to C3 (residential) to create 2 Studio units.</t>
  </si>
  <si>
    <t>17/3001/GPD16</t>
  </si>
  <si>
    <t>Unit 3
Plough Lane
Teddington</t>
  </si>
  <si>
    <t>Change of use from B8 (storage) to C3 (residential use) to create a 1 bedroom unit.</t>
  </si>
  <si>
    <t>17/3402/GPD16</t>
  </si>
  <si>
    <t>Change of use from B8 (Storage) to C3 (Residential) to create 1 no. studio flat.</t>
  </si>
  <si>
    <t>18/2928/FUL</t>
  </si>
  <si>
    <t>20 - 22 High Street Teddington TW11 8EW</t>
  </si>
  <si>
    <t>Change of use of ancillary A3 accommodation on 1st and 2nd floors to create 1No. 3bed self-contained flat (C3 use) and installation of a rear door and railings at first floor level.</t>
  </si>
  <si>
    <t>18/0860/GPD15</t>
  </si>
  <si>
    <t>2 Elmfield Avenue
Teddington
TW11 8BS</t>
  </si>
  <si>
    <t>Change of use from B1(c) to C3 to provide seven new self-contained studio residential dwellings.</t>
  </si>
  <si>
    <t>15/3072/FUL</t>
  </si>
  <si>
    <t>Christ Church
Station Road
Teddington</t>
  </si>
  <si>
    <t>Conversion, extension and alteration of the existing church building to provide for 6 x 2 bedroom flats over four levels together with 6 off-street car parking spaces, motorcycle parking, garden amenity areas and refuse, recycling and cycle parking areas</t>
  </si>
  <si>
    <t>18/1022/FUL</t>
  </si>
  <si>
    <t>Elmfield House
High Street
Teddington
TW11 8EW</t>
  </si>
  <si>
    <t>Change of use of 1st floor from C3 (Residential) use to D1 use (Dental Surgery). Replacement 5 no. windows on second floor front elevation.</t>
  </si>
  <si>
    <t>18/2112/FUL</t>
  </si>
  <si>
    <t>23 Waldegrave Road
Teddington
TW11 8LA</t>
  </si>
  <si>
    <t>Demolition of existing single storey side extension. New entrance gates and construction of new 2 storey detached building (Unit 2) and External alterations and extensions to existing buildings to facilitate the change of use of existing building to prov</t>
  </si>
  <si>
    <t>16/2647/FUL</t>
  </si>
  <si>
    <t>2 High Street
Teddington
TW11 8EW</t>
  </si>
  <si>
    <t>Demolition of the existing office (B1a) building (395 sq.m) and the erection a part five / part six-storey mixed-use building comprisnig a ground floor office / commercial unit (300 sq.m) and 22 (11 x 1 and 11 x 2 bed) affordable 'shared ownership' apart</t>
  </si>
  <si>
    <t>17/0341/GPD13</t>
  </si>
  <si>
    <t>Teddington Garden Centre
Station Road
Teddington
TW11 9AA</t>
  </si>
  <si>
    <t>Change of use from retail (Use Class A1) to 1 residential unit (Use Class C3) with associated cycle and refuse provision.</t>
  </si>
  <si>
    <t>17/4114/PS192</t>
  </si>
  <si>
    <t>35A Broad Street
Teddington
TW11 8QZ</t>
  </si>
  <si>
    <t>Change of use from Class C4 (House in Multiple Occupation) to C3 (residential) to provide 1 x 3 bed flat</t>
  </si>
  <si>
    <t>14/3011/FUL</t>
  </si>
  <si>
    <t>2 Broad Street
Teddington
TW11 8RF</t>
  </si>
  <si>
    <t>Refurbishment and remodelling of the existing dry cleaners (Use Class A1: Shops)  and workshop (Use Class B1c: light industrial) including infill extensions and alterations, conversion of seven x one self-contained flats to six residential flats (compris</t>
  </si>
  <si>
    <t>17/4238/FUL</t>
  </si>
  <si>
    <t>105 Queens Road
Teddington
TW11 0LZ</t>
  </si>
  <si>
    <t>Demolition of the existing bungalow and construction of a new 6 bedroom detached house, to include external hard and soft landscaping to the front and rear, to be used as a children's home.</t>
  </si>
  <si>
    <t>17/3404/FUL</t>
  </si>
  <si>
    <t>91 Stanley Road
Teddington
TW11 8UB</t>
  </si>
  <si>
    <t>Erection of a two storey side and single storey rear extension and change of existing C3(residential) use at first floor to facilitate the provision of B1(a) office floorspace with associated hard and soft landscaping, bin and cycle storage and 2 car par</t>
  </si>
  <si>
    <t>18/0268/FUL</t>
  </si>
  <si>
    <t>36 Sunnyside Road Teddington TW11 0RT</t>
  </si>
  <si>
    <t>Demolition of the existing four bedroom house and garage and replace with a new build four bedroom house, together with associated hard and soft landscaping, cycle and refuse stores and parking.</t>
  </si>
  <si>
    <t>16/0344/FUL</t>
  </si>
  <si>
    <t>113 Stanley Road
Teddington
TW11 8UB</t>
  </si>
  <si>
    <t>Side extension to existing 1st floor back addition and convert existing 1 bedroom flat to two studio flats</t>
  </si>
  <si>
    <t>18/1722/GPD13</t>
  </si>
  <si>
    <t>Ground Floor
204 Stanley Road
Teddington
TW11 8UE</t>
  </si>
  <si>
    <t>Change of use from A1(Retail) to C3 (Residential) to create a two bedroom flat.</t>
  </si>
  <si>
    <t>Ground Floor 
204 Stanley Road
Teddington
TW11 8UE</t>
  </si>
  <si>
    <t>Alteration of the former shop frontage, new window on side elevation and erection of single storey side/rear extension to facilitate the change of use of existing ground floor A1(retail) unit to provide 1 x 2 bed flat and 1x one-person studio flat with a</t>
  </si>
  <si>
    <t>18/1817/GPD15</t>
  </si>
  <si>
    <t>9 Elmtree Road
Teddington
TW11 8SJ</t>
  </si>
  <si>
    <t>Change of use from an office (Use Class B1(a)) to residential (Use Class C3) to provide 1 x 4 bed dwellinghouse.</t>
  </si>
  <si>
    <t>17/4303/FUL</t>
  </si>
  <si>
    <t>16 Elmtree Road
Teddington</t>
  </si>
  <si>
    <t>Erection of a second floor roof extension to create a. two-bed flat with roof terraces</t>
  </si>
  <si>
    <t>17/3531/FUL</t>
  </si>
  <si>
    <t>8 Sutherland Grove
Teddington
TW11 8RW</t>
  </si>
  <si>
    <t>Alterations and extensions to no. 8 comprising hip to gable roof extension, demolition of existing shed/workshop to rear and erection of cycle and refuse stores to front garden.  _x000D_Erection of a two storey, three bedroom dwellinghouse. with associated har</t>
  </si>
  <si>
    <t>17/4422/GPD15</t>
  </si>
  <si>
    <t>25 Church Road
Teddington
TW11 8PF</t>
  </si>
  <si>
    <t>Change of use of the ground floor and accommodation above the rear workshop from Class B1(C) Light Industrial to Dwelling (Class C3).</t>
  </si>
  <si>
    <t>17/3795/GPD15</t>
  </si>
  <si>
    <t>Change of use from Offices (B1) to Residential (C3).</t>
  </si>
  <si>
    <t>18/1808/FUL</t>
  </si>
  <si>
    <t>12 - 14 Church Lane
Teddington</t>
  </si>
  <si>
    <t>Demolition of existing building in Use Class B8 (storage and distribution) and change of use of land to C3 (residential) use.  Erection of a part two storey part single storey building to provide 4 bed (4B8P) dwellinghouse with associated parking, hard a</t>
  </si>
  <si>
    <t>15/0160/FUL</t>
  </si>
  <si>
    <t>1 Latimer Road
Teddington
TW11 8QA</t>
  </si>
  <si>
    <t>Demolition of existing dwelling and erection of two buildings containing  1No. two bedroom house, 1No. two bedroom apartment and 1No. three bedroom apartment.</t>
  </si>
  <si>
    <t>18/3613/GPD15</t>
  </si>
  <si>
    <t>108 Shacklegate Lane
Teddington
TW11 8SH</t>
  </si>
  <si>
    <t>Change of use from office B1(a) to C3 (Resdiential) use to provide 1 x 1 bed dwellinghouse.</t>
  </si>
  <si>
    <t>18/1174/FUL</t>
  </si>
  <si>
    <t>139 Waldegrave Road
Teddington
TW11 8LL</t>
  </si>
  <si>
    <t>Enlargement of existing basement level and new windows and doors to facilitate the conversion of the basement to form an independent 1 x 1B2P self-contained flat.</t>
  </si>
  <si>
    <t>17/0788/FUL</t>
  </si>
  <si>
    <t>High Wigsell 35 Twickenham Road Teddington</t>
  </si>
  <si>
    <t>Demolition of lock up garages to provide 1 no. detached 4 bedroom dwellinghouse with associated parking, cycle and refuse stores, new boundary fence and hard and soft landscaping.</t>
  </si>
  <si>
    <t>16/2502/FUL</t>
  </si>
  <si>
    <t>43 Strawberry Vale Twickenham TW1 4RX</t>
  </si>
  <si>
    <t>Demolition of existing dwelling and erection of a new six bedroom house with basement.</t>
  </si>
  <si>
    <t>15/2911/FUL</t>
  </si>
  <si>
    <t>17A Tower Road
Twickenham
TW1 4PD</t>
  </si>
  <si>
    <t>Demolition of existing single family dwelling and creation of new replacement single family dwelling.</t>
  </si>
  <si>
    <t>15/4586/FUL</t>
  </si>
  <si>
    <t>257 Waldegrave Road
Twickenham
TW1 4SY</t>
  </si>
  <si>
    <t>Erection of a two-storey replacement dwellinghouse with attic space.</t>
  </si>
  <si>
    <t>18/0584/GPD15</t>
  </si>
  <si>
    <t>1 High Street Hampton Hill</t>
  </si>
  <si>
    <t>Change of use from B1c to C3 (Residential) to provide 2 x 2B4P flats.</t>
  </si>
  <si>
    <t>16/2006/FUL</t>
  </si>
  <si>
    <t>15 High Street Hampton Hill TW12 1NB</t>
  </si>
  <si>
    <t>Erection of 3 No. 3 bedroom terraced houses with associated parking and landscaping.</t>
  </si>
  <si>
    <t>16/3485/FUL</t>
  </si>
  <si>
    <t>11 And 12 Upper Lodge Mews
Bushy Park
Hampton Hill</t>
  </si>
  <si>
    <t>Conversion of number 11 Upper Lodge Mews and number 12 Upper Lodge Mews into one dwelling house with internal refurbishment.</t>
  </si>
  <si>
    <t>15/3183/FUL</t>
  </si>
  <si>
    <t>Conversion of existing lower ground floor property and existing upper first floor property (5a and 5b) into one dwelling space and single storey rear extension</t>
  </si>
  <si>
    <t>16/4553/FUL</t>
  </si>
  <si>
    <t>Demolition of existing buildings on site and erection 2 buildings (two to four-storeys in height), set around outer and inner landscaped courtyards, comprising of 6 townhouses, 35 flats and two commercial units on the High Street frontage (110 sq.m GIA)</t>
  </si>
  <si>
    <t>18/1767/FUL</t>
  </si>
  <si>
    <t>73 High Street Hampton Hill TW12 1NH</t>
  </si>
  <si>
    <t>Alterations to the existing shopfront and reduction to ground floor floorspace to facilitate the re-provision of a Class A2 use at ground floor level.  _x000D_Change of use of existing A2 to C3 (Residential) Use at part ground level and first floor level.  Rep</t>
  </si>
  <si>
    <t>18/0896/FUL</t>
  </si>
  <si>
    <t>1 - 2 Archer Mews Hampton Hill</t>
  </si>
  <si>
    <t>Construction of additional storey, two storey front extension, replacement windows and doors on all elevations and alterations to external materials on elevations to facilitate the change of use of building and 6 no. parking spaces from offices (Class B1</t>
  </si>
  <si>
    <t>16/0553/FUL</t>
  </si>
  <si>
    <t>56A High Street
Hampton Hill
TW12 1PD</t>
  </si>
  <si>
    <t>Rear dormer and conversion of existing flat into 2x2 bedroom flats with a roof terrace and 2 roof lights and sun pipes on the outrigger.</t>
  </si>
  <si>
    <t>16/2288/FUL</t>
  </si>
  <si>
    <t>179 - 181 High Street
Hampton Hill</t>
  </si>
  <si>
    <t>Extending the existing retail and residential accommodation to provide a mixed use scheme comprising of one retail unit and 7 new residential dwellings and retention of 3 currently existing residential dwellings, incorporating cycle storage, amenity spac</t>
  </si>
  <si>
    <t>18/0929/FUL</t>
  </si>
  <si>
    <t>195 High Street Hampton Hill TW12 1NL</t>
  </si>
  <si>
    <t>Replacement shopfront and new entrance door.  New doors/windows to the side and rear elevation of the existing rear extension.   Change of use of the front part of ground floor level from restaurant (Class A3) to retail (Class A1).  First floor rear exte</t>
  </si>
  <si>
    <t>17/2957/FUL</t>
  </si>
  <si>
    <t>4A New Broadway
Hampton Hill
Hampton
TW12 1JG</t>
  </si>
  <si>
    <t>Formation of additional floor of accommodation in the form of a mansard style roof extension to facilitate the conversion of existing first floor 3 bedroom flat into 2x1 bedroom flats and provision of 2x1 bedroom flats at second floor level through the m</t>
  </si>
  <si>
    <t>17/0323/FUL</t>
  </si>
  <si>
    <t>Courtyard Apartments
70B Hampton Road
Teddington</t>
  </si>
  <si>
    <t>Erection of a three-storey building to provide  4 two-bedroom residential units (Class C3) separate refuse facilities and altered parking layout.</t>
  </si>
  <si>
    <t>18/1301/FUL</t>
  </si>
  <si>
    <t>9 Gloucester Road Teddington TW11 0NS</t>
  </si>
  <si>
    <t>Conversion of existing basement 1no. 3 bedroom flat to 2no. one bedroom flats. Demolition of existing garage. associated hard and soft landscaping, parking and cycle parking. Alterations to fenestration including the installation of roof lights. Raising</t>
  </si>
  <si>
    <t>15/4835/FUL</t>
  </si>
  <si>
    <t>Erection of a three bedroom chalet bungalow on land to the rear of 9 Gloucester Road.</t>
  </si>
  <si>
    <t>17/3590/FUL</t>
  </si>
  <si>
    <t>Garages Rear Of 48-52 Anlaby Road Teddington</t>
  </si>
  <si>
    <t>Demolition of the existing garages. Erection of 1 x 2 bed single storey house and 1 x 3 bed single storey house with basement with associated hard and soft landscaping, refuse and cycle stores.</t>
  </si>
  <si>
    <t>18/4125/FUL</t>
  </si>
  <si>
    <t>85 Connaught Road Teddington TW11 0QQ</t>
  </si>
  <si>
    <t>Alterations and extensions to existing building comprising 1) single storey side/rear extension, 2) new gable roof extension, new window, pitched roof to existing two storey bay window and 1 rooflight to front elevation; 3) dormer roof extension to main</t>
  </si>
  <si>
    <t>18/0449/FUL</t>
  </si>
  <si>
    <t>1 North Cottage Hampton Court Road Hampton KT8 9BZ</t>
  </si>
  <si>
    <t>Replacement window on first floor front elevation to facilitate the conversion of existing 2 bed maisonette into 2 x 1bedroom flats.</t>
  </si>
  <si>
    <t>17/2680/FUL</t>
  </si>
  <si>
    <t>4 Warwick Close Hampton TW12 2TY</t>
  </si>
  <si>
    <t>Demolition of existing detached house and erection of 3no. new residential units comprising 2x 4 bedroom semi detached houses and 1x detached 5 bedroom house, together with associated landscaping and parking</t>
  </si>
  <si>
    <t>18/3952/FUL</t>
  </si>
  <si>
    <t>45 Ormond Crescent
Hampton
TW12 2TJ</t>
  </si>
  <si>
    <t>Replacement of existing dwelling with 1 no. 2 storey with accommodation in the roof (5B10P) dwellinghouse and new pedestrian gate.</t>
  </si>
  <si>
    <t>07/3512/FUL</t>
  </si>
  <si>
    <t>64 Ormond Avenue Hampton TW12 2RX</t>
  </si>
  <si>
    <t>Demolition of an existing bungalow and construction of two new residential units. Separate entrance will be provided to both dwellings. The developments two main levels: above lower ground and a built out roof area underneath a pitch roof.</t>
  </si>
  <si>
    <t>16/0606/FUL</t>
  </si>
  <si>
    <t>Police Station 60 - 68 Station Road Hampton</t>
  </si>
  <si>
    <t>Retention of former police station building with partial demolition of the rear wings of the police station and demolition of the rear garages and the construction of 28 residential units (4 x 1 bedroom, 12 x 2 bedroom, 10 x 3 bedroom and 2 x 4 bedroom)</t>
  </si>
  <si>
    <t>16/1729/FUL</t>
  </si>
  <si>
    <t>67 - 71 Station Road Hampton TW12 2BT</t>
  </si>
  <si>
    <t>Refurbishment of all existing buildings on the site, including improvements to existing shop fronts, and a first floor extension, to provide a mixed use scheme comprising three retail units and four residential dwellings, incorporating off-street parking</t>
  </si>
  <si>
    <t>15/4581/FUL</t>
  </si>
  <si>
    <t>45 - 49 Station Road Hampton TW12 2BT</t>
  </si>
  <si>
    <t>Demolition of all site buildings and redevelopment of the site for a mixed use development comprising a new car showroom with associated workshops (sui generis), office accommodation (Use Class B1a) and six three-bedrooom residential dwellings (Use Class</t>
  </si>
  <si>
    <t>16/4932/GPD15</t>
  </si>
  <si>
    <t>1 Mount Mews
Hampton
TW12 2SH</t>
  </si>
  <si>
    <t>Change of use from B1( office use) to C3 (residential - 2 x 2 bed self contained flats)</t>
  </si>
  <si>
    <t>18/2235/VRC</t>
  </si>
  <si>
    <t>Jolly Coopers 16 High Street Hampton TW12 2SJ</t>
  </si>
  <si>
    <t>Removal of Condition U35386 (Residential-Ancillary Accommodation) and vary condition U35387 (Mixed use A4/C1) of planning permission 17/2301/FUL to exclude the reference to the stable block.</t>
  </si>
  <si>
    <t>18/3768/FUL</t>
  </si>
  <si>
    <t>58 Oldfield Road Hampton TW12 2AE</t>
  </si>
  <si>
    <t>Demolition of two existing workshop buildings. Change of use from current vacant B1 use to C3. Construction of 2No. semi-detached 5-bedroom family houses consisting of 2 storeys plus loft space with integral garaging.  Associated hard &amp; soft landscaping</t>
  </si>
  <si>
    <t>17/1534/FUL</t>
  </si>
  <si>
    <t>Temporary change of use from residential (use class C3) to a community centre (use class D2) (temporary use for 2 years).</t>
  </si>
  <si>
    <t>15/4280/FUL</t>
  </si>
  <si>
    <t>1 Bloxham Crescent Hampton TW12 2QF</t>
  </si>
  <si>
    <t>Conversion of an existing residential 3 bed property into two x 2 bed properties and two storey side extension with formation of new vehiclar access.</t>
  </si>
  <si>
    <t>14/5364/P3JPA</t>
  </si>
  <si>
    <t>22 Linden Road Hampton TW12 2JB</t>
  </si>
  <si>
    <t>change of use from B1 office use to C3 residential use</t>
  </si>
  <si>
    <t>15/5369/FUL</t>
  </si>
  <si>
    <t>65 Wensleydale Road Hampton TW12 2LP</t>
  </si>
  <si>
    <t>Demolition of existing bungalow and replacement dwelling house (Class C3) comprising ground and lower ground floor.</t>
  </si>
  <si>
    <t>18/0692/FUL</t>
  </si>
  <si>
    <t>83 Wensleydale Road
Hampton
TW12 2LP</t>
  </si>
  <si>
    <t>Part two-storey rear extensions with two rear gable roofs; part raising of the ridge height; removal of rear chimney; new windows (including removal) and door to the side (south elevation) at ground and first floor level; removal of side windows at groun</t>
  </si>
  <si>
    <t>17/2314/FUL</t>
  </si>
  <si>
    <t>34 Courtlands Avenue
Hampton
TW12 3NT</t>
  </si>
  <si>
    <t>Demolition of the existing two storey detached house and replacement with a new  built three storey detached house with basement with associated hard and soft landscaping.</t>
  </si>
  <si>
    <t>16/4193/FUL</t>
  </si>
  <si>
    <t>12 Broad Lane
Hampton
TW12 3AW</t>
  </si>
  <si>
    <t>Demolition of existing two-storey house and erection of replacement two-storey new build house with accommodation in roof space, associated parking and landscaping.</t>
  </si>
  <si>
    <t>17/4368/FUL</t>
  </si>
  <si>
    <t>117 Rectory Grove
Hampton
TW12 1EG</t>
  </si>
  <si>
    <t>Alterations to no. 117 to include demolition of existing two storey side extension, erection of a single storey rear extension and front porch.  New cycle store to rear. Subdivison of garden plot and demolition of existing garage at no. 117 to facilitate</t>
  </si>
  <si>
    <t>18/0771/FUL</t>
  </si>
  <si>
    <t>Erection of a 1B2P bungalow with associated hard and soft landscaping and cycle and refuse store.  Creation of dropped kerb to faclitate provision of 1 no. parking space.</t>
  </si>
  <si>
    <t>16/1900/FUL</t>
  </si>
  <si>
    <t>Former St Johns Hospital Amyand Park Road And Newland House Oak Lane Twickenham</t>
  </si>
  <si>
    <t>Formation of two 2-bed flats through a change of use at first floor level; together with alterations to the elevations comprising the provision of two conservation-style roof lights and one inset roof terrace; and the provision of four cycle spaces and r</t>
  </si>
  <si>
    <t>15/2452/FUL</t>
  </si>
  <si>
    <t>Refurbishment and Extension of existing dwelling - No 79 Richmond Road; Demolition of existing shop and associated office, storage - No 77 Richmond Road; Erection of new single storey B1/D1 employment unit; Erection of new detached 3 Bed Family Unit.</t>
  </si>
  <si>
    <t>17/3132/FUL</t>
  </si>
  <si>
    <t>22 Vivienne Close Twickenham TW1 2JX</t>
  </si>
  <si>
    <t>Demolition of existing garage and construction of a two-storey, 3-bedroom house, with accommodation in the roof space. Formation of new vehicular access and 1 off-street parking space in front on no.22.</t>
  </si>
  <si>
    <t>15/3518/FUL</t>
  </si>
  <si>
    <t>58 Denton Road
Twickenham
TW1 2HQ</t>
  </si>
  <si>
    <t>Erection of a pair of semi-detached dwellings with associated access, parking and private amenity space following the demolition of the existing building comprising 2No. maisonettes and associated outbuildings.</t>
  </si>
  <si>
    <t>17/0315/FUL</t>
  </si>
  <si>
    <t>Willoughby House 439 Richmond Road Twickenham TW1 2AG</t>
  </si>
  <si>
    <t>Part change of use of ground and first floor from B1 office use to C3  residential use to provide 2 x 2 bedroom duplex units.  Alterations and extension to facilitate the provision of additional B1 office use and C3 residential use at second floor level</t>
  </si>
  <si>
    <t>15/4230/FUL</t>
  </si>
  <si>
    <t>Extension to existing Bungalow to convert into 1No. Studio Flat &amp; 1No. 1 Bedroom Flat.</t>
  </si>
  <si>
    <t>13/2484/FUL</t>
  </si>
  <si>
    <t>The Bungalow Annexe Willoughby Road Twickenham TW1 2QH</t>
  </si>
  <si>
    <t>Demolish 'The Bungalow' and 'The Annexe' and erect one pair of semi detached five bed houses on three floors with garages, access, forecourt, bin stores, landscaping and ancillary works</t>
  </si>
  <si>
    <t>18/1569/FUL</t>
  </si>
  <si>
    <t>14 Norman Avenue Twickenham TW1 2LY</t>
  </si>
  <si>
    <t>Reversion of to two self-contained flats into single family dwelling house.</t>
  </si>
  <si>
    <t>16/2158/FUL</t>
  </si>
  <si>
    <t>Ormonde Lodge 2A St Peters Road Twickenham TW1 1QX</t>
  </si>
  <si>
    <t>Reversion of 2 No. dwellinghouses into a single family dwellinghouse.</t>
  </si>
  <si>
    <t>2A Talbot Road Isleworth TW7 7HH</t>
  </si>
  <si>
    <t>17/1371/FUL</t>
  </si>
  <si>
    <t>Change of use from B1(a) business use into a live/work (C3/B1 mixed use) unit.</t>
  </si>
  <si>
    <t>16/2042/FUL</t>
  </si>
  <si>
    <t>216 London Road
Twickenham
TW1 1EU</t>
  </si>
  <si>
    <t>Part two storey part single storey rear extension; insertion of 3 rooflights to side roofslope and alterations to fenestration arrangement on all elevations to facilitate the conversion of existing dwellinghouse into four self-contained flats (2x1 bed, 2</t>
  </si>
  <si>
    <t>15/1638/FUL</t>
  </si>
  <si>
    <t>53 Cole Park Road Twickenham TW1 1HT</t>
  </si>
  <si>
    <t>Demolition of the existing dwelling and erection of 2 No.semi-detached dwellings and associated hard and soft landscaping.</t>
  </si>
  <si>
    <t>18/1566/FUL</t>
  </si>
  <si>
    <t>16 Whitton Road Twickenham TW1 1BJ</t>
  </si>
  <si>
    <t>Second floor rear roof extension, replacement windows on first floor rear and side elevations, 2 no. rooflights on front roof slope to facilitate the conversion of existing 3 bed dwelling house to form 2x 2 bed flats and 1x 1 bed flat and associated cycl</t>
  </si>
  <si>
    <t>18/0433/FUL</t>
  </si>
  <si>
    <t>26 Egerton Road Twickenham TW2 7SP</t>
  </si>
  <si>
    <t>Change of Use from Respite Centre to Residential Use. To provide 1No. Studio &amp; 3No. 1 Bed Apartments, with associated Amenity Space &amp; Parking.</t>
  </si>
  <si>
    <t>16/3685/FUL</t>
  </si>
  <si>
    <t>11 Tayben Avenue Twickenham TW2 7RA</t>
  </si>
  <si>
    <t>Demolition of existing garage. Alterations to main entrance, installation of ramp, loft conversion comprising hip to gable roof extension to rear roof slope, dormer on side roof slope, enlargement of single storey rear extension and two storey side exten</t>
  </si>
  <si>
    <t>16/3293/RES</t>
  </si>
  <si>
    <t>Land At Junction Of A316 And Langhorn Drive And Richmond College Site Egerton Road Twickenham</t>
  </si>
  <si>
    <t>Detailed Reserved Matters application including Appearance, Landscaping, Layout and Scale for the Schools Development Zone pursuant to Conditions U08026 and U08031 of Outline Planning Permission 15/3038/OUT dated 16.08.16 (Outline application for the dem</t>
  </si>
  <si>
    <t>18/0111/FUL</t>
  </si>
  <si>
    <t>1 Hospital Bridge Road
Twickenham
TW2 5UL</t>
  </si>
  <si>
    <t>Demolition of the existing two-storey side extension to allow for the provision of a detached two-storey (3 bedroom) dwellinghouse; subdivision of land;  associated car parking, cycle storage, refuse and recycling storage, hard and soft landscaping to bo</t>
  </si>
  <si>
    <t>18/1428/FUL</t>
  </si>
  <si>
    <t>29 Rivermeads Avenue
Twickenham
TW2 5JL</t>
  </si>
  <si>
    <t>Demolition of existing single storey garage/side extension and sub-division of plot to allow for the provision of a new dwellinghouse with associated hard and soft landscaping and boundary works, off-street car parking for the existing and proposed dwell</t>
  </si>
  <si>
    <t>16/4405/FUL</t>
  </si>
  <si>
    <t>46 Sixth Cross Road Twickenham TW2 5PB</t>
  </si>
  <si>
    <t>Demolition of an existing 3 bedroom bungalow and erection of a new 4 bedroom two storey dwelling (including loft accommodation) with associated landscaping works).</t>
  </si>
  <si>
    <t>15/3522/FUL</t>
  </si>
  <si>
    <t>20 Sixth Cross Road
Twickenham
TW2 5PB</t>
  </si>
  <si>
    <t>Demolition of existing garage and conservatory to rear of No. 20.  Erection of a part 2 storey, part single storey 2 bedroom dwelling house adjoining No. 20 . Construction of a single storey rear extension, roof alterations and installation of 2 dormer w</t>
  </si>
  <si>
    <t>18/0743/FUL</t>
  </si>
  <si>
    <t>4 Sixth Cross Road Twickenham TW2 5PB</t>
  </si>
  <si>
    <t>Demolition of the existing garage and concrete slabs and erection of 1 no. single storey two bedroom dwelling with green roof to the rear of 4 Sixth Cross Road. Demolition of existing garage to the rear of number 8 Sixth Cross Road to facilitate provisio</t>
  </si>
  <si>
    <t>15/1151/FUL</t>
  </si>
  <si>
    <t>Old TAVR Centre
Stanley Road
Twickenham</t>
  </si>
  <si>
    <t>Demolition of existing TAVR buildings and erection of a new martial arts and fitness centre with associated parking and widening of vehicular entrance thereto to provide a multi-use community fitness facility alongside a publicly accessible open space in</t>
  </si>
  <si>
    <t>18/0665/FUL</t>
  </si>
  <si>
    <t>243 Stanley Road Twickenham TW2 5NL</t>
  </si>
  <si>
    <t>Demolition of an existing detached bungalow, garage and outbuildings and the erection of 2No. semi-detached 3 bedroom houses with associated parking, cycle and refuse store and hard and soft landscaping. The removal of recessed entrance gates and erectio</t>
  </si>
  <si>
    <t>15/5351/FUL</t>
  </si>
  <si>
    <t>11 Fifth Cross Road
Twickenham</t>
  </si>
  <si>
    <t>Erection of a pair of two-bedroom, semi-detached dwellings with associated access, car turntable, parking and amenity space following the demolition of existing dwelling.</t>
  </si>
  <si>
    <t>18/1442/FUL</t>
  </si>
  <si>
    <t>Land Rear Of 48 Fourth Cross Road Twickenham</t>
  </si>
  <si>
    <t>Demolition of the existing outbuilding to the rear of no.48 Fourth Cross Road accessed via Rutland Road and construction of 1x2 bedroom dwelling including basement, with associated car parking, cycle parking and recycle/refuse storage.</t>
  </si>
  <si>
    <t>16/3297/FUL</t>
  </si>
  <si>
    <t>36 Hampton Road Twickenham TW2 5QB</t>
  </si>
  <si>
    <t>Change of use of ground floor retail unit (A1) and ground, first and second floor residential unit (C3) to create a single live/work unity (sui generis) with dedicated work area (B1a).</t>
  </si>
  <si>
    <t>15/1440/FUL</t>
  </si>
  <si>
    <t>6 Second Cross Road Twickenham TW2 5RF</t>
  </si>
  <si>
    <t>Demolition of existing single storey structure to allow the construction of a two-storey (1x1bed 2person) dwellinghouse including a study room; provision of one off-street parking space; hard and soft landscaping; boundary treatment and associated refuse</t>
  </si>
  <si>
    <t>18/0318/FUL</t>
  </si>
  <si>
    <t>Maisonette 35 Staines Road Twickenham TW2 5BG</t>
  </si>
  <si>
    <t>Change of use of existing basement area to residential (C3); part single; part two-storey rear extension (following demolition of existing rear extensions/outrigger); hip to gable and rear dormer roof extension; two rooflights to the front roofslope; dec</t>
  </si>
  <si>
    <t>14/2797/P3JPA</t>
  </si>
  <si>
    <t>Crane Mews 32 Gould Road Twickenham</t>
  </si>
  <si>
    <t>Proposed change of use of part of an existing two storey office block (B1a Use Class) to Residential (C3 Use Class) creating 6 No.flats (comprising 1 x 1-bed unit and 5 x 2-bed units).</t>
  </si>
  <si>
    <t>17/1453/FUL</t>
  </si>
  <si>
    <t>100 Colne Road
Twickenham
TW2 6QE</t>
  </si>
  <si>
    <t>Change of use of premises to live/work unit (mixed C3/B1(c) (sui generis)).  First floor extension. Erection of timber screening to existing roof terrace. Alterations to existing elevations.</t>
  </si>
  <si>
    <t>17/1033/FUL</t>
  </si>
  <si>
    <t>Lockcorp House 75 Norcutt Road Twickenham TW2 6SR</t>
  </si>
  <si>
    <t>Demolition of Lockcorp House; erection of a part four, part five-storey building comprising  9 no. student cluster flats (49 study/bedrooms in total); three car parking spaces including one disabled space, ancillary cycle and refuse storage and landscapi</t>
  </si>
  <si>
    <t>14/0157/FUL</t>
  </si>
  <si>
    <t>Demolition of the existing light industrial building and replacement with a detached three-storey building (with accommodation in roof) to provide 9 No.flats (all affordable housing) together with 6 off-street car parking spaces and associated amenity an</t>
  </si>
  <si>
    <t>19/0347/GPD15</t>
  </si>
  <si>
    <t>Albion House Colne Road Twickenham TW2 6QL</t>
  </si>
  <si>
    <t>Change of use from B1(a) Office use to C3 Residential use to provide 3 x 1 bed and 1 x 2 bed flats with associated internal refuse and cycle storage.</t>
  </si>
  <si>
    <t>18/1446/FUL</t>
  </si>
  <si>
    <t>32 Albion Road Twickenham TW2 6QJ</t>
  </si>
  <si>
    <t>Demolition of existing single family dwelling and erection of a replacement two-storey dwelling house, with accommodation in the mansard roof.</t>
  </si>
  <si>
    <t>18/3696/FUL</t>
  </si>
  <si>
    <t>192 Heath Road
Twickenham
TW2 5TX</t>
  </si>
  <si>
    <t>Change of use of existing A2 (Financial and professional services) to C3 (Residential) to create 1No. 1 bed flat; Fenestration alterations; Insertion of rooflights to single storey front projection and single storey side/rear extension.</t>
  </si>
  <si>
    <t>16/3247/FUL</t>
  </si>
  <si>
    <t>738 Hanworth Road Whitton TW4 5NT</t>
  </si>
  <si>
    <t>Demolition of the existing detached bungalow, garage, shed and greenhouse to allow for construction of 2x two storey 4 bedroom semi-detached houses with accommodation in the roof with associated boundary treatment, cycle and car parking and hard and soft</t>
  </si>
  <si>
    <t>18/0197/FUL</t>
  </si>
  <si>
    <t>32 Curtis Road
Whitton
TW4 5PT</t>
  </si>
  <si>
    <t>Reversion of the property from 2 no. flats back into one single 3 bed residential dwelling.</t>
  </si>
  <si>
    <t>15/1486/FUL</t>
  </si>
  <si>
    <t>8 Heathside
Whitton
Hounslow
TW4 5NN</t>
  </si>
  <si>
    <t>Demolition of existing dwelling and erection of 2 No.4 bed semi-detached dwellings with associated parking and landscaping.</t>
  </si>
  <si>
    <t>17/2507/FUL</t>
  </si>
  <si>
    <t>31 Conway Road Whitton TW4 5LW</t>
  </si>
  <si>
    <t>Construction of a new 1No. 2-bedroom dwelling house (following demolition of the existing side extension); subdivision of the rear of no.31 Conway Road; and associated refuse, recycling, cycle storage and car parking facilities.</t>
  </si>
  <si>
    <t>16/3506/FUL</t>
  </si>
  <si>
    <t>Somerville House 1 Rodney Road Twickenham</t>
  </si>
  <si>
    <t>Demolition of the existing building and erection of 2 buildings at single-storey and three-stories to provide 24 affordable residential units (sheltered accommodation for older people of the minimum age of 55) with associated external amenities, communal</t>
  </si>
  <si>
    <t>14/2257/FUL</t>
  </si>
  <si>
    <t>310 Nelson Road Twickenham TW2 7AJ</t>
  </si>
  <si>
    <t>Partial rebuild and refurbishment of existing building and erection of two-storey side / rear extension with 3No. rear dormers to facilitate the formation of a mixed use building comprising a ground floor retail shop unit (A1 Use Class) and 4 No. 1-bedro</t>
  </si>
  <si>
    <t>16/4635/FUL</t>
  </si>
  <si>
    <t>Land Rear Of 12 To 36 Vincam Close Twickenham</t>
  </si>
  <si>
    <t>Construction of a three bedroom single storey dwelling with associated hard and soft landscaping, parking and access road (bollard lit)</t>
  </si>
  <si>
    <t>17/0798/FUL</t>
  </si>
  <si>
    <t>25 Cedar Avenue
Twickenham
TW2 7HD</t>
  </si>
  <si>
    <t>Demolition of the existing detached bungalow and all outbuildings on site together with infill of the existing ponds to facilitate the construction of a pair of four bedroom semi-detached houses with associated boundary treatment, car parking, bin storag</t>
  </si>
  <si>
    <t>15/2204/FUL</t>
  </si>
  <si>
    <t>1E Colonial Avenue Twickenham TW2 7EE</t>
  </si>
  <si>
    <t>Change of use from a private garage and store to a 2 bedroom house with associated single storey extensions; retention of existing photovoltaic arrays; associated cycle and refuse/recycle stores; hard and soft landscaping and installation of car turntabl</t>
  </si>
  <si>
    <t>17/3591/FUL</t>
  </si>
  <si>
    <t>94A High Street
Whitton
Twickenham
TW2 7LN</t>
  </si>
  <si>
    <t>Erection of external rear steps with railings to the property, new door on first floor side elevation to the rear (first floor) and proposed flues to the front elevation to accommodate the conversion of the existing three bedroom flat into 2x1 bed (1 per</t>
  </si>
  <si>
    <t>16/3184/FUL</t>
  </si>
  <si>
    <t>123 High Street
Whitton
Twickenham
TW2 7LQ</t>
  </si>
  <si>
    <t>Proposed lower ground floor rear extension to provide 1 x 2 bedroom dwelling with associated garden, refuse and cycle storage.  Rear stair enclosure providing access to the existing first and second floors, external alterations and communal roof terrace</t>
  </si>
  <si>
    <t>16/3450/FUL</t>
  </si>
  <si>
    <t>Demolition of existing buildings and removal of advertising hoardings. Resiting of existing recycling bins. Erection of a part 3 storey part 4 storey building with commercial use (Flexible Use Class A1, A2 and/or B1a) on the ground floor with 9 flats (4</t>
  </si>
  <si>
    <t>16/1293/FUL</t>
  </si>
  <si>
    <t>111 Heath Road Twickenham TW1 4AH</t>
  </si>
  <si>
    <t>Creation of an additional floor to create 4 'car free' residential units (2 No.2 bed and 2 No.1 bed flats) and incorporate external extensions and alterations to fenestration of the building.  Provision of 6 cycle parking spaces, refuse storage for comme</t>
  </si>
  <si>
    <t>14/4464/P3JPA</t>
  </si>
  <si>
    <t>Change of use of part of the ground floor and first floor offices (B1a) to residential (C3) comprising 6 one bed  residential units.</t>
  </si>
  <si>
    <t>17/1937/FUL</t>
  </si>
  <si>
    <t>2 - 3 Stable Mews Twickenham</t>
  </si>
  <si>
    <t>Demolition of the existing coach houses to allow for the erection of two dwellinghouses (1x 2b 4p and 1x 2b 3p) with internal cycle and refuse/recycle storages.</t>
  </si>
  <si>
    <t>18/1911/FUL</t>
  </si>
  <si>
    <t>74 Copthall Gardens Twickenham TW1 4HJ</t>
  </si>
  <si>
    <t>First floor side extension and internal alterations (loss of floor space to existing first floor flat) in connection with the formation of an additional studio flat.</t>
  </si>
  <si>
    <t>16/4772/GPD15</t>
  </si>
  <si>
    <t>52 - 64 Heath Road
Twickenham</t>
  </si>
  <si>
    <t>Change of use of first floor from B1 office use to C3 residential use comprising 9 units (8 x 1 bed and 1 x 2 bed flats)</t>
  </si>
  <si>
    <t>16/3625/FUL</t>
  </si>
  <si>
    <t>65 Holly Road Twickenham TW1 4HF</t>
  </si>
  <si>
    <t>Demolition of existing car repair workshop and replacement with 1 no. ground floor B1(a) commercial unit and 1 no. 2 bed residential unit with associated landscaping, car and cycle parking.</t>
  </si>
  <si>
    <t>17/0600/FUL</t>
  </si>
  <si>
    <t>2-4 Heath Road Twickenham TW1 4BZ</t>
  </si>
  <si>
    <t>Change of use from existing open hall (D1) into 2 x residential apartments (C3).</t>
  </si>
  <si>
    <t>16/0234/FUL</t>
  </si>
  <si>
    <t>31 Poulett Gardens Twickenham TW1 4QS</t>
  </si>
  <si>
    <t>Demolition of existing garage and construction of a two storey terraced house with associated landscaping, cycle store, rear car parking and access thereto.</t>
  </si>
  <si>
    <t>11/3248/FUL</t>
  </si>
  <si>
    <t>37 Grosvenor Road Twickenham</t>
  </si>
  <si>
    <t>Amendments to planning permission 08/4334/FUL during the course of construction to amend 3x 1 bed units of accommodation at the rear of No. 37 Grosvenor Road into 1x2 bed unit with associated internal alterations.</t>
  </si>
  <si>
    <t>11/1443/FUL</t>
  </si>
  <si>
    <t>Twickenham Railway Station London Road Twickenham TW1 1BD</t>
  </si>
  <si>
    <t>Demolition of existing station building and access gantries to the platforms and a phased redevelopment to provide; _x000D_1. Removal of existing footbridge structures, adjustment of existing platform canopies and rebuilding of a section of the London Road wal</t>
  </si>
  <si>
    <t>17/3054/FUL</t>
  </si>
  <si>
    <t>Garage Site Marys Terrace Twickenham TW1 3JB</t>
  </si>
  <si>
    <t>Demolition of existing garages and erection of a pair of two-storey, 3-bedroom semi-detached houses (2 no.), with associated landscaping and 4 off-street parking bays.</t>
  </si>
  <si>
    <t>14/3003/P3JPA</t>
  </si>
  <si>
    <t>Third Floor
34A York Street
Twickenham
TW1 3LJ</t>
  </si>
  <si>
    <t>Change of use from offices (B1a) to residential (C3) comprising of 1 one-bed flat.</t>
  </si>
  <si>
    <t>17/3077/FUL</t>
  </si>
  <si>
    <t>4 Church Street
Twickenham
TW1 3NJ</t>
  </si>
  <si>
    <t>Erection of a 3 storey dwellinghouse with accommodation at basement level, associated landscaping works and rear outbuilding for garage.</t>
  </si>
  <si>
    <t>16/0279/FUL</t>
  </si>
  <si>
    <t>Wild Thyme
Eel Pie Island
Twickenham
TW1 3DY</t>
  </si>
  <si>
    <t>Demolition of existing single-storey dwelling and creation of new single-storey, single family residential dwelling.</t>
  </si>
  <si>
    <t>14/4839/FUL</t>
  </si>
  <si>
    <t>The Cottage Eel Pie Island Twickenham TW1 3DY</t>
  </si>
  <si>
    <t>Demolition of existing house and construction of a new 3 bedroom house.</t>
  </si>
  <si>
    <t>17/2995/FUL</t>
  </si>
  <si>
    <t>24 Larkfield Road Richmond</t>
  </si>
  <si>
    <t>Change of use from a House in Multiple Occupation (Use Class C4) to create three self-contained flats (Use Class C3).  Installation of rear conservation rooflight, side ground floor window and replacement windows.</t>
  </si>
  <si>
    <t>14/5306/FUL</t>
  </si>
  <si>
    <t>21 - 21A St Johns Road Richmond</t>
  </si>
  <si>
    <t>Change of use from B1 to residential (Number 21) and demolition of existing 2-storey dwelling (21A) with erection of back extension with basement</t>
  </si>
  <si>
    <t>17/4015/FUL</t>
  </si>
  <si>
    <t>Land To Rear Of 34 - 40 The Quadrant Richmond</t>
  </si>
  <si>
    <t>Erection of 2no. dwellings with associated cycle parking and refuse storage.</t>
  </si>
  <si>
    <t>17/1621/FUL</t>
  </si>
  <si>
    <t>3 Union Court Sheen Road Richmond</t>
  </si>
  <si>
    <t>Conversion of First Floor Offices (B1) to Residential (C3) and Remodelling of Second Floor Flat.</t>
  </si>
  <si>
    <t>17/4344/FUL</t>
  </si>
  <si>
    <t>First To Third Floors 2 The Square Richmond</t>
  </si>
  <si>
    <t>Change of use of first, second and third floors from Class A2 (offices) and Class A1 (ancillary office space) to 1 two-bedroom residential dwelling with roof terrace at fourth floor level with associated safety balustrade.</t>
  </si>
  <si>
    <t>16/0058/FUL</t>
  </si>
  <si>
    <t>29 George Street Richmond TW9 1HY</t>
  </si>
  <si>
    <t>Change of use of 2nd floor and 3rd floor level from ancillary retail to nine 1 bedroom flats (C3 use) with external alterations and enclosure of walkway at 1st floor, new residential access, bin store, bicycle storage, replacement of plant, new stairs to</t>
  </si>
  <si>
    <t>16/1373/FUL</t>
  </si>
  <si>
    <t>17 The Green Richmond TW9 1PX</t>
  </si>
  <si>
    <t>Alterations and refurbishment to provide a single family dwelling house.</t>
  </si>
  <si>
    <t>18/3460/FUL</t>
  </si>
  <si>
    <t>20A Red Lion Street
Richmond
TW9 1RW</t>
  </si>
  <si>
    <t>Infill of internal void with new roof section over to facilitate conversion of existing three-bedroom dwelling (flat) above a retail unit to 2no. one-bed dwellings (flats) above retail unit.</t>
  </si>
  <si>
    <t>15/0736/FUL</t>
  </si>
  <si>
    <t>10A Red Lion Street Richmond TW9 1RW</t>
  </si>
  <si>
    <t>Change of use from a single two bedroom flat on first and second floor to two no. one bedroom flats</t>
  </si>
  <si>
    <t>10/0312/FUL</t>
  </si>
  <si>
    <t>72 Stanley Road_x000D_Teddington</t>
  </si>
  <si>
    <t>Construction of three bedroom house and associated landscaping</t>
  </si>
  <si>
    <t>16/1935/GPD15</t>
  </si>
  <si>
    <t>Garrick House 161 - 163 High Street Hampton Hill TW12 1NL</t>
  </si>
  <si>
    <t>Change of use of ground, first and second floors from B1 (a) offices - C3 residential (21 flats together with 21 off-street parking spaces, 21 cycle spaces and two bin and recycling store area)</t>
  </si>
  <si>
    <t>5A And 5B Upper Lodge Mews Bushy Park Hampton Hill</t>
  </si>
  <si>
    <t>01. Completion</t>
  </si>
  <si>
    <t>Planning Ref</t>
  </si>
  <si>
    <t>Development Category</t>
  </si>
  <si>
    <t>Start Date</t>
  </si>
  <si>
    <t>Completion Date</t>
  </si>
  <si>
    <t>Address</t>
  </si>
  <si>
    <t>Proposal</t>
  </si>
  <si>
    <t>Units Existing</t>
  </si>
  <si>
    <t>Units Proposed</t>
  </si>
  <si>
    <t>Application Type</t>
  </si>
  <si>
    <t>PA</t>
  </si>
  <si>
    <t>1 bed net</t>
  </si>
  <si>
    <t>2 bed net</t>
  </si>
  <si>
    <t>3 bed net</t>
  </si>
  <si>
    <t>4 bed net</t>
  </si>
  <si>
    <t>5 bed net</t>
  </si>
  <si>
    <t>6 bed net</t>
  </si>
  <si>
    <t>7 bed net</t>
  </si>
  <si>
    <t>Net Dwellings</t>
  </si>
  <si>
    <t>Tenure</t>
  </si>
  <si>
    <t>Affordable Rent</t>
  </si>
  <si>
    <t>Open Market</t>
  </si>
  <si>
    <t>Intermediate</t>
  </si>
  <si>
    <t>02. Under Construction</t>
  </si>
  <si>
    <t>Change of use from Office (B1) to residential (C3).</t>
  </si>
  <si>
    <t>Proposed change of use from retail to mixed use. Alterations to configuration of internal walls.</t>
  </si>
  <si>
    <t>Row Labels</t>
  </si>
  <si>
    <t>Grand Total</t>
  </si>
  <si>
    <t>Sum of Net Dwellings</t>
  </si>
  <si>
    <t>31/11/2018</t>
  </si>
  <si>
    <t>03. Not Started</t>
  </si>
  <si>
    <t>1 bed</t>
  </si>
  <si>
    <t>2 bed</t>
  </si>
  <si>
    <t>3 bed</t>
  </si>
  <si>
    <t>Total</t>
  </si>
  <si>
    <t>Market</t>
  </si>
  <si>
    <t>16/1279/GPD15</t>
  </si>
  <si>
    <t>16/2822/FUL</t>
  </si>
  <si>
    <t>16/2975/GPD15</t>
  </si>
  <si>
    <t>16/3146/GPD15</t>
  </si>
  <si>
    <t>16/3210/GPD15</t>
  </si>
  <si>
    <t>16/4203/GPD13</t>
  </si>
  <si>
    <t>17/0164/GPD15</t>
  </si>
  <si>
    <t>17/1139/GPD15</t>
  </si>
  <si>
    <t>17/2532/GPD15</t>
  </si>
  <si>
    <t>115 White Hart Lane_x000D_Barnes_x000D_London_x000D_SW13 0JL_x000D_</t>
  </si>
  <si>
    <t>48 Sixth Cross Road_x000D_Twickenham_x000D_TW2 5PD</t>
  </si>
  <si>
    <t>First And Second Floors_x000D_46 King Street_x000D_Twickenham_x000D_TW1 3SH_x000D_</t>
  </si>
  <si>
    <t>Wickham House_x000D_2 Upper Teddington Road_x000D_Hampton Wick_x000D__x000D_</t>
  </si>
  <si>
    <t>123 High Street_x000D_Whitton_x000D_Twickenham_x000D_TW2 7LQ_x000D_</t>
  </si>
  <si>
    <t>34-36 High Street_x000D_Whitton_x000D_Twickenham_x000D_TW2 7LT_x000D_</t>
  </si>
  <si>
    <t>Ground Floor_x000D_101 Holly Road_x000D_Twickenham_x000D_TW1 4HQ_x000D_</t>
  </si>
  <si>
    <t>108 Sherland Road_x000D_Twickenham_x000D_TW1 4HD_x000D_</t>
  </si>
  <si>
    <t>The Coach House_x000D_273A Sandycombe Road_x000D_Richmond_x000D_TW9 3LU_x000D_</t>
  </si>
  <si>
    <t>Change of use from office (B1a) to residential (C3).</t>
  </si>
  <si>
    <t>Half hip to gable roof extension, enlargement of existing dormer roof extension, erection of an additional dormer roof extension on rear roof slope and alteration to roof of single storey rear extension to provide a roof terrace to faciltate the conversio</t>
  </si>
  <si>
    <t>Change of use of vacant offices (B1) to residential use (C3) comprising 2 bed flat on 1st floor and 1 bed flat on second floor</t>
  </si>
  <si>
    <t>Change of use of building from B1a (office use) to C3 residential use to provide 4 flats</t>
  </si>
  <si>
    <t>Change of use from B1 (Office) to C3 (Residential) comprising 4 x 1 bedroom flats.</t>
  </si>
  <si>
    <t>Prior approval for conversion of rear part of shop (Use Class A1) to a self-contained residential unit (Use Class C3) including alterations to insert new doors and windows.</t>
  </si>
  <si>
    <t>Change of use of property from B1a (office use) to C3 (residential) to provide 1 no. 4 bedroom dwellinghouse</t>
  </si>
  <si>
    <t>Prior approval for the change of use from office B1(a) to residential (C3) in the form of 5 no. units.</t>
  </si>
  <si>
    <t>Change of use of ground floor office from B1(a) (Office) to C3 (residential) use to provide 1 no. 1 bed dwelling unit</t>
  </si>
  <si>
    <t>Social Rent</t>
  </si>
  <si>
    <t>Site Status</t>
  </si>
  <si>
    <t>Table 1c</t>
  </si>
  <si>
    <t>Table 1</t>
  </si>
  <si>
    <t>Performance against London Plan (July 2011) target (2011 to 2021)</t>
  </si>
  <si>
    <t>Additional Homes (net)</t>
  </si>
  <si>
    <t>London Plan Target</t>
  </si>
  <si>
    <t>% of Target</t>
  </si>
  <si>
    <t>2011/12</t>
  </si>
  <si>
    <t>2012/13</t>
  </si>
  <si>
    <t>2013/14</t>
  </si>
  <si>
    <t>2014/15</t>
  </si>
  <si>
    <t>2015/16</t>
  </si>
  <si>
    <t>2016/17</t>
  </si>
  <si>
    <t>2017/18</t>
  </si>
  <si>
    <t>Conventional Supply</t>
  </si>
  <si>
    <t>Table 1a</t>
  </si>
  <si>
    <t>Performance against Further Alterations to the London Plan (2015) target (2015 to 2025)</t>
  </si>
  <si>
    <t>Table 1b</t>
  </si>
  <si>
    <t>Five year housing land supply calculation methodology</t>
  </si>
  <si>
    <t>a</t>
  </si>
  <si>
    <t>London Plan (FALP) Requirement 1 April 2015 to 31 March 2025 (10 year plan period)</t>
  </si>
  <si>
    <t>b</t>
  </si>
  <si>
    <t>c</t>
  </si>
  <si>
    <t>a - b</t>
  </si>
  <si>
    <t>d</t>
  </si>
  <si>
    <t>Average per year</t>
  </si>
  <si>
    <t>e</t>
  </si>
  <si>
    <t>Five year requirement</t>
  </si>
  <si>
    <t>d x 5</t>
  </si>
  <si>
    <t>f</t>
  </si>
  <si>
    <t>Five percent buffer</t>
  </si>
  <si>
    <t>e x 0.05</t>
  </si>
  <si>
    <t>g</t>
  </si>
  <si>
    <t>Total five year requirement (including 5% buffer)</t>
  </si>
  <si>
    <t>e + f</t>
  </si>
  <si>
    <t>h</t>
  </si>
  <si>
    <t>Estimated supply over five year period</t>
  </si>
  <si>
    <t>i</t>
  </si>
  <si>
    <t>Five year land supply as a percentage of requirement (excluding any buffer)</t>
  </si>
  <si>
    <t>(h ÷ e) x 100</t>
  </si>
  <si>
    <t>j</t>
  </si>
  <si>
    <t>Five year land supply expressed in years (excluding any buffer)</t>
  </si>
  <si>
    <t>h ÷ d</t>
  </si>
  <si>
    <t>Site Type</t>
  </si>
  <si>
    <t>Total used for 5-year supply</t>
  </si>
  <si>
    <t>New Build under construction</t>
  </si>
  <si>
    <t>New Build Sites with planning permission</t>
  </si>
  <si>
    <t>Conversion sites under construction</t>
  </si>
  <si>
    <t>Conversion sites with planning permission</t>
  </si>
  <si>
    <t>Conversion sites with prior notification approval</t>
  </si>
  <si>
    <t>Proposal / other known Sites</t>
  </si>
  <si>
    <t>Total 5 year supply</t>
  </si>
  <si>
    <t>Table 2</t>
  </si>
  <si>
    <t>Housing Capacity</t>
  </si>
  <si>
    <t>New Build</t>
  </si>
  <si>
    <t>Conversions</t>
  </si>
  <si>
    <t xml:space="preserve">Gross </t>
  </si>
  <si>
    <t>Net</t>
  </si>
  <si>
    <t>Planning Permissions</t>
  </si>
  <si>
    <t>Potential Sites</t>
  </si>
  <si>
    <t>Table 3</t>
  </si>
  <si>
    <t>Tenure Unknown</t>
  </si>
  <si>
    <t>Total Affordable</t>
  </si>
  <si>
    <t>% Affordable</t>
  </si>
  <si>
    <t>Social/Affordable Rent</t>
  </si>
  <si>
    <t>Gross</t>
  </si>
  <si>
    <t>Small Sites Allowance</t>
  </si>
  <si>
    <t>Table 4</t>
  </si>
  <si>
    <t>*Note Pipeline includes some dwellings expected to be completed outside of the plan period</t>
  </si>
  <si>
    <t>Table 5</t>
  </si>
  <si>
    <t>Year</t>
  </si>
  <si>
    <t xml:space="preserve"> Completions</t>
  </si>
  <si>
    <t>2001/02</t>
  </si>
  <si>
    <t>2002/03</t>
  </si>
  <si>
    <t>2003/04</t>
  </si>
  <si>
    <t>2004/05</t>
  </si>
  <si>
    <t>2005/06</t>
  </si>
  <si>
    <t>2006/07</t>
  </si>
  <si>
    <t>2007/08</t>
  </si>
  <si>
    <t>2008/09</t>
  </si>
  <si>
    <t>2009/10</t>
  </si>
  <si>
    <t>2010/11</t>
  </si>
  <si>
    <t>Table 6</t>
  </si>
  <si>
    <t>Development Type</t>
  </si>
  <si>
    <t>Permissions</t>
  </si>
  <si>
    <t>Starts</t>
  </si>
  <si>
    <t>Completions</t>
  </si>
  <si>
    <t xml:space="preserve"> New Build</t>
  </si>
  <si>
    <t xml:space="preserve"> Conversions</t>
  </si>
  <si>
    <t xml:space="preserve"> Total</t>
  </si>
  <si>
    <t>Table 7</t>
  </si>
  <si>
    <t>Table 8</t>
  </si>
  <si>
    <t xml:space="preserve"> Open Market</t>
  </si>
  <si>
    <t xml:space="preserve"> Affordable</t>
  </si>
  <si>
    <t>Units</t>
  </si>
  <si>
    <t>%</t>
  </si>
  <si>
    <t>Table 9</t>
  </si>
  <si>
    <t>Dwelling Type / Size</t>
  </si>
  <si>
    <t>Prior Approvals</t>
  </si>
  <si>
    <t xml:space="preserve">Studio </t>
  </si>
  <si>
    <t xml:space="preserve">1 bed </t>
  </si>
  <si>
    <t xml:space="preserve">2 bed </t>
  </si>
  <si>
    <t xml:space="preserve">3 bed </t>
  </si>
  <si>
    <t xml:space="preserve">4+ bed </t>
  </si>
  <si>
    <t>Percentage</t>
  </si>
  <si>
    <t>Table 10</t>
  </si>
  <si>
    <t>Proportion of housing completions provided by large sites</t>
  </si>
  <si>
    <t>Table 10a</t>
  </si>
  <si>
    <t>Net completions on small / large sites</t>
  </si>
  <si>
    <t>Small</t>
  </si>
  <si>
    <t>Large</t>
  </si>
  <si>
    <t>% Small</t>
  </si>
  <si>
    <t>% Large</t>
  </si>
  <si>
    <t xml:space="preserve">Total </t>
  </si>
  <si>
    <t>Spatial Areas</t>
  </si>
  <si>
    <t>Town Centres</t>
  </si>
  <si>
    <t>Policy Areas</t>
  </si>
  <si>
    <t>Table 11</t>
  </si>
  <si>
    <t>Table 12</t>
  </si>
  <si>
    <t>Town Centre</t>
  </si>
  <si>
    <t>Policy Area</t>
  </si>
  <si>
    <t>East Sheen</t>
  </si>
  <si>
    <t>Richmond</t>
  </si>
  <si>
    <t>Thames Policy Area</t>
  </si>
  <si>
    <t>Teddington</t>
  </si>
  <si>
    <t>Mixed Use Land</t>
  </si>
  <si>
    <t>Twickenham</t>
  </si>
  <si>
    <t>OOLTI</t>
  </si>
  <si>
    <t>Whitton</t>
  </si>
  <si>
    <t>Green Belt MOL</t>
  </si>
  <si>
    <t>Total in Town Centres</t>
  </si>
  <si>
    <t>Wards</t>
  </si>
  <si>
    <t>Table 13</t>
  </si>
  <si>
    <t>Ward</t>
  </si>
  <si>
    <t>Barnes</t>
  </si>
  <si>
    <t>Fulwell, Hampton Hill</t>
  </si>
  <si>
    <t>Ham, Petersham, Richmond Riverside</t>
  </si>
  <si>
    <t>Hampton North</t>
  </si>
  <si>
    <t>Hampton</t>
  </si>
  <si>
    <t>Hampton Wick</t>
  </si>
  <si>
    <t>Heathfield</t>
  </si>
  <si>
    <t>Kew</t>
  </si>
  <si>
    <t>Mortlake, Barnes Common</t>
  </si>
  <si>
    <t>North Richmond</t>
  </si>
  <si>
    <t>South Richmond</t>
  </si>
  <si>
    <t>South Twickenham</t>
  </si>
  <si>
    <t>St Margarets, North Twickenham</t>
  </si>
  <si>
    <t>Twickenham Riverside</t>
  </si>
  <si>
    <t>West Twickenham</t>
  </si>
  <si>
    <t>Table 14</t>
  </si>
  <si>
    <t>Proposed</t>
  </si>
  <si>
    <t>Existing</t>
  </si>
  <si>
    <t>Net Gain</t>
  </si>
  <si>
    <t>Dwelling Mix</t>
  </si>
  <si>
    <t>Table 15</t>
  </si>
  <si>
    <t>Net new build units completed by unit size and tenure</t>
  </si>
  <si>
    <t>Net new build units completed by unit size</t>
  </si>
  <si>
    <t>Studio</t>
  </si>
  <si>
    <t>4 + bed</t>
  </si>
  <si>
    <t>Not Known</t>
  </si>
  <si>
    <t>Affordable Rented</t>
  </si>
  <si>
    <t>Table 16</t>
  </si>
  <si>
    <t>Net new build units under construction by unit size and tenure</t>
  </si>
  <si>
    <t>Table 17</t>
  </si>
  <si>
    <t>Net new build units with planning permission by unit size and tenure</t>
  </si>
  <si>
    <t>Net new build units with planning permission by unit size</t>
  </si>
  <si>
    <t>Future Housing Supply</t>
  </si>
  <si>
    <t>Table 18</t>
  </si>
  <si>
    <t>New Build Sites Under Construction</t>
  </si>
  <si>
    <t>Conversion Sites Under Construction</t>
  </si>
  <si>
    <t>Conversion Sites with planning permission</t>
  </si>
  <si>
    <t>Prior Approval Sites Under Construction</t>
  </si>
  <si>
    <t>Prior Approval Sites with approval</t>
  </si>
  <si>
    <t>Proposal / Other known large sites</t>
  </si>
  <si>
    <t>Fulwell and Hampton Hill</t>
  </si>
  <si>
    <t>Ham, Petersham &amp; Richmond Riverside</t>
  </si>
  <si>
    <t>Mortlake and Barnes Common</t>
  </si>
  <si>
    <t>St Margarets and North Twickenham</t>
  </si>
  <si>
    <t>Conventional Supply: refers to all new build, change of use, conversions and extensions resulting in a change of residential units.</t>
  </si>
  <si>
    <t>2018/19</t>
  </si>
  <si>
    <t xml:space="preserve">Provision (80% of plan period)   </t>
  </si>
  <si>
    <t xml:space="preserve">Provision 
(40% of plan period)   </t>
  </si>
  <si>
    <t>Easting</t>
  </si>
  <si>
    <t>Northing</t>
  </si>
  <si>
    <t>1 bed ex</t>
  </si>
  <si>
    <t>2 bed ex</t>
  </si>
  <si>
    <t>3 bed ex</t>
  </si>
  <si>
    <t>4 bed ex</t>
  </si>
  <si>
    <t>5 bed ex</t>
  </si>
  <si>
    <t>6 bed ex</t>
  </si>
  <si>
    <t>7 bed ex</t>
  </si>
  <si>
    <t>1 bed pr</t>
  </si>
  <si>
    <t>2 bed pr</t>
  </si>
  <si>
    <t>3 bed pr</t>
  </si>
  <si>
    <t>4 bed pr</t>
  </si>
  <si>
    <t>5 bed pr</t>
  </si>
  <si>
    <t>6 bed pr</t>
  </si>
  <si>
    <t>7 bed pr</t>
  </si>
  <si>
    <t>0 bed ex</t>
  </si>
  <si>
    <t>0 bed pr</t>
  </si>
  <si>
    <t>0 bed net</t>
  </si>
  <si>
    <t>Large Site Completion</t>
  </si>
  <si>
    <t>5 year supply</t>
  </si>
  <si>
    <t>(Multiple Items)</t>
  </si>
  <si>
    <t>2018/19 ( R)</t>
  </si>
  <si>
    <t>2019/20 (C)</t>
  </si>
  <si>
    <t>2020/21 (1)</t>
  </si>
  <si>
    <t>2021/22 (2)</t>
  </si>
  <si>
    <t>2022/23 (3)</t>
  </si>
  <si>
    <t>2023/24 (4)</t>
  </si>
  <si>
    <t>2024/25 (5)</t>
  </si>
  <si>
    <t>2025/26 (6)</t>
  </si>
  <si>
    <t>2026/27 (7)</t>
  </si>
  <si>
    <t>2027/28 (8)</t>
  </si>
  <si>
    <t>2028/29 (9)</t>
  </si>
  <si>
    <t>2029/30 (10)</t>
  </si>
  <si>
    <t>Sum of 2020/21 (1)</t>
  </si>
  <si>
    <t>Sum of 2021/22 (2)</t>
  </si>
  <si>
    <t>Sum of 2022/23 (3)</t>
  </si>
  <si>
    <t>Sum of 2023/24 (4)</t>
  </si>
  <si>
    <t>Sum of 2024/25 (5)</t>
  </si>
  <si>
    <t>New Build Completions Net</t>
  </si>
  <si>
    <t>Sum of Units Proposed</t>
  </si>
  <si>
    <t>New Build Completions Gross</t>
  </si>
  <si>
    <t>Conversions Completions Net</t>
  </si>
  <si>
    <t>Conversions Completions Gross</t>
  </si>
  <si>
    <t>All Completions Net</t>
  </si>
  <si>
    <t>All Completions Gross</t>
  </si>
  <si>
    <t>New Build Under Construction Net</t>
  </si>
  <si>
    <t>New Build Under Construction Gross</t>
  </si>
  <si>
    <t>Conversions Under Construction Net</t>
  </si>
  <si>
    <t>Conversions Under Construction Gross</t>
  </si>
  <si>
    <t>All Under Construction Net</t>
  </si>
  <si>
    <t>All Under Construction Gross</t>
  </si>
  <si>
    <t>New Build Not Started Net</t>
  </si>
  <si>
    <t>New Build Not Started Gross</t>
  </si>
  <si>
    <t>Conversions Not Started Net</t>
  </si>
  <si>
    <t>Conversions Not Started Gross</t>
  </si>
  <si>
    <t>All Not Started Net</t>
  </si>
  <si>
    <t>All Not Started Gross</t>
  </si>
  <si>
    <t>Net completions 1 April 2015 to 31 March 2019</t>
  </si>
  <si>
    <t>Remaining London Plan Requirement 31 March 2019 to 31 March 2025 (6 year plan period)</t>
  </si>
  <si>
    <t>c ÷ 6 years</t>
  </si>
  <si>
    <t>Local Plan SA 12</t>
  </si>
  <si>
    <t>Identified Site 5 year</t>
  </si>
  <si>
    <t>Mereway Day Centre, Mereway Road</t>
  </si>
  <si>
    <t>04. Identified Site</t>
  </si>
  <si>
    <t>Local Plan SA 13</t>
  </si>
  <si>
    <t>Telephone Exchange, Ashdale Road</t>
  </si>
  <si>
    <t>Local Plan SA 14</t>
  </si>
  <si>
    <t>Kneller Hall, Whitton</t>
  </si>
  <si>
    <t>Local Plan SA 15</t>
  </si>
  <si>
    <t>Ham Central Area</t>
  </si>
  <si>
    <t>Local Plan SA 16</t>
  </si>
  <si>
    <t>Cassel Hospital, Ham Common, Ham</t>
  </si>
  <si>
    <t>Local Plan SA 19</t>
  </si>
  <si>
    <t>Richmond Station and above track, The Quadrant</t>
  </si>
  <si>
    <t>Local Plan SA 2</t>
  </si>
  <si>
    <t>Local Plan SA 20</t>
  </si>
  <si>
    <t>Friars Lane Car Park</t>
  </si>
  <si>
    <t>Local Plan SA 24</t>
  </si>
  <si>
    <t>Budweiser Stag Brewery, Mortlake</t>
  </si>
  <si>
    <t>Local Plan SA 25</t>
  </si>
  <si>
    <t>Mortlake And Barnes Delivery Office, 2-12 Mortlake High Street, Mortlake</t>
  </si>
  <si>
    <t>Local Plan SA 26</t>
  </si>
  <si>
    <t>Kew Biothane Plant, Mellis Avenue</t>
  </si>
  <si>
    <t>Local Plan SA 27</t>
  </si>
  <si>
    <t>Telephone Exchange, Upper Richmond Road, East Sheen</t>
  </si>
  <si>
    <t>Local Plan SA 28</t>
  </si>
  <si>
    <t>Barnes Hospital</t>
  </si>
  <si>
    <t>Local Plan SA 4</t>
  </si>
  <si>
    <t>Hampton Delivery Office, Rosehill, Hampton</t>
  </si>
  <si>
    <t>Teddington Delivery Office, 19 High Street, Teddington</t>
  </si>
  <si>
    <t>Local Plan SA 5</t>
  </si>
  <si>
    <t>Telephone Exchange, High Street, Teddington</t>
  </si>
  <si>
    <t>Local Plan SA 7</t>
  </si>
  <si>
    <t>Strathmore Centre, Strathmore Road</t>
  </si>
  <si>
    <t>Other known large site</t>
  </si>
  <si>
    <t>Sainsbury’s, Manor Road/Lower Richmond Road</t>
  </si>
  <si>
    <t>Small Sites</t>
  </si>
  <si>
    <t>Small Sites Trend</t>
  </si>
  <si>
    <t>07. Small Sites Trend</t>
  </si>
  <si>
    <t>Unknown</t>
  </si>
  <si>
    <t>TAAP TW2</t>
  </si>
  <si>
    <t>Station Yard, Twickenham</t>
  </si>
  <si>
    <t>TAAP TW5</t>
  </si>
  <si>
    <t>Telephone Exchange, Garfield Road, Twickenham</t>
  </si>
  <si>
    <t>TAAP TW6</t>
  </si>
  <si>
    <t>Police Station, London Road, Twickenham</t>
  </si>
  <si>
    <t>TAAP TW7</t>
  </si>
  <si>
    <t>Twickenham Riverside (Former Pool Site) and south of King Street</t>
  </si>
  <si>
    <t>Potential</t>
  </si>
  <si>
    <t>Total Pipeline at 01/04/2019</t>
  </si>
  <si>
    <t>Table 3 - Tenure</t>
  </si>
  <si>
    <t>Completions Net</t>
  </si>
  <si>
    <t>Net Completions Intermediate</t>
  </si>
  <si>
    <t>Under Construction Intermediate</t>
  </si>
  <si>
    <t>Not Started Intermediate</t>
  </si>
  <si>
    <t>Net Completions Affordable Rent</t>
  </si>
  <si>
    <t>Under Construction Affordable Rent</t>
  </si>
  <si>
    <t>Not Started Affordable Rent</t>
  </si>
  <si>
    <t>Net Completions Open Market</t>
  </si>
  <si>
    <t>Under Construction Open Market</t>
  </si>
  <si>
    <t>Not Started Open Market</t>
  </si>
  <si>
    <t>Completions Gross</t>
  </si>
  <si>
    <t>Completions Intermediate</t>
  </si>
  <si>
    <t>Completions Affordable Rent</t>
  </si>
  <si>
    <t>Completions Open Market</t>
  </si>
  <si>
    <t>Housing land capacity at 1st April 2019, by tenure (New build only)</t>
  </si>
  <si>
    <t>New Build Completions Open Market Net</t>
  </si>
  <si>
    <t>New Build Under Construction Open Market Net</t>
  </si>
  <si>
    <t>New Build Not Started Open Market Net</t>
  </si>
  <si>
    <t>New Build Completions Open Market Gross</t>
  </si>
  <si>
    <t>New Build Under Construction Open Market Gross</t>
  </si>
  <si>
    <t>New Build Not Started Open Market Gross</t>
  </si>
  <si>
    <t>New Build Completions Intermediate Net</t>
  </si>
  <si>
    <t>New Build Under Construction Intermediate Net</t>
  </si>
  <si>
    <t>New Build Not Started Intermediate Net</t>
  </si>
  <si>
    <t>New Build Completions Intermediate Gross</t>
  </si>
  <si>
    <t>New Build Under Construction Intermediate Gross</t>
  </si>
  <si>
    <t>New Build Not Started Intermediate Gross</t>
  </si>
  <si>
    <t>New Build Completions Affordable Rent Net</t>
  </si>
  <si>
    <t>New Build Under Construction Affordable Rent Net</t>
  </si>
  <si>
    <t>New Build Not Started Affordable Rent Net</t>
  </si>
  <si>
    <t>New Build Completions Affordable Rent Gross</t>
  </si>
  <si>
    <t>New Build Under Construction Affordable Rent Gross</t>
  </si>
  <si>
    <t>New Build Not Started Affordable Rent Gross</t>
  </si>
  <si>
    <t>Completed 2018/19</t>
  </si>
  <si>
    <r>
      <t>Richmond upon Thames - Authority Monitoring Report 
Housing Land Financial Year Report 2018/19 - Position at 1</t>
    </r>
    <r>
      <rPr>
        <b/>
        <vertAlign val="superscript"/>
        <sz val="16"/>
        <rFont val="Arial"/>
        <family val="2"/>
      </rPr>
      <t>st</t>
    </r>
    <r>
      <rPr>
        <b/>
        <sz val="16"/>
        <rFont val="Arial"/>
        <family val="2"/>
      </rPr>
      <t xml:space="preserve"> April 2019</t>
    </r>
  </si>
  <si>
    <t>(All)</t>
  </si>
  <si>
    <t>Net units with planning permission, commenced or completed in 2018/19 by development type</t>
  </si>
  <si>
    <t>Sum of 0 bed net</t>
  </si>
  <si>
    <t>Sum of 1 bed net</t>
  </si>
  <si>
    <t>Sum of 2 bed net</t>
  </si>
  <si>
    <t>Sum of 3 bed net</t>
  </si>
  <si>
    <t>Sum of 4 bed net</t>
  </si>
  <si>
    <t>Sum of 5 bed net</t>
  </si>
  <si>
    <t>Sum of 6 bed net</t>
  </si>
  <si>
    <t>Sum of 7 bed net</t>
  </si>
  <si>
    <t>(blank)</t>
  </si>
  <si>
    <t>Hampton Road</t>
  </si>
  <si>
    <t>High Street</t>
  </si>
  <si>
    <t>Kew Gardens Station</t>
  </si>
  <si>
    <t>St Margarets</t>
  </si>
  <si>
    <t>Stanley Road</t>
  </si>
  <si>
    <t>Station Road</t>
  </si>
  <si>
    <t>Twickenham Green</t>
  </si>
  <si>
    <t>Dwelling Size of Net Completions 2018/19 (All tenures)</t>
  </si>
  <si>
    <t>Green_Belt</t>
  </si>
  <si>
    <t>Mixed_Land_Use</t>
  </si>
  <si>
    <t>Town_Centre</t>
  </si>
  <si>
    <t>St. Margarets and North Twickenham</t>
  </si>
  <si>
    <t>Ham, Petersham and Richmond Riverside</t>
  </si>
  <si>
    <t>Castelnau</t>
  </si>
  <si>
    <t>Mortlake</t>
  </si>
  <si>
    <t>Church Road/Castelnau</t>
  </si>
  <si>
    <t>White Hart lane</t>
  </si>
  <si>
    <t>Sheen Road</t>
  </si>
  <si>
    <t>East Twickenham</t>
  </si>
  <si>
    <t>Sandycombe Road North</t>
  </si>
  <si>
    <t>Thames Street</t>
  </si>
  <si>
    <t>Sum of Units Existing</t>
  </si>
  <si>
    <t>Net units completed by Ward in 2018/19 (Total conventional supply)</t>
  </si>
  <si>
    <t>Table 15 &amp; 16</t>
  </si>
  <si>
    <t xml:space="preserve">Table 17 - </t>
  </si>
  <si>
    <t>Sum of 2025/26 (6)</t>
  </si>
  <si>
    <t>Sum of 2026/27 (7)</t>
  </si>
  <si>
    <t>Sum of 2027/28 (8)</t>
  </si>
  <si>
    <t>Sum of 2028/29 (9)</t>
  </si>
  <si>
    <t>Sum of 2029/30 (10)</t>
  </si>
  <si>
    <t>Sum of 2018/19 ( R)</t>
  </si>
  <si>
    <t>Sum of 2019/20 (C)</t>
  </si>
  <si>
    <t>Expected Housing Delivery Trajectory</t>
  </si>
  <si>
    <t>London Plan Period</t>
  </si>
  <si>
    <t>2011 London Plan</t>
  </si>
  <si>
    <t>2015 Further Alterations to the London Plan</t>
  </si>
  <si>
    <t>2015 Further Alterations to the London Plan (Continued)</t>
  </si>
  <si>
    <t>2019/20</t>
  </si>
  <si>
    <t>2020/21</t>
  </si>
  <si>
    <t>2021/22</t>
  </si>
  <si>
    <t>2022/23</t>
  </si>
  <si>
    <t>2023/24</t>
  </si>
  <si>
    <t>2024/25</t>
  </si>
  <si>
    <t>2025/26</t>
  </si>
  <si>
    <t>2026/27</t>
  </si>
  <si>
    <t>2027/28</t>
  </si>
  <si>
    <t>2028/29</t>
  </si>
  <si>
    <t>2029/30</t>
  </si>
  <si>
    <t>2030/31</t>
  </si>
  <si>
    <t>2031/32</t>
  </si>
  <si>
    <t>Years of Plan Remaining</t>
  </si>
  <si>
    <t>Past Completions</t>
  </si>
  <si>
    <t>Projected Completions</t>
  </si>
  <si>
    <t>Cumulative Completions over Plan Period</t>
  </si>
  <si>
    <t>Target</t>
  </si>
  <si>
    <t>Annual Target</t>
  </si>
  <si>
    <t>Cumulative Target over Plan Period</t>
  </si>
  <si>
    <t>Delivery against Target</t>
  </si>
  <si>
    <t>Cumulative Completions above Cumulative Target</t>
  </si>
  <si>
    <t>Managed Annual Target incorporating Past and Projected Completions</t>
  </si>
  <si>
    <t>Other?</t>
  </si>
  <si>
    <t>The Bungalow Beresford Court Park Road Twickenham TW1 2PU</t>
  </si>
  <si>
    <t>Land At 149 - 151 Heath Road Twickenham</t>
  </si>
  <si>
    <t>63 - 71 High Street Hampton Hill</t>
  </si>
  <si>
    <t>17/4014/FUL</t>
  </si>
  <si>
    <t>Change of use of part front ground floor A5(hot food takeaways) use to C3(residential) use to facilitate the conversion of existing 3 bed maisonette above shop into 2 x 2 bed (2B3P) flats. Change of use of part rear ground floor rear from A5(retail) to C3(residential) use and erection of first floor rear extension to facilitate the creation of 1 no. studio flat with balcony. Alterations to side and rear fenestration arrangement.</t>
  </si>
  <si>
    <t>126 Heath Road Twickenham TW1 4BN</t>
  </si>
  <si>
    <t>Conventional Supply Housing Trajectory Assumptions</t>
  </si>
  <si>
    <t>There are two trajectories for conventional (self-contained) housing supply. They both use the same capacity figures however vary in the phasing assumptions. Scenario 1 is the current expected delivery of housing. Scenario 2 factors in some potential delays. Details of the assumptions made in each of the scenarios are below.</t>
  </si>
  <si>
    <t>Criteria</t>
  </si>
  <si>
    <t>Scenario 1</t>
  </si>
  <si>
    <t>Scenario 2</t>
  </si>
  <si>
    <t>New build sites completed by 31 March 2018</t>
  </si>
  <si>
    <t>Completions between 1 April 2017 and 31 March 2018 are counted in the reporting year (2017/18).</t>
  </si>
  <si>
    <t>As Scenario 1.</t>
  </si>
  <si>
    <t>2A</t>
  </si>
  <si>
    <t>New build sites of less than twenty new residential units under construction at 31 March 2018</t>
  </si>
  <si>
    <t>Checked against annual site survey, building control and council tax records, sites known to be under construction between 1 April 2017 and 30 September 2017 are phased in 2018/19.</t>
  </si>
  <si>
    <t>2B</t>
  </si>
  <si>
    <t>Sites not known to be under construction in the first six months of 2017/18 are phased between 2018/19 and 2019/20.</t>
  </si>
  <si>
    <t>3A</t>
  </si>
  <si>
    <t>New build sites of twenty or more new residential units under construction at 31 March 2018</t>
  </si>
  <si>
    <t>Phasing based on responses of developers and agents following the annual survey of applicants and agents.</t>
  </si>
  <si>
    <t>3B</t>
  </si>
  <si>
    <t>Where it has not been possible to contact the applicant or agent and no alternative source of phasing is available sites are phased between 2019/20 and 2022/23.</t>
  </si>
  <si>
    <t>Where it has not been possible to contact the applicant or agent and no alternative source of phasing is available sites are phased between 2019/20 and 2023/24.</t>
  </si>
  <si>
    <t xml:space="preserve">New build sites with unimplemented planning permission (full, outline or subject to legal agreement) at 31 March 2018 for less than six new residential units </t>
  </si>
  <si>
    <t>Phased between 2019/20 and 2022/23.</t>
  </si>
  <si>
    <t>Phased between 2019/20 and 2023/24.</t>
  </si>
  <si>
    <t>5A</t>
  </si>
  <si>
    <t>New build sites with unimplemented planning permission (full, outline or subject to legal agreement) at 31 March 2018 for six or more new residential units</t>
  </si>
  <si>
    <t>5B</t>
  </si>
  <si>
    <t>Where it has not been possible to contact the applicant or agent and no alternative source of phasing is available sites are phased between 2021/22 and 2023/24.</t>
  </si>
  <si>
    <t>Where it has not been possible to contact the applicant or agent and no alternative source of phasing is available, the site is still assumed deliverable but to take account of potential un-assessed constraints including viability, delivery is assumed between 2022/23 and 2024/25.</t>
  </si>
  <si>
    <t>New build sites with applications or appeals outstanding at 31 March 2018</t>
  </si>
  <si>
    <t>Phased later in the trajectory between 2022/23 and 2024/25.</t>
  </si>
  <si>
    <t>Conversion, change of use, extension or mixed development sites completed by 31 March 2018</t>
  </si>
  <si>
    <t>8A</t>
  </si>
  <si>
    <t>Conversion, change of use, extension or mixed development sites under construction at 31 March 2018</t>
  </si>
  <si>
    <t>Checked against annual site survey, building control and council tax records, sites known to be under construction between 1 April 2017 and 30 September 2017 are phased in the current year (2018/19).</t>
  </si>
  <si>
    <t>8B</t>
  </si>
  <si>
    <t>9A</t>
  </si>
  <si>
    <t>Conversion, change of use, extension or mixed development sites with unimplemented planning permission (full, outline or subject to legal agreement) for less than six new residential units at 31 March 2018</t>
  </si>
  <si>
    <t>9B</t>
  </si>
  <si>
    <t>Conversion, change of use, extension or mixed development sites with unimplemented planning permission (full, outline or subject to legal agreement) for six or more new residential units at 31 March 2018</t>
  </si>
  <si>
    <t xml:space="preserve">Phasing based on responses of developers and agents following the annual survey of applicants and agents. </t>
  </si>
  <si>
    <t>9C</t>
  </si>
  <si>
    <t>Where it has not been possible to contact the applicant or agent and no alternative source of phasing is available sites are phased between 2018/19 and 2021/22.</t>
  </si>
  <si>
    <t>Conversion, change of use, extension or mixed development sites with applications or appeals outstanding at 31 March 2018</t>
  </si>
  <si>
    <t>Phased between 2022/23 and 2024/25.</t>
  </si>
  <si>
    <t>Identified sites outside of VNEB</t>
  </si>
  <si>
    <t>Phasing and capacity figures are based on the broad assumptions used in the London Strategic Housing Land Availability Assessment (SHLAA) 2017 (constrained capacity figures). Figures used are estimates and do not necessarily reflect or pre-determine the acceptable housing capacity of a site. The appropriate level of development for any given site would be determined through planning application discussions with the Council and reflect the planning policies in place at the time. Inclusion of a site in the development pipeline is not an indication that the site will definitely come forward for development.</t>
  </si>
  <si>
    <t>Identified sites in VNEB</t>
  </si>
  <si>
    <r>
      <t xml:space="preserve">Based on the </t>
    </r>
    <r>
      <rPr>
        <i/>
        <sz val="9"/>
        <rFont val="Arial"/>
        <family val="2"/>
      </rPr>
      <t>Vauxhall Nine Elms Battersea Opportunity Area Developer Phasing Study 2018</t>
    </r>
    <r>
      <rPr>
        <sz val="9"/>
        <rFont val="Arial"/>
        <family val="2"/>
      </rPr>
      <t xml:space="preserve">, using delivery information provided by developers, or where this was not available, the </t>
    </r>
    <r>
      <rPr>
        <i/>
        <sz val="9"/>
        <rFont val="Arial"/>
        <family val="2"/>
      </rPr>
      <t>2016 Update to Phasing of Development and Infrastructure Funding Requirements in the Nine Elms Vauxhall Area</t>
    </r>
    <r>
      <rPr>
        <sz val="9"/>
        <rFont val="Arial"/>
        <family val="2"/>
      </rPr>
      <t>, undertaken by BNP Paribas Real Estate. Site capacity is based on extant planning permissions, or other assumptions about the site.</t>
    </r>
  </si>
  <si>
    <t>As Scenario 1, but using delayed scenarios from the 2018 and 2016 phasing studies.</t>
  </si>
  <si>
    <t>SHLAA potential sites</t>
  </si>
  <si>
    <t>These are SHLAA 2017 high probability sites. However, due to the probability approach to assessing potential sites, information on individual potential sites is confidential. The release of detailed information on these sites could lead to misunderstanding as to its status and to its misapplication. Therefore the total for all potential sites is shown in the trajectory. Phasing is matched to the SHLAA 2017.</t>
  </si>
  <si>
    <t>SHLAA small sites trend</t>
  </si>
  <si>
    <t>The 2017 SHLAA includes a trend- and model-based approach for sites less than 0.25 ha. Therefore, in the trajectory, all identified sites less than 0.25 ha have been removed. The trend rate rather than the model-based approach has been used as this is consistent with previous years' reporting, and data is available to report on this at a ward level. The small sites trend is only applied from 2020/21 onwards to avoid any potential double counting for those small sites which already have planning permission and are therefore included elsewhere.</t>
  </si>
  <si>
    <t>Pending application on sites with permission</t>
  </si>
  <si>
    <t>Sites with applications or appeals outstanding and an existing permission are assumed to develop using the existing permission.</t>
  </si>
  <si>
    <t>Sites are phased between 2019/2020 and 2022/23</t>
  </si>
  <si>
    <t>Total 
Units</t>
  </si>
  <si>
    <t>40 Wellington Road
Hampton
TW12 1JT</t>
  </si>
  <si>
    <t>The Avenue Centre 1 Normansfield Avenue Hampton Wick Teddington TW11 9RP</t>
  </si>
  <si>
    <t>Richmond Royal Hospital</t>
  </si>
  <si>
    <t>Land Adjacent To 94 Pigeon Lane Hampton TW12 1AF</t>
  </si>
  <si>
    <t>Under Construction - Garden Land</t>
  </si>
  <si>
    <t>Not Started - Garden Land</t>
  </si>
  <si>
    <t>Completions - Garden Land</t>
  </si>
  <si>
    <t>Permitted 18/19 - Garden Land</t>
  </si>
  <si>
    <t>Unit 1 Plough Lane Teddington</t>
  </si>
  <si>
    <t>67 - 69 Barnes High Street Barnes</t>
  </si>
  <si>
    <t>Garden Land</t>
  </si>
  <si>
    <t>Net units with planning permission, under construction or completed in 2018/19 by tenure</t>
  </si>
  <si>
    <t>The Bungalow Oldfield Centre Oldfield Road Hampton TW12 2HP</t>
  </si>
  <si>
    <t>18/2620/FUL</t>
  </si>
  <si>
    <t>Homebase, 84 Manor Road, Richmond</t>
  </si>
  <si>
    <t>Variation of condition 2 of application 08/4792/FUL to allow for amendments including: - Introduction of clerestory windows to eastern elevation of office building; - 2 Conservation rooflights added to front (western) elevation of residential building;</t>
  </si>
  <si>
    <t>Platts Eyot</t>
  </si>
  <si>
    <t>Average</t>
  </si>
  <si>
    <t xml:space="preserve">Net units with planning permission, commenced or completed by Ward in 2018/19 </t>
  </si>
  <si>
    <t>Net completions within main centre boundaries</t>
  </si>
  <si>
    <t>Net completions by policy areas</t>
  </si>
  <si>
    <t>Net completions by tenure and financial year (2005/06 to 2018/19)</t>
  </si>
  <si>
    <t>Net units completed during the period 2001/02 to 2017/18</t>
  </si>
  <si>
    <t>Housing land capacity at 1st April 2019, by tenure</t>
  </si>
  <si>
    <t>Housing land capacity at 1st April 2019</t>
  </si>
  <si>
    <t>Housing Land Supply by ward (net gain) 2019/20 – 2024/25</t>
  </si>
  <si>
    <t>Housing Land Supply 2019/20 – 2024/25</t>
  </si>
  <si>
    <t>2025-2029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</si>
</sst>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yyyy;@"/>
    <numFmt numFmtId="165" formatCode="0.0"/>
    <numFmt numFmtId="166" formatCode="0.0%"/>
  </numFmts>
  <fonts count="52" x14ac:knownFonts="1">
    <font>
      <sz val="11"/>
      <color theme="1"/>
      <name val="Calibri"/>
      <family val="2"/>
      <scheme val="minor"/>
    </font>
    <font>
      <sz val="11"/>
      <name val="Calibri"/>
      <family val="2"/>
      <scheme val="minor"/>
    </font>
    <font>
      <b/>
      <sz val="11"/>
      <name val="Calibri"/>
      <family val="2"/>
      <scheme val="minor"/>
    </font>
    <font>
      <sz val="11"/>
      <color theme="1"/>
      <name val="Calibri"/>
      <family val="2"/>
      <scheme val="minor"/>
    </font>
    <font>
      <sz val="10"/>
      <name val="Arial"/>
      <family val="2"/>
    </font>
    <font>
      <sz val="8"/>
      <color theme="1"/>
      <name val="Calibri"/>
      <family val="2"/>
      <scheme val="minor"/>
    </font>
    <font>
      <sz val="10"/>
      <name val="MS Sans Serif"/>
      <family val="2"/>
    </font>
    <font>
      <b/>
      <i/>
      <u/>
      <sz val="9"/>
      <color indexed="10"/>
      <name val="Arial"/>
      <family val="2"/>
    </font>
    <font>
      <sz val="9"/>
      <name val="Arial"/>
      <family val="2"/>
    </font>
    <font>
      <b/>
      <sz val="16"/>
      <name val="Arial"/>
      <family val="2"/>
    </font>
    <font>
      <b/>
      <vertAlign val="superscript"/>
      <sz val="16"/>
      <name val="Arial"/>
      <family val="2"/>
    </font>
    <font>
      <sz val="9"/>
      <color theme="0" tint="-0.249977111117893"/>
      <name val="Arial"/>
      <family val="2"/>
    </font>
    <font>
      <b/>
      <sz val="9"/>
      <name val="Arial"/>
      <family val="2"/>
    </font>
    <font>
      <b/>
      <sz val="8"/>
      <name val="Arial"/>
      <family val="2"/>
    </font>
    <font>
      <sz val="8"/>
      <name val="Arial"/>
      <family val="2"/>
    </font>
    <font>
      <sz val="10"/>
      <color indexed="8"/>
      <name val="Arial"/>
      <family val="2"/>
    </font>
    <font>
      <b/>
      <sz val="10"/>
      <color theme="0" tint="-0.249977111117893"/>
      <name val="Arial"/>
      <family val="2"/>
    </font>
    <font>
      <b/>
      <sz val="9"/>
      <color theme="0" tint="-0.249977111117893"/>
      <name val="Arial"/>
      <family val="2"/>
    </font>
    <font>
      <sz val="10"/>
      <color theme="0" tint="-0.249977111117893"/>
      <name val="MS Sans Serif"/>
      <family val="2"/>
    </font>
    <font>
      <sz val="8"/>
      <color theme="0" tint="-0.249977111117893"/>
      <name val="Arial"/>
      <family val="2"/>
    </font>
    <font>
      <b/>
      <sz val="8"/>
      <color theme="1"/>
      <name val="Arial"/>
      <family val="2"/>
    </font>
    <font>
      <sz val="10"/>
      <color indexed="10"/>
      <name val="Arial"/>
      <family val="2"/>
    </font>
    <font>
      <sz val="8"/>
      <color theme="1"/>
      <name val="Arial"/>
      <family val="2"/>
    </font>
    <font>
      <sz val="9"/>
      <color rgb="FFFF0000"/>
      <name val="Arial"/>
      <family val="2"/>
    </font>
    <font>
      <b/>
      <sz val="10"/>
      <name val="Arial"/>
      <family val="2"/>
    </font>
    <font>
      <sz val="9"/>
      <color indexed="10"/>
      <name val="Arial"/>
      <family val="2"/>
    </font>
    <font>
      <sz val="8"/>
      <color indexed="8"/>
      <name val="Arial"/>
      <family val="2"/>
    </font>
    <font>
      <b/>
      <u/>
      <sz val="16"/>
      <name val="Arial"/>
      <family val="2"/>
    </font>
    <font>
      <b/>
      <sz val="9"/>
      <color theme="0" tint="-0.499984740745262"/>
      <name val="Arial"/>
      <family val="2"/>
    </font>
    <font>
      <sz val="9"/>
      <color theme="0" tint="-0.499984740745262"/>
      <name val="Arial"/>
      <family val="2"/>
    </font>
    <font>
      <b/>
      <sz val="8"/>
      <color theme="0" tint="-0.499984740745262"/>
      <name val="Arial"/>
      <family val="2"/>
    </font>
    <font>
      <b/>
      <sz val="8"/>
      <color theme="1"/>
      <name val="Calibri"/>
      <family val="2"/>
      <scheme val="minor"/>
    </font>
    <font>
      <sz val="8"/>
      <color theme="0" tint="-0.499984740745262"/>
      <name val="Arial"/>
      <family val="2"/>
    </font>
    <font>
      <b/>
      <u/>
      <sz val="16"/>
      <color theme="0" tint="-0.34998626667073579"/>
      <name val="Arial"/>
      <family val="2"/>
    </font>
    <font>
      <sz val="9"/>
      <color theme="0" tint="-0.34998626667073579"/>
      <name val="Arial"/>
      <family val="2"/>
    </font>
    <font>
      <sz val="10"/>
      <color theme="0" tint="-0.34998626667073579"/>
      <name val="MS Sans Serif"/>
      <family val="2"/>
    </font>
    <font>
      <sz val="10"/>
      <color theme="0" tint="-0.34998626667073579"/>
      <name val="Arial"/>
      <family val="2"/>
    </font>
    <font>
      <b/>
      <sz val="9"/>
      <color theme="0" tint="-0.34998626667073579"/>
      <name val="Arial"/>
      <family val="2"/>
    </font>
    <font>
      <b/>
      <sz val="8"/>
      <color theme="0" tint="-0.34998626667073579"/>
      <name val="Arial"/>
      <family val="2"/>
    </font>
    <font>
      <sz val="8"/>
      <color theme="0" tint="-0.34998626667073579"/>
      <name val="Arial"/>
      <family val="2"/>
    </font>
    <font>
      <sz val="8"/>
      <color rgb="FFFF0000"/>
      <name val="Arial"/>
      <family val="2"/>
    </font>
    <font>
      <b/>
      <sz val="11"/>
      <name val="Arial"/>
      <family val="2"/>
    </font>
    <font>
      <b/>
      <sz val="8"/>
      <color indexed="17"/>
      <name val="Arial"/>
      <family val="2"/>
    </font>
    <font>
      <sz val="7.5"/>
      <color theme="1"/>
      <name val="Arial"/>
      <family val="2"/>
    </font>
    <font>
      <sz val="14"/>
      <name val="Calibri"/>
      <family val="2"/>
      <scheme val="minor"/>
    </font>
    <font>
      <i/>
      <sz val="8"/>
      <name val="Arial"/>
      <family val="2"/>
    </font>
    <font>
      <b/>
      <i/>
      <sz val="8"/>
      <name val="Arial"/>
      <family val="2"/>
    </font>
    <font>
      <sz val="10"/>
      <color theme="1"/>
      <name val="Arial"/>
      <family val="2"/>
    </font>
    <font>
      <b/>
      <sz val="14"/>
      <name val="Arial"/>
      <family val="2"/>
    </font>
    <font>
      <sz val="9"/>
      <color theme="1"/>
      <name val="Arial"/>
      <family val="2"/>
    </font>
    <font>
      <i/>
      <sz val="9"/>
      <name val="Arial"/>
      <family val="2"/>
    </font>
    <font>
      <strike/>
      <sz val="11"/>
      <name val="Calibri"/>
      <family val="2"/>
      <scheme val="minor"/>
    </font>
  </fonts>
  <fills count="9">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
      <patternFill patternType="solid">
        <fgColor indexed="9"/>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theme="0" tint="-0.499984740745262"/>
      </top>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thin">
        <color theme="0" tint="-0.249977111117893"/>
      </top>
      <bottom/>
      <diagonal/>
    </border>
    <border>
      <left/>
      <right/>
      <top style="thin">
        <color theme="0" tint="-0.249977111117893"/>
      </top>
      <bottom/>
      <diagonal/>
    </border>
    <border>
      <left/>
      <right style="thin">
        <color indexed="64"/>
      </right>
      <top style="thin">
        <color theme="0" tint="-0.249977111117893"/>
      </top>
      <bottom/>
      <diagonal/>
    </border>
    <border>
      <left style="thin">
        <color indexed="64"/>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
      <left/>
      <right/>
      <top/>
      <bottom style="thin">
        <color theme="1" tint="0.499984740745262"/>
      </bottom>
      <diagonal/>
    </border>
    <border>
      <left style="thin">
        <color indexed="64"/>
      </left>
      <right style="thin">
        <color theme="1"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theme="0" tint="-0.499984740745262"/>
      </top>
      <bottom style="thin">
        <color theme="0" tint="-0.499984740745262"/>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right style="thin">
        <color theme="0" tint="-0.499984740745262"/>
      </right>
      <top style="thin">
        <color indexed="64"/>
      </top>
      <bottom/>
      <diagonal/>
    </border>
    <border>
      <left style="thin">
        <color theme="0" tint="-0.499984740745262"/>
      </left>
      <right/>
      <top style="thin">
        <color indexed="64"/>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theme="1" tint="0.499984740745262"/>
      </top>
      <bottom style="thin">
        <color theme="1" tint="0.499984740745262"/>
      </bottom>
      <diagonal/>
    </border>
  </borders>
  <cellStyleXfs count="16">
    <xf numFmtId="0" fontId="0" fillId="0" borderId="0"/>
    <xf numFmtId="9" fontId="3" fillId="0" borderId="0" applyFont="0" applyFill="0" applyBorder="0" applyAlignment="0" applyProtection="0"/>
    <xf numFmtId="0" fontId="4" fillId="0" borderId="0"/>
    <xf numFmtId="0" fontId="4" fillId="0" borderId="0"/>
    <xf numFmtId="0" fontId="6" fillId="0" borderId="0"/>
    <xf numFmtId="0" fontId="15" fillId="0" borderId="0"/>
    <xf numFmtId="0" fontId="6" fillId="0" borderId="0"/>
    <xf numFmtId="0" fontId="15" fillId="0" borderId="0"/>
    <xf numFmtId="43" fontId="4" fillId="0" borderId="0" applyFont="0" applyFill="0" applyBorder="0" applyAlignment="0" applyProtection="0"/>
    <xf numFmtId="0" fontId="6" fillId="0" borderId="0"/>
    <xf numFmtId="0" fontId="4" fillId="0" borderId="0"/>
    <xf numFmtId="0" fontId="15" fillId="0" borderId="0"/>
    <xf numFmtId="0" fontId="4" fillId="0" borderId="0"/>
    <xf numFmtId="0" fontId="6" fillId="0" borderId="0"/>
    <xf numFmtId="0" fontId="4" fillId="0" borderId="0"/>
    <xf numFmtId="0" fontId="47" fillId="0" borderId="0"/>
  </cellStyleXfs>
  <cellXfs count="515">
    <xf numFmtId="0" fontId="0" fillId="0" borderId="0" xfId="0"/>
    <xf numFmtId="0" fontId="1" fillId="0" borderId="0" xfId="2" applyFont="1" applyFill="1" applyBorder="1"/>
    <xf numFmtId="0" fontId="1" fillId="0" borderId="0" xfId="0" applyFont="1" applyFill="1" applyBorder="1"/>
    <xf numFmtId="0" fontId="1" fillId="0" borderId="5" xfId="0" applyFont="1" applyFill="1" applyBorder="1"/>
    <xf numFmtId="0" fontId="1" fillId="0" borderId="6" xfId="0" applyFont="1" applyFill="1" applyBorder="1"/>
    <xf numFmtId="0" fontId="1" fillId="0" borderId="7" xfId="0" applyFont="1" applyFill="1" applyBorder="1"/>
    <xf numFmtId="0" fontId="1" fillId="0" borderId="8" xfId="0" applyNumberFormat="1" applyFont="1" applyFill="1" applyBorder="1"/>
    <xf numFmtId="0" fontId="4" fillId="4" borderId="0" xfId="3" applyFill="1" applyBorder="1"/>
    <xf numFmtId="0" fontId="7" fillId="4" borderId="0" xfId="4" applyFont="1" applyFill="1" applyBorder="1" applyAlignment="1">
      <alignment vertical="top"/>
    </xf>
    <xf numFmtId="0" fontId="8" fillId="4" borderId="0" xfId="4" applyFont="1" applyFill="1" applyBorder="1"/>
    <xf numFmtId="0" fontId="4" fillId="4" borderId="0" xfId="3" applyFill="1"/>
    <xf numFmtId="0" fontId="4" fillId="0" borderId="0" xfId="3"/>
    <xf numFmtId="0" fontId="11" fillId="5" borderId="9" xfId="4" applyFont="1" applyFill="1" applyBorder="1"/>
    <xf numFmtId="0" fontId="11" fillId="5" borderId="10" xfId="4" applyFont="1" applyFill="1" applyBorder="1"/>
    <xf numFmtId="0" fontId="11" fillId="5" borderId="11" xfId="4" applyFont="1" applyFill="1" applyBorder="1"/>
    <xf numFmtId="0" fontId="12" fillId="5" borderId="4" xfId="4" applyFont="1" applyFill="1" applyBorder="1"/>
    <xf numFmtId="0" fontId="12" fillId="5" borderId="0" xfId="4" applyFont="1" applyFill="1" applyBorder="1"/>
    <xf numFmtId="0" fontId="8" fillId="5" borderId="0" xfId="4" applyFont="1" applyFill="1" applyBorder="1"/>
    <xf numFmtId="0" fontId="11" fillId="5" borderId="0" xfId="4" applyFont="1" applyFill="1" applyBorder="1"/>
    <xf numFmtId="0" fontId="11" fillId="5" borderId="15" xfId="4" applyFont="1" applyFill="1" applyBorder="1"/>
    <xf numFmtId="0" fontId="13" fillId="6" borderId="17" xfId="4" applyFont="1" applyFill="1" applyBorder="1" applyAlignment="1">
      <alignment horizontal="center" vertical="top" wrapText="1"/>
    </xf>
    <xf numFmtId="3" fontId="14" fillId="5" borderId="17" xfId="4" applyNumberFormat="1" applyFont="1" applyFill="1" applyBorder="1" applyAlignment="1">
      <alignment horizontal="right" wrapText="1"/>
    </xf>
    <xf numFmtId="3" fontId="14" fillId="5" borderId="17" xfId="5" applyNumberFormat="1" applyFont="1" applyFill="1" applyBorder="1" applyAlignment="1">
      <alignment horizontal="right" wrapText="1"/>
    </xf>
    <xf numFmtId="3" fontId="14" fillId="5" borderId="17" xfId="5" applyNumberFormat="1" applyFont="1" applyFill="1" applyBorder="1" applyAlignment="1">
      <alignment horizontal="right"/>
    </xf>
    <xf numFmtId="3" fontId="14" fillId="0" borderId="17" xfId="4" applyNumberFormat="1" applyFont="1" applyFill="1" applyBorder="1" applyAlignment="1">
      <alignment horizontal="right" wrapText="1"/>
    </xf>
    <xf numFmtId="9" fontId="14" fillId="5" borderId="17" xfId="4" applyNumberFormat="1" applyFont="1" applyFill="1" applyBorder="1" applyAlignment="1">
      <alignment horizontal="right" wrapText="1"/>
    </xf>
    <xf numFmtId="0" fontId="14" fillId="5" borderId="4" xfId="4" applyFont="1" applyFill="1" applyBorder="1" applyAlignment="1">
      <alignment horizontal="left" wrapText="1"/>
    </xf>
    <xf numFmtId="0" fontId="14" fillId="5" borderId="0" xfId="4" applyFont="1" applyFill="1" applyBorder="1" applyAlignment="1">
      <alignment horizontal="left" wrapText="1"/>
    </xf>
    <xf numFmtId="3" fontId="14" fillId="5" borderId="0" xfId="4" applyNumberFormat="1" applyFont="1" applyFill="1" applyBorder="1" applyAlignment="1">
      <alignment horizontal="right" wrapText="1"/>
    </xf>
    <xf numFmtId="3" fontId="14" fillId="5" borderId="0" xfId="5" applyNumberFormat="1" applyFont="1" applyFill="1" applyBorder="1" applyAlignment="1">
      <alignment horizontal="right" wrapText="1"/>
    </xf>
    <xf numFmtId="3" fontId="14" fillId="5" borderId="0" xfId="5" applyNumberFormat="1" applyFont="1" applyFill="1" applyBorder="1" applyAlignment="1">
      <alignment horizontal="right"/>
    </xf>
    <xf numFmtId="9" fontId="14" fillId="5" borderId="0" xfId="4" applyNumberFormat="1" applyFont="1" applyFill="1" applyBorder="1" applyAlignment="1">
      <alignment horizontal="right" wrapText="1"/>
    </xf>
    <xf numFmtId="0" fontId="16" fillId="5" borderId="4" xfId="4" applyFont="1" applyFill="1" applyBorder="1"/>
    <xf numFmtId="3" fontId="13" fillId="6" borderId="17" xfId="4" applyNumberFormat="1" applyFont="1" applyFill="1" applyBorder="1" applyAlignment="1">
      <alignment horizontal="center" wrapText="1"/>
    </xf>
    <xf numFmtId="0" fontId="17" fillId="5" borderId="21" xfId="4" applyFont="1" applyFill="1" applyBorder="1"/>
    <xf numFmtId="0" fontId="17" fillId="5" borderId="0" xfId="4" applyFont="1" applyFill="1" applyBorder="1"/>
    <xf numFmtId="0" fontId="18" fillId="5" borderId="0" xfId="4" applyFont="1" applyFill="1" applyBorder="1"/>
    <xf numFmtId="0" fontId="14" fillId="5" borderId="22" xfId="3" applyFont="1" applyFill="1" applyBorder="1" applyAlignment="1">
      <alignment horizontal="center" vertical="center" wrapText="1"/>
    </xf>
    <xf numFmtId="0" fontId="19" fillId="5" borderId="4" xfId="3" applyFont="1" applyFill="1" applyBorder="1" applyAlignment="1">
      <alignment horizontal="center" vertical="center" wrapText="1"/>
    </xf>
    <xf numFmtId="0" fontId="19" fillId="5" borderId="0" xfId="3" applyFont="1" applyFill="1" applyBorder="1" applyAlignment="1">
      <alignment horizontal="left" vertical="center" wrapText="1"/>
    </xf>
    <xf numFmtId="0" fontId="19" fillId="5" borderId="0" xfId="3" applyFont="1" applyFill="1" applyBorder="1" applyAlignment="1">
      <alignment horizontal="center" vertical="center" wrapText="1"/>
    </xf>
    <xf numFmtId="0" fontId="19" fillId="5" borderId="0" xfId="3" applyFont="1" applyFill="1" applyBorder="1" applyAlignment="1">
      <alignment horizontal="right" vertical="center" wrapText="1"/>
    </xf>
    <xf numFmtId="0" fontId="21" fillId="4" borderId="0" xfId="3" applyFont="1" applyFill="1"/>
    <xf numFmtId="0" fontId="21" fillId="4" borderId="0" xfId="3" applyFont="1" applyFill="1" applyBorder="1"/>
    <xf numFmtId="3" fontId="11" fillId="5" borderId="0" xfId="4" applyNumberFormat="1" applyFont="1" applyFill="1" applyBorder="1"/>
    <xf numFmtId="0" fontId="23" fillId="5" borderId="0" xfId="4" applyFont="1" applyFill="1" applyBorder="1"/>
    <xf numFmtId="0" fontId="24" fillId="4" borderId="4" xfId="4" applyFont="1" applyFill="1" applyBorder="1" applyAlignment="1">
      <alignment wrapText="1"/>
    </xf>
    <xf numFmtId="0" fontId="4" fillId="5" borderId="0" xfId="3" applyFill="1" applyBorder="1"/>
    <xf numFmtId="0" fontId="20" fillId="5" borderId="0" xfId="0" applyFont="1" applyFill="1" applyBorder="1" applyAlignment="1">
      <alignment horizontal="left" vertical="center" wrapText="1"/>
    </xf>
    <xf numFmtId="0" fontId="20" fillId="5" borderId="0" xfId="0" applyFont="1" applyFill="1" applyBorder="1" applyAlignment="1">
      <alignment vertical="center" wrapText="1"/>
    </xf>
    <xf numFmtId="3" fontId="20" fillId="5" borderId="0" xfId="0" applyNumberFormat="1" applyFont="1" applyFill="1" applyBorder="1" applyAlignment="1">
      <alignment horizontal="center" vertical="center" wrapText="1"/>
    </xf>
    <xf numFmtId="0" fontId="20" fillId="5" borderId="0" xfId="0" applyFont="1" applyFill="1" applyBorder="1" applyAlignment="1">
      <alignment horizontal="center" vertical="center" wrapText="1"/>
    </xf>
    <xf numFmtId="3" fontId="4" fillId="4" borderId="0" xfId="3" applyNumberFormat="1" applyFill="1" applyBorder="1"/>
    <xf numFmtId="0" fontId="14" fillId="4" borderId="12" xfId="5" applyFont="1" applyFill="1" applyBorder="1" applyAlignment="1"/>
    <xf numFmtId="0" fontId="14" fillId="4" borderId="13" xfId="5" applyFont="1" applyFill="1" applyBorder="1" applyAlignment="1">
      <alignment wrapText="1"/>
    </xf>
    <xf numFmtId="3" fontId="14" fillId="4" borderId="13" xfId="5" applyNumberFormat="1" applyFont="1" applyFill="1" applyBorder="1" applyAlignment="1">
      <alignment horizontal="center"/>
    </xf>
    <xf numFmtId="0" fontId="15" fillId="4" borderId="13" xfId="5" applyFont="1" applyFill="1" applyBorder="1"/>
    <xf numFmtId="0" fontId="15" fillId="4" borderId="14" xfId="5" applyFont="1" applyFill="1" applyBorder="1"/>
    <xf numFmtId="0" fontId="19" fillId="5" borderId="24" xfId="3" applyFont="1" applyFill="1" applyBorder="1" applyAlignment="1">
      <alignment horizontal="center" vertical="center" wrapText="1"/>
    </xf>
    <xf numFmtId="0" fontId="19" fillId="5" borderId="25" xfId="3" applyFont="1" applyFill="1" applyBorder="1" applyAlignment="1">
      <alignment horizontal="left" vertical="center" wrapText="1"/>
    </xf>
    <xf numFmtId="0" fontId="19" fillId="5" borderId="25" xfId="3" applyFont="1" applyFill="1" applyBorder="1" applyAlignment="1">
      <alignment horizontal="center" vertical="center" wrapText="1"/>
    </xf>
    <xf numFmtId="0" fontId="19" fillId="5" borderId="25" xfId="3" applyFont="1" applyFill="1" applyBorder="1" applyAlignment="1">
      <alignment horizontal="right" vertical="center" wrapText="1"/>
    </xf>
    <xf numFmtId="0" fontId="11" fillId="5" borderId="25" xfId="4" applyFont="1" applyFill="1" applyBorder="1"/>
    <xf numFmtId="0" fontId="11" fillId="5" borderId="26" xfId="4" applyFont="1" applyFill="1" applyBorder="1"/>
    <xf numFmtId="0" fontId="8" fillId="5" borderId="4" xfId="4" applyFont="1" applyFill="1" applyBorder="1"/>
    <xf numFmtId="0" fontId="6" fillId="5" borderId="0" xfId="4" applyFill="1" applyBorder="1"/>
    <xf numFmtId="0" fontId="8" fillId="5" borderId="15" xfId="4" applyFont="1" applyFill="1" applyBorder="1"/>
    <xf numFmtId="0" fontId="12" fillId="4" borderId="4" xfId="4" applyFont="1" applyFill="1" applyBorder="1"/>
    <xf numFmtId="0" fontId="12" fillId="4" borderId="0" xfId="4" applyFont="1" applyFill="1" applyBorder="1"/>
    <xf numFmtId="0" fontId="8" fillId="4" borderId="15" xfId="4" applyFont="1" applyFill="1" applyBorder="1"/>
    <xf numFmtId="0" fontId="13" fillId="6" borderId="23" xfId="4" applyFont="1" applyFill="1" applyBorder="1" applyAlignment="1">
      <alignment horizontal="center"/>
    </xf>
    <xf numFmtId="0" fontId="8" fillId="4" borderId="0" xfId="4" applyNumberFormat="1" applyFont="1" applyFill="1" applyBorder="1"/>
    <xf numFmtId="0" fontId="8" fillId="4" borderId="15" xfId="4" applyNumberFormat="1" applyFont="1" applyFill="1" applyBorder="1"/>
    <xf numFmtId="0" fontId="4" fillId="4" borderId="0" xfId="3" applyFont="1" applyFill="1"/>
    <xf numFmtId="0" fontId="25" fillId="4" borderId="0" xfId="4" applyFont="1" applyFill="1" applyBorder="1"/>
    <xf numFmtId="0" fontId="4" fillId="4" borderId="0" xfId="3" applyFont="1" applyFill="1" applyBorder="1"/>
    <xf numFmtId="0" fontId="4" fillId="0" borderId="0" xfId="3" applyFont="1"/>
    <xf numFmtId="3" fontId="13" fillId="6" borderId="23" xfId="4" applyNumberFormat="1" applyFont="1" applyFill="1" applyBorder="1" applyAlignment="1">
      <alignment horizontal="right"/>
    </xf>
    <xf numFmtId="0" fontId="12" fillId="4" borderId="0" xfId="4" applyFont="1" applyFill="1" applyBorder="1" applyAlignment="1">
      <alignment wrapText="1"/>
    </xf>
    <xf numFmtId="3" fontId="12" fillId="4" borderId="0" xfId="4" applyNumberFormat="1" applyFont="1" applyFill="1" applyBorder="1" applyAlignment="1">
      <alignment horizontal="center"/>
    </xf>
    <xf numFmtId="0" fontId="12" fillId="4" borderId="4" xfId="5" applyFont="1" applyFill="1" applyBorder="1"/>
    <xf numFmtId="0" fontId="12" fillId="4" borderId="0" xfId="5" applyFont="1" applyFill="1" applyBorder="1"/>
    <xf numFmtId="0" fontId="8" fillId="4" borderId="0" xfId="5" applyFont="1" applyFill="1" applyBorder="1"/>
    <xf numFmtId="0" fontId="8" fillId="4" borderId="15" xfId="5" applyFont="1" applyFill="1" applyBorder="1"/>
    <xf numFmtId="0" fontId="13" fillId="6" borderId="23" xfId="5" applyFont="1" applyFill="1" applyBorder="1" applyAlignment="1">
      <alignment horizontal="center"/>
    </xf>
    <xf numFmtId="9" fontId="14" fillId="4" borderId="23" xfId="5" applyNumberFormat="1" applyFont="1" applyFill="1" applyBorder="1" applyAlignment="1">
      <alignment horizontal="right"/>
    </xf>
    <xf numFmtId="3" fontId="14" fillId="4" borderId="23" xfId="5" applyNumberFormat="1" applyFont="1" applyFill="1" applyBorder="1" applyAlignment="1">
      <alignment horizontal="right"/>
    </xf>
    <xf numFmtId="3" fontId="14" fillId="4" borderId="23" xfId="7" applyNumberFormat="1" applyFont="1" applyFill="1" applyBorder="1" applyAlignment="1">
      <alignment horizontal="right"/>
    </xf>
    <xf numFmtId="3" fontId="14" fillId="0" borderId="23" xfId="7" applyNumberFormat="1" applyFont="1" applyFill="1" applyBorder="1" applyAlignment="1">
      <alignment horizontal="right"/>
    </xf>
    <xf numFmtId="9" fontId="14" fillId="4" borderId="23" xfId="7" applyNumberFormat="1" applyFont="1" applyFill="1" applyBorder="1" applyAlignment="1">
      <alignment horizontal="right"/>
    </xf>
    <xf numFmtId="3" fontId="13" fillId="6" borderId="23" xfId="7" applyNumberFormat="1" applyFont="1" applyFill="1" applyBorder="1" applyAlignment="1">
      <alignment horizontal="right"/>
    </xf>
    <xf numFmtId="0" fontId="15" fillId="4" borderId="4" xfId="5" applyFill="1" applyBorder="1"/>
    <xf numFmtId="0" fontId="15" fillId="4" borderId="0" xfId="5" applyFill="1" applyBorder="1"/>
    <xf numFmtId="0" fontId="15" fillId="4" borderId="15" xfId="5" applyFill="1" applyBorder="1"/>
    <xf numFmtId="0" fontId="26" fillId="4" borderId="27" xfId="5" applyFont="1" applyFill="1" applyBorder="1"/>
    <xf numFmtId="0" fontId="15" fillId="4" borderId="28" xfId="5" applyFill="1" applyBorder="1"/>
    <xf numFmtId="0" fontId="15" fillId="4" borderId="29" xfId="5" applyFill="1" applyBorder="1"/>
    <xf numFmtId="0" fontId="12" fillId="4" borderId="30" xfId="5" applyFont="1" applyFill="1" applyBorder="1"/>
    <xf numFmtId="0" fontId="14" fillId="6" borderId="23" xfId="5" applyFont="1" applyFill="1" applyBorder="1" applyAlignment="1">
      <alignment horizontal="center" vertical="center"/>
    </xf>
    <xf numFmtId="0" fontId="14" fillId="5" borderId="0" xfId="5" applyFont="1" applyFill="1" applyBorder="1" applyAlignment="1">
      <alignment horizontal="center" vertical="center"/>
    </xf>
    <xf numFmtId="0" fontId="8" fillId="4" borderId="0" xfId="5" applyFont="1" applyFill="1" applyBorder="1" applyAlignment="1">
      <alignment horizontal="center" vertical="center"/>
    </xf>
    <xf numFmtId="0" fontId="15" fillId="4" borderId="0" xfId="5" applyFill="1" applyBorder="1" applyAlignment="1">
      <alignment horizontal="center" vertical="center"/>
    </xf>
    <xf numFmtId="0" fontId="15" fillId="4" borderId="15" xfId="5" applyFill="1" applyBorder="1" applyAlignment="1">
      <alignment horizontal="center" vertical="center"/>
    </xf>
    <xf numFmtId="0" fontId="14" fillId="4" borderId="31" xfId="5" applyFont="1" applyFill="1" applyBorder="1" applyAlignment="1">
      <alignment horizontal="center"/>
    </xf>
    <xf numFmtId="3" fontId="14" fillId="4" borderId="0" xfId="5" applyNumberFormat="1" applyFont="1" applyFill="1" applyBorder="1" applyAlignment="1">
      <alignment horizontal="right" vertical="center"/>
    </xf>
    <xf numFmtId="0" fontId="14" fillId="4" borderId="16" xfId="5" applyFont="1" applyFill="1" applyBorder="1" applyAlignment="1">
      <alignment horizontal="center"/>
    </xf>
    <xf numFmtId="0" fontId="14" fillId="4" borderId="0" xfId="5" applyFont="1" applyFill="1" applyBorder="1"/>
    <xf numFmtId="3" fontId="26" fillId="4" borderId="0" xfId="5" applyNumberFormat="1" applyFont="1" applyFill="1" applyBorder="1" applyAlignment="1">
      <alignment horizontal="right" vertical="center"/>
    </xf>
    <xf numFmtId="0" fontId="4" fillId="4" borderId="15" xfId="3" applyFill="1" applyBorder="1"/>
    <xf numFmtId="0" fontId="14" fillId="6" borderId="17" xfId="4" applyFont="1" applyFill="1" applyBorder="1" applyAlignment="1">
      <alignment horizontal="center" vertical="center"/>
    </xf>
    <xf numFmtId="3" fontId="13" fillId="7" borderId="17" xfId="8" applyNumberFormat="1" applyFont="1" applyFill="1" applyBorder="1" applyAlignment="1">
      <alignment horizontal="right"/>
    </xf>
    <xf numFmtId="0" fontId="8" fillId="4" borderId="4" xfId="4" applyFont="1" applyFill="1" applyBorder="1"/>
    <xf numFmtId="0" fontId="14" fillId="4" borderId="4" xfId="9" applyFont="1" applyFill="1" applyBorder="1" applyAlignment="1">
      <alignment vertical="top"/>
    </xf>
    <xf numFmtId="0" fontId="14" fillId="4" borderId="0" xfId="9" applyFont="1" applyFill="1" applyBorder="1" applyAlignment="1">
      <alignment vertical="top"/>
    </xf>
    <xf numFmtId="3" fontId="13" fillId="5" borderId="0" xfId="5" applyNumberFormat="1" applyFont="1" applyFill="1" applyBorder="1" applyAlignment="1">
      <alignment horizontal="right"/>
    </xf>
    <xf numFmtId="0" fontId="8" fillId="4" borderId="12" xfId="4" applyFont="1" applyFill="1" applyBorder="1"/>
    <xf numFmtId="0" fontId="8" fillId="4" borderId="13" xfId="4" applyFont="1" applyFill="1" applyBorder="1"/>
    <xf numFmtId="0" fontId="8" fillId="5" borderId="13" xfId="4" applyFont="1" applyFill="1" applyBorder="1"/>
    <xf numFmtId="0" fontId="4" fillId="4" borderId="13" xfId="3" applyFill="1" applyBorder="1"/>
    <xf numFmtId="0" fontId="4" fillId="4" borderId="14" xfId="3" applyFill="1" applyBorder="1"/>
    <xf numFmtId="0" fontId="8" fillId="4" borderId="9" xfId="4" applyFont="1" applyFill="1" applyBorder="1"/>
    <xf numFmtId="0" fontId="8" fillId="4" borderId="10" xfId="4" applyFont="1" applyFill="1" applyBorder="1"/>
    <xf numFmtId="0" fontId="4" fillId="4" borderId="10" xfId="3" applyFill="1" applyBorder="1"/>
    <xf numFmtId="0" fontId="4" fillId="4" borderId="11" xfId="3" applyFill="1" applyBorder="1"/>
    <xf numFmtId="0" fontId="27" fillId="4" borderId="4" xfId="4" applyFont="1" applyFill="1" applyBorder="1" applyAlignment="1">
      <alignment horizontal="left" indent="1"/>
    </xf>
    <xf numFmtId="0" fontId="6" fillId="4" borderId="4" xfId="4" applyFill="1" applyBorder="1"/>
    <xf numFmtId="0" fontId="6" fillId="4" borderId="0" xfId="4" applyFill="1" applyBorder="1"/>
    <xf numFmtId="0" fontId="13" fillId="6" borderId="17" xfId="4" applyFont="1" applyFill="1" applyBorder="1" applyAlignment="1">
      <alignment horizontal="center"/>
    </xf>
    <xf numFmtId="0" fontId="14" fillId="4" borderId="16" xfId="4" applyFont="1" applyFill="1" applyBorder="1"/>
    <xf numFmtId="0" fontId="28" fillId="5" borderId="0" xfId="4" applyFont="1" applyFill="1" applyBorder="1"/>
    <xf numFmtId="0" fontId="29" fillId="5" borderId="0" xfId="4" applyFont="1" applyFill="1" applyBorder="1"/>
    <xf numFmtId="0" fontId="14" fillId="0" borderId="16" xfId="4" applyFont="1" applyFill="1" applyBorder="1"/>
    <xf numFmtId="0" fontId="30" fillId="5" borderId="0" xfId="4" applyFont="1" applyFill="1" applyBorder="1" applyAlignment="1">
      <alignment horizontal="center"/>
    </xf>
    <xf numFmtId="0" fontId="14" fillId="4" borderId="16" xfId="5" applyFont="1" applyFill="1" applyBorder="1"/>
    <xf numFmtId="0" fontId="31" fillId="5" borderId="0" xfId="0" applyFont="1" applyFill="1" applyBorder="1"/>
    <xf numFmtId="0" fontId="32" fillId="5" borderId="0" xfId="4" applyFont="1" applyFill="1" applyBorder="1"/>
    <xf numFmtId="3" fontId="32" fillId="5" borderId="0" xfId="4" applyNumberFormat="1" applyFont="1" applyFill="1" applyBorder="1" applyAlignment="1">
      <alignment horizontal="right"/>
    </xf>
    <xf numFmtId="0" fontId="13" fillId="7" borderId="16" xfId="4" applyFont="1" applyFill="1" applyBorder="1"/>
    <xf numFmtId="3" fontId="13" fillId="7" borderId="17" xfId="4" applyNumberFormat="1" applyFont="1" applyFill="1" applyBorder="1" applyAlignment="1">
      <alignment horizontal="right"/>
    </xf>
    <xf numFmtId="9" fontId="13" fillId="7" borderId="17" xfId="4" applyNumberFormat="1" applyFont="1" applyFill="1" applyBorder="1" applyAlignment="1">
      <alignment horizontal="right"/>
    </xf>
    <xf numFmtId="0" fontId="30" fillId="5" borderId="0" xfId="4" applyFont="1" applyFill="1" applyBorder="1"/>
    <xf numFmtId="3" fontId="30" fillId="5" borderId="0" xfId="4" applyNumberFormat="1" applyFont="1" applyFill="1" applyBorder="1" applyAlignment="1">
      <alignment horizontal="right"/>
    </xf>
    <xf numFmtId="0" fontId="6" fillId="4" borderId="12" xfId="4" applyFill="1" applyBorder="1"/>
    <xf numFmtId="0" fontId="6" fillId="4" borderId="13" xfId="4" applyFill="1" applyBorder="1"/>
    <xf numFmtId="0" fontId="6" fillId="5" borderId="4" xfId="4" applyFill="1" applyBorder="1"/>
    <xf numFmtId="0" fontId="4" fillId="5" borderId="0" xfId="3" applyFont="1" applyFill="1" applyAlignment="1">
      <alignment horizontal="left"/>
    </xf>
    <xf numFmtId="0" fontId="4" fillId="5" borderId="0" xfId="3" applyFill="1" applyAlignment="1">
      <alignment horizontal="left"/>
    </xf>
    <xf numFmtId="0" fontId="4" fillId="5" borderId="0" xfId="3" applyFill="1"/>
    <xf numFmtId="0" fontId="4" fillId="5" borderId="4" xfId="3" applyFill="1" applyBorder="1"/>
    <xf numFmtId="0" fontId="4" fillId="0" borderId="0" xfId="3" applyBorder="1"/>
    <xf numFmtId="9" fontId="14" fillId="5" borderId="0" xfId="1" applyFont="1" applyFill="1" applyBorder="1" applyAlignment="1">
      <alignment horizontal="center"/>
    </xf>
    <xf numFmtId="0" fontId="13" fillId="6" borderId="22" xfId="4" applyFont="1" applyFill="1" applyBorder="1" applyAlignment="1">
      <alignment horizontal="center" vertical="center" wrapText="1"/>
    </xf>
    <xf numFmtId="0" fontId="13" fillId="6" borderId="23" xfId="4" applyFont="1" applyFill="1" applyBorder="1" applyAlignment="1">
      <alignment horizontal="center" vertical="center" wrapText="1"/>
    </xf>
    <xf numFmtId="0" fontId="33" fillId="5" borderId="0" xfId="4" applyFont="1" applyFill="1" applyBorder="1" applyAlignment="1">
      <alignment horizontal="left" indent="1"/>
    </xf>
    <xf numFmtId="0" fontId="34" fillId="5" borderId="0" xfId="4" applyFont="1" applyFill="1" applyBorder="1"/>
    <xf numFmtId="0" fontId="35" fillId="5" borderId="0" xfId="4" applyFont="1" applyFill="1" applyBorder="1"/>
    <xf numFmtId="0" fontId="36" fillId="0" borderId="0" xfId="3" applyFont="1" applyFill="1" applyBorder="1"/>
    <xf numFmtId="0" fontId="14" fillId="5" borderId="22" xfId="4" applyFont="1" applyFill="1" applyBorder="1" applyAlignment="1">
      <alignment horizontal="center"/>
    </xf>
    <xf numFmtId="0" fontId="37" fillId="5" borderId="0" xfId="4" applyFont="1" applyFill="1" applyBorder="1"/>
    <xf numFmtId="0" fontId="14" fillId="4" borderId="0" xfId="3" applyFont="1" applyFill="1" applyBorder="1" applyAlignment="1">
      <alignment horizontal="left"/>
    </xf>
    <xf numFmtId="0" fontId="38" fillId="5" borderId="0" xfId="4" applyFont="1" applyFill="1" applyBorder="1" applyAlignment="1">
      <alignment horizontal="center" vertical="center" wrapText="1"/>
    </xf>
    <xf numFmtId="0" fontId="38" fillId="5" borderId="0" xfId="4" applyFont="1" applyFill="1" applyBorder="1" applyAlignment="1">
      <alignment horizontal="center"/>
    </xf>
    <xf numFmtId="0" fontId="13" fillId="8" borderId="17" xfId="3" applyFont="1" applyFill="1" applyBorder="1" applyAlignment="1">
      <alignment horizontal="center"/>
    </xf>
    <xf numFmtId="0" fontId="14" fillId="5" borderId="22" xfId="3" applyFont="1" applyFill="1" applyBorder="1" applyAlignment="1">
      <alignment horizontal="center"/>
    </xf>
    <xf numFmtId="0" fontId="14" fillId="4" borderId="17" xfId="3" applyFont="1" applyFill="1" applyBorder="1" applyAlignment="1">
      <alignment horizontal="center"/>
    </xf>
    <xf numFmtId="0" fontId="39" fillId="5" borderId="0" xfId="4" applyFont="1" applyFill="1" applyBorder="1"/>
    <xf numFmtId="3" fontId="39" fillId="5" borderId="0" xfId="4" applyNumberFormat="1" applyFont="1" applyFill="1" applyBorder="1" applyAlignment="1">
      <alignment horizontal="right"/>
    </xf>
    <xf numFmtId="9" fontId="39" fillId="5" borderId="0" xfId="4" applyNumberFormat="1" applyFont="1" applyFill="1" applyBorder="1" applyAlignment="1">
      <alignment horizontal="right"/>
    </xf>
    <xf numFmtId="9" fontId="40" fillId="5" borderId="0" xfId="1" applyFont="1" applyFill="1" applyBorder="1" applyAlignment="1">
      <alignment horizontal="center"/>
    </xf>
    <xf numFmtId="0" fontId="14" fillId="7" borderId="17" xfId="3" applyFont="1" applyFill="1" applyBorder="1" applyAlignment="1">
      <alignment horizontal="center"/>
    </xf>
    <xf numFmtId="9" fontId="14" fillId="7" borderId="17" xfId="1" applyFont="1" applyFill="1" applyBorder="1" applyAlignment="1">
      <alignment horizontal="center"/>
    </xf>
    <xf numFmtId="1" fontId="14" fillId="7" borderId="17" xfId="3" applyNumberFormat="1" applyFont="1" applyFill="1" applyBorder="1" applyAlignment="1">
      <alignment horizontal="center"/>
    </xf>
    <xf numFmtId="3" fontId="39" fillId="5" borderId="0" xfId="5" applyNumberFormat="1" applyFont="1" applyFill="1" applyBorder="1" applyAlignment="1">
      <alignment horizontal="right"/>
    </xf>
    <xf numFmtId="9" fontId="39" fillId="5" borderId="0" xfId="5" applyNumberFormat="1" applyFont="1" applyFill="1" applyBorder="1" applyAlignment="1">
      <alignment horizontal="right"/>
    </xf>
    <xf numFmtId="0" fontId="38" fillId="5" borderId="0" xfId="4" applyFont="1" applyFill="1" applyBorder="1"/>
    <xf numFmtId="3" fontId="38" fillId="5" borderId="0" xfId="4" applyNumberFormat="1" applyFont="1" applyFill="1" applyBorder="1" applyAlignment="1">
      <alignment horizontal="right"/>
    </xf>
    <xf numFmtId="9" fontId="38" fillId="5" borderId="0" xfId="4" applyNumberFormat="1" applyFont="1" applyFill="1" applyBorder="1" applyAlignment="1">
      <alignment horizontal="right"/>
    </xf>
    <xf numFmtId="0" fontId="41" fillId="4" borderId="4" xfId="4" applyFont="1" applyFill="1" applyBorder="1"/>
    <xf numFmtId="0" fontId="41" fillId="4" borderId="0" xfId="4" applyFont="1" applyFill="1" applyBorder="1"/>
    <xf numFmtId="0" fontId="13" fillId="8" borderId="23" xfId="4" applyFont="1" applyFill="1" applyBorder="1" applyAlignment="1">
      <alignment horizontal="center"/>
    </xf>
    <xf numFmtId="3" fontId="13" fillId="8" borderId="23" xfId="4" applyNumberFormat="1" applyFont="1" applyFill="1" applyBorder="1" applyAlignment="1">
      <alignment horizontal="right"/>
    </xf>
    <xf numFmtId="3" fontId="13" fillId="5" borderId="0" xfId="4" applyNumberFormat="1" applyFont="1" applyFill="1" applyBorder="1" applyAlignment="1">
      <alignment horizontal="right"/>
    </xf>
    <xf numFmtId="1" fontId="13" fillId="5" borderId="0" xfId="4" applyNumberFormat="1" applyFont="1" applyFill="1" applyBorder="1" applyAlignment="1">
      <alignment horizontal="right"/>
    </xf>
    <xf numFmtId="3" fontId="14" fillId="5" borderId="0" xfId="4" applyNumberFormat="1" applyFont="1" applyFill="1" applyBorder="1" applyAlignment="1">
      <alignment horizontal="center"/>
    </xf>
    <xf numFmtId="0" fontId="41" fillId="4" borderId="4" xfId="4" applyFont="1" applyFill="1" applyBorder="1" applyAlignment="1"/>
    <xf numFmtId="0" fontId="8" fillId="4" borderId="0" xfId="4" applyFont="1" applyFill="1" applyBorder="1" applyAlignment="1"/>
    <xf numFmtId="0" fontId="6" fillId="4" borderId="0" xfId="4" applyFill="1" applyBorder="1" applyAlignment="1"/>
    <xf numFmtId="3" fontId="8" fillId="4" borderId="0" xfId="4" applyNumberFormat="1" applyFont="1" applyFill="1" applyBorder="1" applyAlignment="1">
      <alignment horizontal="center"/>
    </xf>
    <xf numFmtId="0" fontId="12" fillId="4" borderId="4" xfId="4" applyFont="1" applyFill="1" applyBorder="1" applyAlignment="1"/>
    <xf numFmtId="0" fontId="12" fillId="4" borderId="0" xfId="4" applyFont="1" applyFill="1" applyBorder="1" applyAlignment="1"/>
    <xf numFmtId="0" fontId="14" fillId="8" borderId="23" xfId="4" applyFont="1" applyFill="1" applyBorder="1" applyAlignment="1">
      <alignment horizontal="center" vertical="top"/>
    </xf>
    <xf numFmtId="0" fontId="14" fillId="8" borderId="23" xfId="4" applyFont="1" applyFill="1" applyBorder="1" applyAlignment="1">
      <alignment horizontal="center" vertical="top" wrapText="1"/>
    </xf>
    <xf numFmtId="1" fontId="13" fillId="8" borderId="23" xfId="4" applyNumberFormat="1" applyFont="1" applyFill="1" applyBorder="1" applyAlignment="1">
      <alignment horizontal="right"/>
    </xf>
    <xf numFmtId="0" fontId="13" fillId="5" borderId="4" xfId="4" applyFont="1" applyFill="1" applyBorder="1" applyAlignment="1">
      <alignment horizontal="left"/>
    </xf>
    <xf numFmtId="0" fontId="13" fillId="5" borderId="0" xfId="4" applyFont="1" applyFill="1" applyBorder="1" applyAlignment="1">
      <alignment horizontal="left"/>
    </xf>
    <xf numFmtId="3" fontId="8" fillId="5" borderId="0" xfId="4" applyNumberFormat="1" applyFont="1" applyFill="1" applyBorder="1" applyAlignment="1">
      <alignment horizontal="center"/>
    </xf>
    <xf numFmtId="0" fontId="4" fillId="5" borderId="15" xfId="3" applyFill="1" applyBorder="1"/>
    <xf numFmtId="0" fontId="13" fillId="5" borderId="12" xfId="4" applyFont="1" applyFill="1" applyBorder="1" applyAlignment="1">
      <alignment horizontal="left"/>
    </xf>
    <xf numFmtId="0" fontId="13" fillId="5" borderId="13" xfId="4" applyFont="1" applyFill="1" applyBorder="1" applyAlignment="1">
      <alignment horizontal="left"/>
    </xf>
    <xf numFmtId="3" fontId="13" fillId="5" borderId="13" xfId="4" applyNumberFormat="1" applyFont="1" applyFill="1" applyBorder="1" applyAlignment="1">
      <alignment horizontal="right"/>
    </xf>
    <xf numFmtId="1" fontId="13" fillId="5" borderId="13" xfId="4" applyNumberFormat="1" applyFont="1" applyFill="1" applyBorder="1" applyAlignment="1">
      <alignment horizontal="right"/>
    </xf>
    <xf numFmtId="3" fontId="8" fillId="5" borderId="13" xfId="4" applyNumberFormat="1" applyFont="1" applyFill="1" applyBorder="1" applyAlignment="1">
      <alignment horizontal="center"/>
    </xf>
    <xf numFmtId="0" fontId="4" fillId="5" borderId="14" xfId="3" applyFill="1" applyBorder="1"/>
    <xf numFmtId="0" fontId="13" fillId="4" borderId="0" xfId="4" applyFont="1" applyFill="1" applyBorder="1" applyAlignment="1"/>
    <xf numFmtId="3" fontId="42" fillId="4" borderId="0" xfId="4" applyNumberFormat="1" applyFont="1" applyFill="1" applyBorder="1" applyAlignment="1">
      <alignment horizontal="center"/>
    </xf>
    <xf numFmtId="0" fontId="14" fillId="8" borderId="23" xfId="4" applyFont="1" applyFill="1" applyBorder="1" applyAlignment="1">
      <alignment horizontal="center"/>
    </xf>
    <xf numFmtId="0" fontId="5" fillId="5" borderId="0" xfId="0" applyFont="1" applyFill="1" applyBorder="1" applyAlignment="1">
      <alignment horizontal="left"/>
    </xf>
    <xf numFmtId="3" fontId="8" fillId="4" borderId="13" xfId="4" applyNumberFormat="1" applyFont="1" applyFill="1" applyBorder="1" applyAlignment="1">
      <alignment horizontal="center"/>
    </xf>
    <xf numFmtId="0" fontId="13" fillId="4" borderId="4" xfId="4" applyFont="1" applyFill="1" applyBorder="1" applyAlignment="1"/>
    <xf numFmtId="0" fontId="12" fillId="4" borderId="0" xfId="4" applyFont="1" applyFill="1" applyBorder="1" applyAlignment="1">
      <alignment horizontal="left"/>
    </xf>
    <xf numFmtId="9" fontId="13" fillId="8" borderId="23" xfId="4" applyNumberFormat="1" applyFont="1" applyFill="1" applyBorder="1" applyAlignment="1">
      <alignment horizontal="right"/>
    </xf>
    <xf numFmtId="9" fontId="8" fillId="4" borderId="0" xfId="4" applyNumberFormat="1" applyFont="1" applyFill="1" applyBorder="1" applyAlignment="1">
      <alignment horizontal="center"/>
    </xf>
    <xf numFmtId="0" fontId="8" fillId="4" borderId="4" xfId="4" applyFont="1" applyFill="1" applyBorder="1" applyAlignment="1"/>
    <xf numFmtId="0" fontId="4" fillId="0" borderId="4" xfId="3" applyBorder="1"/>
    <xf numFmtId="0" fontId="8" fillId="4" borderId="12" xfId="4" applyFont="1" applyFill="1" applyBorder="1" applyAlignment="1"/>
    <xf numFmtId="9" fontId="8" fillId="4" borderId="13" xfId="4" applyNumberFormat="1" applyFont="1" applyFill="1" applyBorder="1" applyAlignment="1">
      <alignment horizontal="center"/>
    </xf>
    <xf numFmtId="9" fontId="8" fillId="4" borderId="0" xfId="4" applyNumberFormat="1" applyFont="1" applyFill="1" applyBorder="1" applyAlignment="1">
      <alignment horizontal="left"/>
    </xf>
    <xf numFmtId="0" fontId="22" fillId="8" borderId="1" xfId="0" applyFont="1" applyFill="1" applyBorder="1" applyAlignment="1">
      <alignment horizontal="center" vertical="center" wrapText="1"/>
    </xf>
    <xf numFmtId="0" fontId="43" fillId="8" borderId="1"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8" fillId="5" borderId="4" xfId="4" applyFont="1" applyFill="1" applyBorder="1" applyAlignment="1"/>
    <xf numFmtId="9" fontId="8" fillId="5" borderId="0" xfId="4" applyNumberFormat="1" applyFont="1" applyFill="1" applyBorder="1" applyAlignment="1">
      <alignment horizontal="center"/>
    </xf>
    <xf numFmtId="0" fontId="6" fillId="5" borderId="12" xfId="4" applyFill="1" applyBorder="1"/>
    <xf numFmtId="0" fontId="6" fillId="5" borderId="14" xfId="4" applyFill="1" applyBorder="1"/>
    <xf numFmtId="0" fontId="8" fillId="8" borderId="12" xfId="4" applyFont="1" applyFill="1" applyBorder="1"/>
    <xf numFmtId="0" fontId="8" fillId="8" borderId="13" xfId="4" applyFont="1" applyFill="1" applyBorder="1"/>
    <xf numFmtId="0" fontId="8" fillId="8" borderId="14" xfId="4" applyFont="1" applyFill="1" applyBorder="1"/>
    <xf numFmtId="0" fontId="1" fillId="0" borderId="0" xfId="0" applyFont="1" applyFill="1" applyAlignment="1">
      <alignment horizontal="center"/>
    </xf>
    <xf numFmtId="165" fontId="1" fillId="0" borderId="4" xfId="0" applyNumberFormat="1" applyFont="1" applyFill="1" applyBorder="1" applyAlignment="1">
      <alignment horizontal="center"/>
    </xf>
    <xf numFmtId="165" fontId="1" fillId="0" borderId="0" xfId="0" applyNumberFormat="1" applyFont="1" applyFill="1" applyAlignment="1">
      <alignment horizontal="center"/>
    </xf>
    <xf numFmtId="165" fontId="1" fillId="0" borderId="15" xfId="0" applyNumberFormat="1" applyFont="1" applyFill="1" applyBorder="1" applyAlignment="1">
      <alignment horizontal="center"/>
    </xf>
    <xf numFmtId="165" fontId="1" fillId="0" borderId="0" xfId="0" applyNumberFormat="1" applyFont="1" applyFill="1" applyBorder="1" applyAlignment="1">
      <alignment horizontal="center"/>
    </xf>
    <xf numFmtId="0" fontId="1" fillId="0" borderId="0" xfId="0" applyFont="1" applyFill="1" applyBorder="1" applyAlignment="1">
      <alignment horizontal="center"/>
    </xf>
    <xf numFmtId="0" fontId="1" fillId="0" borderId="38" xfId="0" applyFont="1" applyFill="1" applyBorder="1"/>
    <xf numFmtId="0" fontId="1" fillId="0" borderId="39" xfId="0" applyFont="1" applyFill="1" applyBorder="1"/>
    <xf numFmtId="0" fontId="1" fillId="0" borderId="40" xfId="0" applyFont="1" applyFill="1" applyBorder="1"/>
    <xf numFmtId="1" fontId="1" fillId="0" borderId="41" xfId="0" applyNumberFormat="1" applyFont="1" applyFill="1" applyBorder="1"/>
    <xf numFmtId="1" fontId="1" fillId="0" borderId="42" xfId="0" applyNumberFormat="1" applyFont="1" applyFill="1" applyBorder="1"/>
    <xf numFmtId="1" fontId="1" fillId="0" borderId="43" xfId="0" applyNumberFormat="1" applyFont="1" applyFill="1" applyBorder="1"/>
    <xf numFmtId="0" fontId="1" fillId="0" borderId="0" xfId="10" applyFont="1" applyFill="1" applyBorder="1"/>
    <xf numFmtId="0" fontId="13" fillId="6" borderId="23" xfId="5" applyFont="1" applyFill="1" applyBorder="1" applyAlignment="1">
      <alignment horizontal="center"/>
    </xf>
    <xf numFmtId="0" fontId="1" fillId="0" borderId="0" xfId="0" applyFont="1" applyFill="1" applyBorder="1" applyAlignment="1">
      <alignment horizontal="left" vertical="top"/>
    </xf>
    <xf numFmtId="0" fontId="1" fillId="0" borderId="3" xfId="0" applyFont="1" applyFill="1" applyBorder="1" applyAlignment="1">
      <alignment horizontal="center"/>
    </xf>
    <xf numFmtId="0" fontId="14" fillId="6" borderId="31" xfId="5" applyFont="1" applyFill="1" applyBorder="1" applyAlignment="1">
      <alignment horizontal="center" vertical="center"/>
    </xf>
    <xf numFmtId="0" fontId="1" fillId="0" borderId="0" xfId="0" applyNumberFormat="1" applyFont="1" applyFill="1" applyBorder="1"/>
    <xf numFmtId="0" fontId="12" fillId="5" borderId="0" xfId="5" applyFont="1" applyFill="1" applyBorder="1"/>
    <xf numFmtId="0" fontId="15" fillId="5" borderId="0" xfId="5" applyFill="1" applyBorder="1"/>
    <xf numFmtId="0" fontId="13" fillId="5" borderId="0" xfId="5" applyFont="1" applyFill="1" applyBorder="1" applyAlignment="1"/>
    <xf numFmtId="0" fontId="14" fillId="5" borderId="0" xfId="4" applyFont="1" applyFill="1" applyBorder="1" applyAlignment="1">
      <alignment horizontal="center" vertical="center"/>
    </xf>
    <xf numFmtId="0" fontId="13" fillId="5" borderId="0" xfId="4" applyFont="1" applyFill="1" applyBorder="1" applyAlignment="1"/>
    <xf numFmtId="0" fontId="14" fillId="5" borderId="0" xfId="5" applyFont="1" applyFill="1" applyBorder="1" applyAlignment="1"/>
    <xf numFmtId="0" fontId="12" fillId="5" borderId="4" xfId="5" applyFont="1" applyFill="1" applyBorder="1"/>
    <xf numFmtId="0" fontId="13" fillId="5" borderId="4" xfId="5" applyFont="1" applyFill="1" applyBorder="1" applyAlignment="1"/>
    <xf numFmtId="0" fontId="14" fillId="5" borderId="4" xfId="5" applyFont="1" applyFill="1" applyBorder="1" applyAlignment="1"/>
    <xf numFmtId="0" fontId="13" fillId="5" borderId="4" xfId="4" applyFont="1" applyFill="1" applyBorder="1" applyAlignment="1"/>
    <xf numFmtId="0" fontId="1" fillId="0" borderId="45" xfId="0" applyFont="1" applyFill="1" applyBorder="1" applyAlignment="1">
      <alignment horizontal="left"/>
    </xf>
    <xf numFmtId="0" fontId="1" fillId="0" borderId="46" xfId="0" applyNumberFormat="1" applyFont="1" applyFill="1" applyBorder="1"/>
    <xf numFmtId="0" fontId="1" fillId="0" borderId="41" xfId="0" applyFont="1" applyFill="1" applyBorder="1" applyAlignment="1">
      <alignment horizontal="left"/>
    </xf>
    <xf numFmtId="0" fontId="1" fillId="0" borderId="42" xfId="0" applyNumberFormat="1" applyFont="1" applyFill="1" applyBorder="1"/>
    <xf numFmtId="0" fontId="1" fillId="0" borderId="43" xfId="0" applyNumberFormat="1" applyFont="1" applyFill="1" applyBorder="1"/>
    <xf numFmtId="0" fontId="14" fillId="0" borderId="17" xfId="3" applyFont="1" applyFill="1" applyBorder="1" applyAlignment="1">
      <alignment horizontal="center"/>
    </xf>
    <xf numFmtId="0" fontId="13" fillId="0" borderId="17" xfId="3" applyFont="1" applyFill="1" applyBorder="1" applyAlignment="1">
      <alignment horizontal="center"/>
    </xf>
    <xf numFmtId="0" fontId="1" fillId="0" borderId="38" xfId="0" applyFont="1" applyFill="1" applyBorder="1" applyAlignment="1">
      <alignment horizontal="left" vertical="top" wrapText="1"/>
    </xf>
    <xf numFmtId="0" fontId="1" fillId="0" borderId="39" xfId="0" applyFont="1" applyFill="1" applyBorder="1" applyAlignment="1">
      <alignment horizontal="left" vertical="top" wrapText="1"/>
    </xf>
    <xf numFmtId="0" fontId="1" fillId="0" borderId="40" xfId="0" applyFont="1" applyFill="1" applyBorder="1" applyAlignment="1">
      <alignment horizontal="left" vertical="top" wrapText="1"/>
    </xf>
    <xf numFmtId="165" fontId="1" fillId="0" borderId="41" xfId="0" applyNumberFormat="1" applyFont="1" applyFill="1" applyBorder="1"/>
    <xf numFmtId="165" fontId="1" fillId="0" borderId="42" xfId="0" applyNumberFormat="1" applyFont="1" applyFill="1" applyBorder="1"/>
    <xf numFmtId="165" fontId="1" fillId="0" borderId="43" xfId="0" applyNumberFormat="1" applyFont="1" applyFill="1" applyBorder="1"/>
    <xf numFmtId="0" fontId="8" fillId="5" borderId="0" xfId="12" applyFont="1" applyFill="1" applyBorder="1" applyAlignment="1">
      <alignment horizontal="right"/>
    </xf>
    <xf numFmtId="0" fontId="13" fillId="3" borderId="51" xfId="11" applyFont="1" applyFill="1" applyBorder="1" applyAlignment="1">
      <alignment horizontal="right" vertical="center"/>
    </xf>
    <xf numFmtId="0" fontId="13" fillId="3" borderId="0" xfId="11" applyFont="1" applyFill="1" applyBorder="1" applyAlignment="1">
      <alignment horizontal="right" vertical="center"/>
    </xf>
    <xf numFmtId="0" fontId="13" fillId="3" borderId="50" xfId="11" applyFont="1" applyFill="1" applyBorder="1" applyAlignment="1">
      <alignment horizontal="right" vertical="center"/>
    </xf>
    <xf numFmtId="0" fontId="13" fillId="3" borderId="15" xfId="11" applyFont="1" applyFill="1" applyBorder="1" applyAlignment="1">
      <alignment horizontal="right" vertical="center"/>
    </xf>
    <xf numFmtId="3" fontId="45" fillId="3" borderId="53" xfId="13" applyNumberFormat="1" applyFont="1" applyFill="1" applyBorder="1" applyAlignment="1">
      <alignment horizontal="center" vertical="center"/>
    </xf>
    <xf numFmtId="3" fontId="45" fillId="3" borderId="10" xfId="13" applyNumberFormat="1" applyFont="1" applyFill="1" applyBorder="1" applyAlignment="1">
      <alignment horizontal="center" vertical="center"/>
    </xf>
    <xf numFmtId="3" fontId="45" fillId="3" borderId="52" xfId="13" applyNumberFormat="1" applyFont="1" applyFill="1" applyBorder="1" applyAlignment="1">
      <alignment horizontal="center" vertical="center"/>
    </xf>
    <xf numFmtId="3" fontId="46" fillId="3" borderId="10" xfId="13" applyNumberFormat="1" applyFont="1" applyFill="1" applyBorder="1" applyAlignment="1">
      <alignment horizontal="center" vertical="center"/>
    </xf>
    <xf numFmtId="3" fontId="13" fillId="3" borderId="10" xfId="11" applyNumberFormat="1" applyFont="1" applyFill="1" applyBorder="1" applyAlignment="1">
      <alignment horizontal="right" vertical="center"/>
    </xf>
    <xf numFmtId="3" fontId="13" fillId="3" borderId="11" xfId="11" applyNumberFormat="1" applyFont="1" applyFill="1" applyBorder="1" applyAlignment="1">
      <alignment horizontal="right" vertical="center"/>
    </xf>
    <xf numFmtId="0" fontId="14" fillId="3" borderId="1" xfId="11" applyFont="1" applyFill="1" applyBorder="1" applyAlignment="1">
      <alignment vertical="center" wrapText="1"/>
    </xf>
    <xf numFmtId="0" fontId="14" fillId="0" borderId="1" xfId="14" applyFont="1" applyFill="1" applyBorder="1" applyAlignment="1">
      <alignment horizontal="center" vertical="center"/>
    </xf>
    <xf numFmtId="0" fontId="13" fillId="0" borderId="1" xfId="14" applyFont="1" applyFill="1" applyBorder="1" applyAlignment="1">
      <alignment horizontal="center" vertical="center"/>
    </xf>
    <xf numFmtId="3" fontId="14" fillId="0" borderId="1" xfId="11" applyNumberFormat="1" applyFont="1" applyFill="1" applyBorder="1" applyAlignment="1">
      <alignment horizontal="center" vertical="center"/>
    </xf>
    <xf numFmtId="3" fontId="14" fillId="5" borderId="1" xfId="11" applyNumberFormat="1" applyFont="1" applyFill="1" applyBorder="1" applyAlignment="1">
      <alignment horizontal="center" vertical="center"/>
    </xf>
    <xf numFmtId="3" fontId="14" fillId="0" borderId="1" xfId="13" applyNumberFormat="1" applyFont="1" applyFill="1" applyBorder="1" applyAlignment="1">
      <alignment horizontal="center" vertical="center"/>
    </xf>
    <xf numFmtId="3" fontId="14" fillId="0" borderId="1" xfId="12" applyNumberFormat="1" applyFont="1" applyFill="1" applyBorder="1" applyAlignment="1">
      <alignment horizontal="center" vertical="center"/>
    </xf>
    <xf numFmtId="1" fontId="14" fillId="0" borderId="1" xfId="14" applyNumberFormat="1" applyFont="1" applyFill="1" applyBorder="1" applyAlignment="1">
      <alignment horizontal="center" vertical="center"/>
    </xf>
    <xf numFmtId="3" fontId="14" fillId="5" borderId="1" xfId="13" applyNumberFormat="1" applyFont="1" applyFill="1" applyBorder="1" applyAlignment="1">
      <alignment horizontal="center" vertical="center"/>
    </xf>
    <xf numFmtId="0" fontId="14" fillId="3" borderId="1" xfId="11" applyFont="1" applyFill="1" applyBorder="1" applyAlignment="1">
      <alignment horizontal="left" vertical="center" wrapText="1"/>
    </xf>
    <xf numFmtId="3" fontId="14" fillId="5" borderId="1" xfId="12" applyNumberFormat="1" applyFont="1" applyFill="1" applyBorder="1" applyAlignment="1">
      <alignment horizontal="center" vertical="center"/>
    </xf>
    <xf numFmtId="0" fontId="8" fillId="5" borderId="0" xfId="12" applyFont="1" applyFill="1" applyBorder="1" applyAlignment="1"/>
    <xf numFmtId="0" fontId="11" fillId="5" borderId="0" xfId="12" applyFont="1" applyFill="1" applyBorder="1" applyAlignment="1">
      <alignment horizontal="right"/>
    </xf>
    <xf numFmtId="3" fontId="23" fillId="5" borderId="0" xfId="12" applyNumberFormat="1" applyFont="1" applyFill="1" applyBorder="1" applyAlignment="1">
      <alignment horizontal="right"/>
    </xf>
    <xf numFmtId="1" fontId="1" fillId="0" borderId="0" xfId="0" applyNumberFormat="1" applyFont="1" applyFill="1" applyBorder="1"/>
    <xf numFmtId="0" fontId="47" fillId="4" borderId="0" xfId="15" applyFill="1" applyAlignment="1">
      <alignment vertical="center" wrapText="1"/>
    </xf>
    <xf numFmtId="0" fontId="49" fillId="4" borderId="0" xfId="15" applyNumberFormat="1" applyFont="1" applyFill="1" applyAlignment="1">
      <alignment vertical="center" wrapText="1"/>
    </xf>
    <xf numFmtId="0" fontId="12" fillId="5" borderId="0" xfId="15" applyFont="1" applyFill="1" applyBorder="1" applyAlignment="1">
      <alignment horizontal="left"/>
    </xf>
    <xf numFmtId="0" fontId="49" fillId="4" borderId="0" xfId="15" applyFont="1" applyFill="1" applyAlignment="1">
      <alignment vertical="center" wrapText="1"/>
    </xf>
    <xf numFmtId="0" fontId="47" fillId="4" borderId="0" xfId="15" applyFill="1" applyAlignment="1">
      <alignment wrapText="1"/>
    </xf>
    <xf numFmtId="0" fontId="8" fillId="4" borderId="0" xfId="15" applyFont="1" applyFill="1" applyBorder="1" applyAlignment="1">
      <alignment horizontal="left" vertical="top" wrapText="1"/>
    </xf>
    <xf numFmtId="0" fontId="49" fillId="4" borderId="0" xfId="15" applyFont="1" applyFill="1" applyAlignment="1">
      <alignment wrapText="1"/>
    </xf>
    <xf numFmtId="0" fontId="12" fillId="2" borderId="17" xfId="15" applyFont="1" applyFill="1" applyBorder="1" applyAlignment="1">
      <alignment vertical="top" wrapText="1"/>
    </xf>
    <xf numFmtId="0" fontId="47" fillId="4" borderId="17" xfId="15" applyNumberFormat="1" applyFill="1" applyBorder="1" applyAlignment="1">
      <alignment horizontal="center" vertical="center" wrapText="1"/>
    </xf>
    <xf numFmtId="0" fontId="8" fillId="0" borderId="17" xfId="15" applyFont="1" applyFill="1" applyBorder="1" applyAlignment="1">
      <alignment vertical="center" wrapText="1"/>
    </xf>
    <xf numFmtId="0" fontId="8" fillId="4" borderId="17" xfId="15" applyFont="1" applyFill="1" applyBorder="1" applyAlignment="1">
      <alignment vertical="center" wrapText="1"/>
    </xf>
    <xf numFmtId="0" fontId="47" fillId="4" borderId="17" xfId="15" applyNumberFormat="1" applyFill="1" applyBorder="1" applyAlignment="1">
      <alignment vertical="center" wrapText="1"/>
    </xf>
    <xf numFmtId="0" fontId="47" fillId="4" borderId="55" xfId="15" applyNumberFormat="1" applyFill="1" applyBorder="1" applyAlignment="1">
      <alignment vertical="center" wrapText="1"/>
    </xf>
    <xf numFmtId="0" fontId="8" fillId="4" borderId="17" xfId="15" applyFont="1" applyFill="1" applyBorder="1" applyAlignment="1">
      <alignment horizontal="left" vertical="center" wrapText="1"/>
    </xf>
    <xf numFmtId="0" fontId="8" fillId="4" borderId="17" xfId="15" applyNumberFormat="1" applyFont="1" applyFill="1" applyBorder="1" applyAlignment="1">
      <alignment horizontal="left" vertical="center" wrapText="1"/>
    </xf>
    <xf numFmtId="0" fontId="47" fillId="4" borderId="0" xfId="15" applyFill="1"/>
    <xf numFmtId="0" fontId="47" fillId="4" borderId="0" xfId="15" applyNumberFormat="1" applyFill="1" applyAlignment="1">
      <alignment vertical="center"/>
    </xf>
    <xf numFmtId="0" fontId="47" fillId="4" borderId="0" xfId="15" applyFill="1" applyAlignment="1"/>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1" xfId="0" applyFont="1" applyFill="1" applyBorder="1" applyAlignment="1">
      <alignment vertical="top" wrapText="1"/>
    </xf>
    <xf numFmtId="14" fontId="2" fillId="0" borderId="1" xfId="0" applyNumberFormat="1" applyFont="1" applyFill="1" applyBorder="1" applyAlignment="1">
      <alignment horizontal="left" vertical="top" wrapText="1"/>
    </xf>
    <xf numFmtId="165" fontId="2" fillId="0" borderId="1" xfId="0" applyNumberFormat="1" applyFont="1" applyFill="1" applyBorder="1" applyAlignment="1">
      <alignment horizontal="left" vertical="top" wrapText="1"/>
    </xf>
    <xf numFmtId="0" fontId="2" fillId="0" borderId="0" xfId="0" applyFont="1" applyFill="1" applyBorder="1" applyAlignment="1">
      <alignment horizontal="center"/>
    </xf>
    <xf numFmtId="14" fontId="1" fillId="0" borderId="0" xfId="0" applyNumberFormat="1" applyFont="1" applyFill="1" applyBorder="1"/>
    <xf numFmtId="14" fontId="1" fillId="0" borderId="0" xfId="0" applyNumberFormat="1" applyFont="1" applyFill="1" applyBorder="1" applyAlignment="1" applyProtection="1">
      <alignment vertical="center"/>
    </xf>
    <xf numFmtId="0" fontId="2" fillId="0" borderId="2" xfId="0" applyFont="1" applyFill="1" applyBorder="1" applyAlignment="1">
      <alignment horizontal="left" vertical="top" wrapText="1"/>
    </xf>
    <xf numFmtId="165" fontId="2" fillId="0" borderId="37" xfId="0" applyNumberFormat="1" applyFont="1" applyFill="1" applyBorder="1" applyAlignment="1">
      <alignment horizontal="left" vertical="top" wrapText="1"/>
    </xf>
    <xf numFmtId="165" fontId="1" fillId="0" borderId="3" xfId="0" applyNumberFormat="1" applyFont="1" applyFill="1" applyBorder="1" applyAlignment="1">
      <alignment horizontal="center"/>
    </xf>
    <xf numFmtId="0" fontId="1" fillId="0" borderId="3" xfId="0" applyNumberFormat="1" applyFont="1" applyFill="1" applyBorder="1" applyAlignment="1">
      <alignment horizontal="center"/>
    </xf>
    <xf numFmtId="0" fontId="0" fillId="0" borderId="0" xfId="0" applyFill="1"/>
    <xf numFmtId="3" fontId="14" fillId="0" borderId="23" xfId="3" applyNumberFormat="1" applyFont="1" applyFill="1" applyBorder="1" applyAlignment="1">
      <alignment horizontal="right" vertical="center" wrapText="1"/>
    </xf>
    <xf numFmtId="1" fontId="14" fillId="0" borderId="23" xfId="3" applyNumberFormat="1" applyFont="1" applyFill="1" applyBorder="1" applyAlignment="1">
      <alignment horizontal="right" vertical="center" wrapText="1"/>
    </xf>
    <xf numFmtId="3" fontId="14" fillId="0" borderId="23" xfId="4" applyNumberFormat="1" applyFont="1" applyFill="1" applyBorder="1" applyAlignment="1">
      <alignment horizontal="right"/>
    </xf>
    <xf numFmtId="9" fontId="14" fillId="0" borderId="23" xfId="5" applyNumberFormat="1" applyFont="1" applyFill="1" applyBorder="1" applyAlignment="1">
      <alignment horizontal="right"/>
    </xf>
    <xf numFmtId="3" fontId="14" fillId="0" borderId="23" xfId="5" applyNumberFormat="1" applyFont="1" applyFill="1" applyBorder="1" applyAlignment="1">
      <alignment horizontal="right"/>
    </xf>
    <xf numFmtId="3" fontId="14" fillId="0" borderId="23" xfId="6" applyNumberFormat="1" applyFont="1" applyFill="1" applyBorder="1" applyAlignment="1">
      <alignment horizontal="right"/>
    </xf>
    <xf numFmtId="3" fontId="14" fillId="0" borderId="32" xfId="5" applyNumberFormat="1" applyFont="1" applyFill="1" applyBorder="1" applyAlignment="1">
      <alignment horizontal="center" vertical="center"/>
    </xf>
    <xf numFmtId="3" fontId="14" fillId="0" borderId="17" xfId="5" applyNumberFormat="1" applyFont="1" applyFill="1" applyBorder="1" applyAlignment="1">
      <alignment horizontal="center" vertical="center"/>
    </xf>
    <xf numFmtId="3" fontId="14" fillId="0" borderId="17" xfId="8" applyNumberFormat="1" applyFont="1" applyFill="1" applyBorder="1" applyAlignment="1">
      <alignment horizontal="right"/>
    </xf>
    <xf numFmtId="3" fontId="14" fillId="0" borderId="17" xfId="4" applyNumberFormat="1" applyFont="1" applyFill="1" applyBorder="1" applyAlignment="1">
      <alignment horizontal="right"/>
    </xf>
    <xf numFmtId="9" fontId="14" fillId="0" borderId="17" xfId="4" applyNumberFormat="1" applyFont="1" applyFill="1" applyBorder="1" applyAlignment="1">
      <alignment horizontal="right"/>
    </xf>
    <xf numFmtId="3" fontId="14" fillId="0" borderId="17" xfId="5" applyNumberFormat="1" applyFont="1" applyFill="1" applyBorder="1" applyAlignment="1">
      <alignment horizontal="right"/>
    </xf>
    <xf numFmtId="9" fontId="14" fillId="0" borderId="23" xfId="1" applyFont="1" applyFill="1" applyBorder="1" applyAlignment="1">
      <alignment horizontal="center"/>
    </xf>
    <xf numFmtId="9" fontId="14" fillId="0" borderId="17" xfId="1" applyFont="1" applyFill="1" applyBorder="1" applyAlignment="1">
      <alignment horizontal="center"/>
    </xf>
    <xf numFmtId="3" fontId="13" fillId="0" borderId="23" xfId="4" applyNumberFormat="1" applyFont="1" applyFill="1" applyBorder="1" applyAlignment="1">
      <alignment horizontal="right"/>
    </xf>
    <xf numFmtId="9" fontId="14" fillId="0" borderId="23" xfId="4" applyNumberFormat="1" applyFont="1" applyFill="1" applyBorder="1" applyAlignment="1">
      <alignment horizontal="right"/>
    </xf>
    <xf numFmtId="0" fontId="22" fillId="0" borderId="1" xfId="0" applyFont="1" applyFill="1" applyBorder="1" applyAlignment="1">
      <alignment horizontal="center" vertical="center" wrapText="1"/>
    </xf>
    <xf numFmtId="3" fontId="14" fillId="5" borderId="0" xfId="5" applyNumberFormat="1" applyFont="1" applyFill="1" applyBorder="1" applyAlignment="1">
      <alignment horizontal="center" vertical="center"/>
    </xf>
    <xf numFmtId="0" fontId="14" fillId="4" borderId="56" xfId="5" applyFont="1" applyFill="1" applyBorder="1" applyAlignment="1">
      <alignment horizontal="center"/>
    </xf>
    <xf numFmtId="3" fontId="14" fillId="0" borderId="57" xfId="5" applyNumberFormat="1" applyFont="1" applyFill="1" applyBorder="1" applyAlignment="1">
      <alignment horizontal="center" vertical="center"/>
    </xf>
    <xf numFmtId="165" fontId="14" fillId="0" borderId="23" xfId="3" applyNumberFormat="1" applyFont="1" applyFill="1" applyBorder="1" applyAlignment="1">
      <alignment horizontal="right" vertical="center" wrapText="1"/>
    </xf>
    <xf numFmtId="0" fontId="2" fillId="0" borderId="36" xfId="0" applyFont="1" applyFill="1" applyBorder="1" applyAlignment="1">
      <alignment horizontal="left" vertical="top" wrapText="1"/>
    </xf>
    <xf numFmtId="0" fontId="2" fillId="0" borderId="37" xfId="0" applyFont="1" applyFill="1" applyBorder="1" applyAlignment="1">
      <alignment horizontal="center" vertical="top" wrapText="1"/>
    </xf>
    <xf numFmtId="1" fontId="1" fillId="0" borderId="3" xfId="0" applyNumberFormat="1" applyFont="1" applyFill="1" applyBorder="1" applyAlignment="1">
      <alignment horizontal="center"/>
    </xf>
    <xf numFmtId="0" fontId="1" fillId="0" borderId="0" xfId="0" applyFont="1" applyFill="1" applyBorder="1" applyAlignment="1">
      <alignment vertical="top"/>
    </xf>
    <xf numFmtId="0" fontId="1" fillId="0" borderId="0" xfId="0" applyFont="1" applyFill="1" applyBorder="1" applyAlignment="1">
      <alignment horizontal="left" vertical="top" wrapText="1"/>
    </xf>
    <xf numFmtId="0" fontId="2" fillId="0" borderId="1" xfId="0" applyFont="1" applyFill="1" applyBorder="1" applyAlignment="1">
      <alignment horizontal="center" vertical="top" wrapText="1"/>
    </xf>
    <xf numFmtId="0" fontId="13" fillId="6" borderId="23" xfId="4" applyFont="1" applyFill="1" applyBorder="1" applyAlignment="1">
      <alignment horizontal="center" vertical="center" wrapText="1"/>
    </xf>
    <xf numFmtId="0" fontId="14" fillId="0" borderId="23" xfId="4" applyFont="1" applyFill="1" applyBorder="1" applyAlignment="1">
      <alignment horizontal="center"/>
    </xf>
    <xf numFmtId="9" fontId="13" fillId="7" borderId="23" xfId="1" applyFont="1" applyFill="1" applyBorder="1" applyAlignment="1">
      <alignment horizontal="center"/>
    </xf>
    <xf numFmtId="9" fontId="14" fillId="0" borderId="23" xfId="1" applyNumberFormat="1" applyFont="1" applyFill="1" applyBorder="1" applyAlignment="1">
      <alignment horizontal="center"/>
    </xf>
    <xf numFmtId="1" fontId="13" fillId="7" borderId="23" xfId="1" applyNumberFormat="1" applyFont="1" applyFill="1" applyBorder="1" applyAlignment="1">
      <alignment horizontal="center"/>
    </xf>
    <xf numFmtId="9" fontId="14" fillId="0" borderId="23" xfId="3" applyNumberFormat="1" applyFont="1" applyFill="1" applyBorder="1" applyAlignment="1">
      <alignment horizontal="right" vertical="center" wrapText="1"/>
    </xf>
    <xf numFmtId="0" fontId="1" fillId="0" borderId="0" xfId="0" applyFont="1" applyFill="1" applyBorder="1" applyAlignment="1"/>
    <xf numFmtId="164" fontId="1" fillId="0" borderId="0" xfId="0" applyNumberFormat="1" applyFont="1" applyFill="1" applyBorder="1" applyAlignment="1">
      <alignment vertical="top"/>
    </xf>
    <xf numFmtId="1" fontId="0" fillId="0" borderId="0" xfId="0" applyNumberFormat="1" applyFill="1"/>
    <xf numFmtId="0" fontId="44" fillId="0" borderId="0" xfId="2" applyFont="1" applyFill="1" applyBorder="1"/>
    <xf numFmtId="166" fontId="0" fillId="0" borderId="0" xfId="1" applyNumberFormat="1" applyFont="1" applyFill="1" applyAlignment="1">
      <alignment horizontal="center"/>
    </xf>
    <xf numFmtId="166" fontId="0" fillId="0" borderId="0" xfId="1" applyNumberFormat="1" applyFont="1" applyFill="1"/>
    <xf numFmtId="1" fontId="1" fillId="0" borderId="0" xfId="0" applyNumberFormat="1" applyFont="1" applyFill="1" applyBorder="1" applyAlignment="1">
      <alignment horizontal="right"/>
    </xf>
    <xf numFmtId="1" fontId="1" fillId="0" borderId="3" xfId="0" applyNumberFormat="1" applyFont="1" applyFill="1" applyBorder="1" applyAlignment="1">
      <alignment horizontal="right" vertical="top"/>
    </xf>
    <xf numFmtId="1" fontId="1" fillId="0" borderId="3" xfId="0" applyNumberFormat="1" applyFont="1" applyFill="1" applyBorder="1" applyAlignment="1">
      <alignment horizontal="right"/>
    </xf>
    <xf numFmtId="0" fontId="1" fillId="0" borderId="0" xfId="0" applyFont="1" applyFill="1" applyBorder="1" applyAlignment="1">
      <alignment wrapText="1"/>
    </xf>
    <xf numFmtId="1" fontId="1" fillId="0" borderId="3" xfId="0" applyNumberFormat="1" applyFont="1" applyFill="1" applyBorder="1"/>
    <xf numFmtId="165" fontId="1" fillId="0" borderId="0" xfId="0" applyNumberFormat="1" applyFont="1" applyFill="1" applyBorder="1"/>
    <xf numFmtId="14" fontId="1" fillId="0" borderId="0" xfId="0" applyNumberFormat="1" applyFont="1" applyFill="1" applyBorder="1" applyAlignment="1"/>
    <xf numFmtId="164" fontId="1" fillId="0" borderId="0" xfId="0" applyNumberFormat="1" applyFont="1" applyFill="1" applyBorder="1" applyAlignment="1" applyProtection="1">
      <alignment vertical="top"/>
    </xf>
    <xf numFmtId="0" fontId="1" fillId="0" borderId="0" xfId="0" applyNumberFormat="1" applyFont="1" applyFill="1" applyBorder="1" applyAlignment="1">
      <alignment horizontal="right"/>
    </xf>
    <xf numFmtId="14" fontId="1" fillId="0" borderId="0" xfId="0" applyNumberFormat="1" applyFont="1" applyFill="1" applyBorder="1" applyAlignment="1" applyProtection="1">
      <alignment vertical="top"/>
    </xf>
    <xf numFmtId="0" fontId="1" fillId="0" borderId="0" xfId="0" applyFont="1" applyFill="1"/>
    <xf numFmtId="0" fontId="1" fillId="0" borderId="0" xfId="0" applyFont="1" applyFill="1" applyBorder="1" applyAlignment="1">
      <alignment horizontal="right"/>
    </xf>
    <xf numFmtId="164" fontId="1" fillId="0" borderId="0" xfId="0" applyNumberFormat="1" applyFont="1" applyFill="1" applyBorder="1" applyAlignment="1">
      <alignment vertical="top" wrapText="1"/>
    </xf>
    <xf numFmtId="1" fontId="2" fillId="0" borderId="3" xfId="0" applyNumberFormat="1" applyFont="1" applyFill="1" applyBorder="1" applyAlignment="1">
      <alignment horizontal="right" vertical="top"/>
    </xf>
    <xf numFmtId="0" fontId="51" fillId="0" borderId="0" xfId="0" applyFont="1" applyFill="1" applyBorder="1" applyAlignment="1">
      <alignment horizontal="left" vertical="top"/>
    </xf>
    <xf numFmtId="1" fontId="1" fillId="0" borderId="0" xfId="0" applyNumberFormat="1" applyFont="1" applyFill="1"/>
    <xf numFmtId="1" fontId="1" fillId="0" borderId="0" xfId="0" applyNumberFormat="1" applyFont="1" applyFill="1" applyAlignment="1">
      <alignment horizontal="right"/>
    </xf>
    <xf numFmtId="1" fontId="1" fillId="0" borderId="3" xfId="0" applyNumberFormat="1" applyFont="1" applyFill="1" applyBorder="1" applyAlignment="1">
      <alignment horizontal="left" vertical="top"/>
    </xf>
    <xf numFmtId="0" fontId="1" fillId="0" borderId="0" xfId="0" applyFont="1" applyFill="1" applyBorder="1" applyAlignment="1">
      <alignment horizontal="center" vertical="top"/>
    </xf>
    <xf numFmtId="0" fontId="8" fillId="0" borderId="17" xfId="15" applyFont="1" applyFill="1" applyBorder="1" applyAlignment="1">
      <alignment horizontal="left" vertical="center" wrapText="1"/>
    </xf>
    <xf numFmtId="0" fontId="22" fillId="5" borderId="1" xfId="0" applyFont="1" applyFill="1" applyBorder="1" applyAlignment="1">
      <alignment horizontal="left" vertical="center" wrapText="1"/>
    </xf>
    <xf numFmtId="0" fontId="20" fillId="8" borderId="1" xfId="0" applyFont="1" applyFill="1" applyBorder="1" applyAlignment="1">
      <alignment horizontal="left" vertical="center" wrapText="1"/>
    </xf>
    <xf numFmtId="0" fontId="14" fillId="0" borderId="22" xfId="4" applyFont="1" applyFill="1" applyBorder="1" applyAlignment="1">
      <alignment horizontal="left" vertical="center"/>
    </xf>
    <xf numFmtId="0" fontId="14" fillId="0" borderId="23" xfId="4" applyFont="1" applyFill="1" applyBorder="1" applyAlignment="1">
      <alignment horizontal="left" vertical="center"/>
    </xf>
    <xf numFmtId="0" fontId="13" fillId="8" borderId="22" xfId="4" applyFont="1" applyFill="1" applyBorder="1" applyAlignment="1">
      <alignment horizontal="left" vertical="center"/>
    </xf>
    <xf numFmtId="0" fontId="13" fillId="8" borderId="23" xfId="4" applyFont="1" applyFill="1" applyBorder="1" applyAlignment="1">
      <alignment horizontal="left" vertical="center"/>
    </xf>
    <xf numFmtId="9" fontId="8" fillId="8" borderId="1" xfId="4" applyNumberFormat="1" applyFont="1" applyFill="1" applyBorder="1" applyAlignment="1">
      <alignment horizontal="left"/>
    </xf>
    <xf numFmtId="0" fontId="22" fillId="8" borderId="36" xfId="0" applyFont="1" applyFill="1" applyBorder="1" applyAlignment="1">
      <alignment horizontal="center" vertical="center" wrapText="1"/>
    </xf>
    <xf numFmtId="0" fontId="22" fillId="8" borderId="37" xfId="0" applyFont="1" applyFill="1" applyBorder="1" applyAlignment="1">
      <alignment horizontal="center" vertical="center" wrapText="1"/>
    </xf>
    <xf numFmtId="0" fontId="22" fillId="8" borderId="2" xfId="0" applyFont="1" applyFill="1" applyBorder="1" applyAlignment="1">
      <alignment horizontal="center" vertical="center" wrapText="1"/>
    </xf>
    <xf numFmtId="0" fontId="14" fillId="6" borderId="22" xfId="4" applyFont="1" applyFill="1" applyBorder="1" applyAlignment="1">
      <alignment horizontal="center"/>
    </xf>
    <xf numFmtId="0" fontId="14" fillId="6" borderId="23" xfId="4" applyFont="1" applyFill="1" applyBorder="1" applyAlignment="1">
      <alignment horizontal="center"/>
    </xf>
    <xf numFmtId="0" fontId="22" fillId="0" borderId="22" xfId="0" applyFont="1" applyBorder="1" applyAlignment="1">
      <alignment horizontal="left"/>
    </xf>
    <xf numFmtId="0" fontId="22" fillId="0" borderId="23" xfId="0" applyFont="1" applyBorder="1" applyAlignment="1">
      <alignment horizontal="left"/>
    </xf>
    <xf numFmtId="0" fontId="13" fillId="8" borderId="22" xfId="4" applyFont="1" applyFill="1" applyBorder="1" applyAlignment="1">
      <alignment horizontal="left"/>
    </xf>
    <xf numFmtId="0" fontId="13" fillId="8" borderId="23" xfId="4" applyFont="1" applyFill="1" applyBorder="1" applyAlignment="1">
      <alignment horizontal="left"/>
    </xf>
    <xf numFmtId="0" fontId="14" fillId="0" borderId="22" xfId="0" applyFont="1" applyBorder="1" applyAlignment="1">
      <alignment horizontal="left"/>
    </xf>
    <xf numFmtId="0" fontId="14" fillId="0" borderId="23" xfId="0" applyFont="1" applyBorder="1" applyAlignment="1">
      <alignment horizontal="left"/>
    </xf>
    <xf numFmtId="0" fontId="13" fillId="8" borderId="22" xfId="4" applyFont="1" applyFill="1" applyBorder="1" applyAlignment="1"/>
    <xf numFmtId="0" fontId="13" fillId="8" borderId="23" xfId="4" applyFont="1" applyFill="1" applyBorder="1" applyAlignment="1"/>
    <xf numFmtId="3" fontId="14" fillId="0" borderId="22" xfId="5" applyNumberFormat="1" applyFont="1" applyFill="1" applyBorder="1" applyAlignment="1">
      <alignment horizontal="left"/>
    </xf>
    <xf numFmtId="3" fontId="14" fillId="0" borderId="23" xfId="5" applyNumberFormat="1" applyFont="1" applyFill="1" applyBorder="1" applyAlignment="1">
      <alignment horizontal="left"/>
    </xf>
    <xf numFmtId="3" fontId="14" fillId="0" borderId="34" xfId="5" applyNumberFormat="1" applyFont="1" applyFill="1" applyBorder="1" applyAlignment="1">
      <alignment horizontal="left"/>
    </xf>
    <xf numFmtId="3" fontId="14" fillId="0" borderId="35" xfId="5" applyNumberFormat="1" applyFont="1" applyFill="1" applyBorder="1" applyAlignment="1">
      <alignment horizontal="left"/>
    </xf>
    <xf numFmtId="0" fontId="38" fillId="5" borderId="0" xfId="4" applyFont="1" applyFill="1" applyBorder="1" applyAlignment="1">
      <alignment horizontal="center" vertical="center" wrapText="1"/>
    </xf>
    <xf numFmtId="0" fontId="38" fillId="5" borderId="0" xfId="4" applyFont="1" applyFill="1" applyBorder="1" applyAlignment="1">
      <alignment horizontal="center"/>
    </xf>
    <xf numFmtId="0" fontId="13" fillId="7" borderId="58" xfId="4" applyFont="1" applyFill="1" applyBorder="1" applyAlignment="1">
      <alignment horizontal="center"/>
    </xf>
    <xf numFmtId="0" fontId="13" fillId="7" borderId="35" xfId="4" applyFont="1" applyFill="1" applyBorder="1" applyAlignment="1">
      <alignment horizontal="center"/>
    </xf>
    <xf numFmtId="1" fontId="13" fillId="7" borderId="23" xfId="1" applyNumberFormat="1" applyFont="1" applyFill="1" applyBorder="1" applyAlignment="1">
      <alignment horizontal="center"/>
    </xf>
    <xf numFmtId="1" fontId="13" fillId="7" borderId="34" xfId="1" applyNumberFormat="1" applyFont="1" applyFill="1" applyBorder="1" applyAlignment="1">
      <alignment horizontal="center"/>
    </xf>
    <xf numFmtId="1" fontId="13" fillId="7" borderId="35" xfId="1" applyNumberFormat="1" applyFont="1" applyFill="1" applyBorder="1" applyAlignment="1">
      <alignment horizontal="center"/>
    </xf>
    <xf numFmtId="0" fontId="13" fillId="7" borderId="22" xfId="4" applyFont="1" applyFill="1" applyBorder="1" applyAlignment="1">
      <alignment horizontal="center"/>
    </xf>
    <xf numFmtId="0" fontId="13" fillId="7" borderId="23" xfId="4" applyFont="1" applyFill="1" applyBorder="1" applyAlignment="1">
      <alignment horizontal="center"/>
    </xf>
    <xf numFmtId="9" fontId="13" fillId="7" borderId="23" xfId="1" applyFont="1" applyFill="1" applyBorder="1" applyAlignment="1">
      <alignment horizontal="center"/>
    </xf>
    <xf numFmtId="0" fontId="14" fillId="4" borderId="22" xfId="4" applyFont="1" applyFill="1" applyBorder="1" applyAlignment="1">
      <alignment horizontal="center"/>
    </xf>
    <xf numFmtId="0" fontId="14" fillId="4" borderId="23" xfId="4" applyFont="1" applyFill="1" applyBorder="1" applyAlignment="1">
      <alignment horizontal="center"/>
    </xf>
    <xf numFmtId="0" fontId="14" fillId="0" borderId="23" xfId="4" applyFont="1" applyFill="1" applyBorder="1" applyAlignment="1">
      <alignment horizontal="center"/>
    </xf>
    <xf numFmtId="0" fontId="30" fillId="5" borderId="0" xfId="4" applyFont="1" applyFill="1" applyBorder="1" applyAlignment="1">
      <alignment horizontal="center"/>
    </xf>
    <xf numFmtId="0" fontId="13" fillId="6" borderId="22" xfId="4" applyFont="1" applyFill="1" applyBorder="1" applyAlignment="1">
      <alignment horizontal="center" vertical="center" wrapText="1"/>
    </xf>
    <xf numFmtId="0" fontId="13" fillId="6" borderId="23" xfId="4" applyFont="1" applyFill="1" applyBorder="1" applyAlignment="1">
      <alignment horizontal="center" vertical="center" wrapText="1"/>
    </xf>
    <xf numFmtId="0" fontId="13" fillId="7" borderId="16" xfId="4" applyFont="1" applyFill="1" applyBorder="1" applyAlignment="1">
      <alignment horizontal="left"/>
    </xf>
    <xf numFmtId="0" fontId="13" fillId="7" borderId="17" xfId="4" applyFont="1" applyFill="1" applyBorder="1" applyAlignment="1">
      <alignment horizontal="left"/>
    </xf>
    <xf numFmtId="0" fontId="13" fillId="6" borderId="16" xfId="4" applyFont="1" applyFill="1" applyBorder="1" applyAlignment="1">
      <alignment horizontal="center" vertical="center" wrapText="1"/>
    </xf>
    <xf numFmtId="0" fontId="13" fillId="6" borderId="18" xfId="4" applyFont="1" applyFill="1" applyBorder="1" applyAlignment="1">
      <alignment horizontal="center"/>
    </xf>
    <xf numFmtId="0" fontId="13" fillId="6" borderId="20" xfId="4" applyFont="1" applyFill="1" applyBorder="1" applyAlignment="1">
      <alignment horizontal="center"/>
    </xf>
    <xf numFmtId="0" fontId="30" fillId="5" borderId="0" xfId="4" applyFont="1" applyFill="1" applyBorder="1" applyAlignment="1">
      <alignment horizontal="center" vertical="center" wrapText="1"/>
    </xf>
    <xf numFmtId="0" fontId="14" fillId="4" borderId="16" xfId="4" applyFont="1" applyFill="1" applyBorder="1" applyAlignment="1">
      <alignment horizontal="left"/>
    </xf>
    <xf numFmtId="0" fontId="14" fillId="4" borderId="17" xfId="4" applyFont="1" applyFill="1" applyBorder="1" applyAlignment="1">
      <alignment horizontal="left"/>
    </xf>
    <xf numFmtId="0" fontId="14" fillId="4" borderId="33" xfId="4" applyFont="1" applyFill="1" applyBorder="1" applyAlignment="1">
      <alignment horizontal="left"/>
    </xf>
    <xf numFmtId="0" fontId="14" fillId="4" borderId="20" xfId="4" applyFont="1" applyFill="1" applyBorder="1" applyAlignment="1">
      <alignment horizontal="left"/>
    </xf>
    <xf numFmtId="0" fontId="13" fillId="6" borderId="33" xfId="4" applyFont="1" applyFill="1" applyBorder="1" applyAlignment="1">
      <alignment horizontal="left" vertical="center" wrapText="1"/>
    </xf>
    <xf numFmtId="0" fontId="13" fillId="6" borderId="20" xfId="4" applyFont="1" applyFill="1" applyBorder="1" applyAlignment="1">
      <alignment horizontal="left" vertical="center" wrapText="1"/>
    </xf>
    <xf numFmtId="0" fontId="13" fillId="6" borderId="54" xfId="4" applyFont="1" applyFill="1" applyBorder="1" applyAlignment="1">
      <alignment horizontal="center" wrapText="1"/>
    </xf>
    <xf numFmtId="0" fontId="13" fillId="6" borderId="55" xfId="4" applyFont="1" applyFill="1" applyBorder="1" applyAlignment="1">
      <alignment horizontal="center"/>
    </xf>
    <xf numFmtId="0" fontId="14" fillId="4" borderId="22" xfId="5" applyFont="1" applyFill="1" applyBorder="1" applyAlignment="1">
      <alignment horizontal="left"/>
    </xf>
    <xf numFmtId="0" fontId="14" fillId="4" borderId="23" xfId="5" applyFont="1" applyFill="1" applyBorder="1" applyAlignment="1">
      <alignment horizontal="left"/>
    </xf>
    <xf numFmtId="0" fontId="13" fillId="6" borderId="22" xfId="5" applyFont="1" applyFill="1" applyBorder="1" applyAlignment="1">
      <alignment wrapText="1"/>
    </xf>
    <xf numFmtId="0" fontId="13" fillId="6" borderId="23" xfId="5" applyFont="1" applyFill="1" applyBorder="1" applyAlignment="1">
      <alignment wrapText="1"/>
    </xf>
    <xf numFmtId="0" fontId="13" fillId="6" borderId="16" xfId="4" applyFont="1" applyFill="1" applyBorder="1" applyAlignment="1">
      <alignment horizontal="left" vertical="center" wrapText="1"/>
    </xf>
    <xf numFmtId="0" fontId="13" fillId="6" borderId="17" xfId="4" applyFont="1" applyFill="1" applyBorder="1" applyAlignment="1">
      <alignment horizontal="left" vertical="center" wrapText="1"/>
    </xf>
    <xf numFmtId="0" fontId="13" fillId="6" borderId="23" xfId="5" applyFont="1" applyFill="1" applyBorder="1" applyAlignment="1">
      <alignment horizontal="center" vertical="center"/>
    </xf>
    <xf numFmtId="0" fontId="13" fillId="6" borderId="23" xfId="5" applyFont="1" applyFill="1" applyBorder="1" applyAlignment="1">
      <alignment horizontal="center"/>
    </xf>
    <xf numFmtId="0" fontId="13" fillId="6" borderId="23" xfId="5" applyFont="1" applyFill="1" applyBorder="1" applyAlignment="1">
      <alignment horizontal="left"/>
    </xf>
    <xf numFmtId="0" fontId="14" fillId="7" borderId="22" xfId="5" applyFont="1" applyFill="1" applyBorder="1" applyAlignment="1"/>
    <xf numFmtId="0" fontId="14" fillId="7" borderId="23" xfId="5" applyFont="1" applyFill="1" applyBorder="1" applyAlignment="1"/>
    <xf numFmtId="0" fontId="14" fillId="4" borderId="22" xfId="5" applyFont="1" applyFill="1" applyBorder="1" applyAlignment="1"/>
    <xf numFmtId="0" fontId="14" fillId="4" borderId="23" xfId="5" applyFont="1" applyFill="1" applyBorder="1" applyAlignment="1"/>
    <xf numFmtId="0" fontId="13" fillId="6" borderId="22" xfId="5" applyFont="1" applyFill="1" applyBorder="1" applyAlignment="1">
      <alignment horizontal="center" vertical="center"/>
    </xf>
    <xf numFmtId="0" fontId="13" fillId="6" borderId="23" xfId="5" applyFont="1" applyFill="1" applyBorder="1" applyAlignment="1">
      <alignment horizontal="center" vertical="center" wrapText="1"/>
    </xf>
    <xf numFmtId="0" fontId="13" fillId="6" borderId="23" xfId="4" applyFont="1" applyFill="1" applyBorder="1" applyAlignment="1">
      <alignment horizontal="center"/>
    </xf>
    <xf numFmtId="0" fontId="22" fillId="0" borderId="22" xfId="0" applyFont="1" applyFill="1" applyBorder="1" applyAlignment="1">
      <alignment horizontal="left" vertical="center" wrapText="1"/>
    </xf>
    <xf numFmtId="0" fontId="22" fillId="0" borderId="23" xfId="0" applyFont="1" applyFill="1" applyBorder="1" applyAlignment="1">
      <alignment horizontal="left" vertical="center" wrapText="1"/>
    </xf>
    <xf numFmtId="3" fontId="22" fillId="0" borderId="23" xfId="0" applyNumberFormat="1"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0" fillId="7" borderId="22" xfId="0" applyFont="1" applyFill="1" applyBorder="1" applyAlignment="1">
      <alignment horizontal="left" vertical="center" wrapText="1"/>
    </xf>
    <xf numFmtId="0" fontId="20" fillId="7" borderId="23" xfId="0" applyFont="1" applyFill="1" applyBorder="1" applyAlignment="1">
      <alignment horizontal="left" vertical="center" wrapText="1"/>
    </xf>
    <xf numFmtId="3" fontId="13" fillId="7" borderId="23" xfId="0" applyNumberFormat="1" applyFont="1" applyFill="1" applyBorder="1" applyAlignment="1">
      <alignment horizontal="center" vertical="center" wrapText="1"/>
    </xf>
    <xf numFmtId="0" fontId="13" fillId="7" borderId="23" xfId="0" applyFont="1" applyFill="1" applyBorder="1" applyAlignment="1">
      <alignment horizontal="center" vertical="center" wrapText="1"/>
    </xf>
    <xf numFmtId="0" fontId="14" fillId="5" borderId="23" xfId="3" applyFont="1" applyFill="1" applyBorder="1" applyAlignment="1">
      <alignment horizontal="left" vertical="center" wrapText="1"/>
    </xf>
    <xf numFmtId="0" fontId="14" fillId="5" borderId="23" xfId="3" applyFont="1" applyFill="1" applyBorder="1" applyAlignment="1">
      <alignment horizontal="center" vertical="center" wrapText="1"/>
    </xf>
    <xf numFmtId="0" fontId="20" fillId="6" borderId="22" xfId="0" applyFont="1" applyFill="1" applyBorder="1" applyAlignment="1">
      <alignment horizontal="center" vertical="center" wrapText="1"/>
    </xf>
    <xf numFmtId="0" fontId="20" fillId="6" borderId="23" xfId="0" applyFont="1" applyFill="1" applyBorder="1" applyAlignment="1">
      <alignment horizontal="center" vertical="center" wrapText="1"/>
    </xf>
    <xf numFmtId="0" fontId="14" fillId="0" borderId="23" xfId="3" applyFont="1" applyFill="1" applyBorder="1" applyAlignment="1">
      <alignment horizontal="center" vertical="center" wrapText="1"/>
    </xf>
    <xf numFmtId="9" fontId="13" fillId="7" borderId="34" xfId="1" applyFont="1" applyFill="1" applyBorder="1" applyAlignment="1">
      <alignment horizontal="center"/>
    </xf>
    <xf numFmtId="9" fontId="13" fillId="7" borderId="35" xfId="1" applyFont="1" applyFill="1" applyBorder="1" applyAlignment="1">
      <alignment horizontal="center"/>
    </xf>
    <xf numFmtId="0" fontId="9" fillId="0" borderId="9"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center" vertical="center" wrapText="1"/>
    </xf>
    <xf numFmtId="0" fontId="9" fillId="0" borderId="12"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9" fillId="0" borderId="14" xfId="4" applyFont="1" applyFill="1" applyBorder="1" applyAlignment="1">
      <alignment horizontal="center" vertical="center" wrapText="1"/>
    </xf>
    <xf numFmtId="0" fontId="13" fillId="6" borderId="17" xfId="4" applyFont="1" applyFill="1" applyBorder="1" applyAlignment="1">
      <alignment horizontal="center" vertical="center" wrapText="1"/>
    </xf>
    <xf numFmtId="0" fontId="13" fillId="6" borderId="17" xfId="4" applyFont="1" applyFill="1" applyBorder="1" applyAlignment="1">
      <alignment horizontal="center" vertical="top" wrapText="1"/>
    </xf>
    <xf numFmtId="0" fontId="13" fillId="6" borderId="18" xfId="4" applyFont="1" applyFill="1" applyBorder="1" applyAlignment="1">
      <alignment horizontal="center" vertical="center" wrapText="1"/>
    </xf>
    <xf numFmtId="0" fontId="13" fillId="6" borderId="19" xfId="4" applyFont="1" applyFill="1" applyBorder="1" applyAlignment="1">
      <alignment horizontal="center" vertical="center" wrapText="1"/>
    </xf>
    <xf numFmtId="0" fontId="13" fillId="6" borderId="20" xfId="4" applyFont="1" applyFill="1" applyBorder="1" applyAlignment="1">
      <alignment horizontal="center" vertical="center" wrapText="1"/>
    </xf>
    <xf numFmtId="0" fontId="14" fillId="5" borderId="16" xfId="4" applyFont="1" applyFill="1" applyBorder="1" applyAlignment="1">
      <alignment horizontal="left" wrapText="1"/>
    </xf>
    <xf numFmtId="0" fontId="14" fillId="5" borderId="17" xfId="4" applyFont="1" applyFill="1" applyBorder="1" applyAlignment="1">
      <alignment horizontal="left" wrapText="1"/>
    </xf>
    <xf numFmtId="0" fontId="12" fillId="6" borderId="22" xfId="4" applyFont="1" applyFill="1" applyBorder="1" applyAlignment="1">
      <alignment horizontal="center"/>
    </xf>
    <xf numFmtId="0" fontId="12" fillId="6" borderId="23" xfId="4" applyFont="1" applyFill="1" applyBorder="1" applyAlignment="1">
      <alignment horizontal="center"/>
    </xf>
    <xf numFmtId="0" fontId="13" fillId="2" borderId="47" xfId="11" applyFont="1" applyFill="1" applyBorder="1" applyAlignment="1">
      <alignment horizontal="right" vertical="center" wrapText="1" indent="3"/>
    </xf>
    <xf numFmtId="0" fontId="13" fillId="2" borderId="52" xfId="11" applyFont="1" applyFill="1" applyBorder="1" applyAlignment="1">
      <alignment horizontal="right" vertical="center" wrapText="1" indent="3"/>
    </xf>
    <xf numFmtId="0" fontId="13" fillId="2" borderId="21" xfId="12" applyFont="1" applyFill="1" applyBorder="1" applyAlignment="1">
      <alignment horizontal="left" vertical="center" wrapText="1"/>
    </xf>
    <xf numFmtId="0" fontId="13" fillId="2" borderId="4" xfId="12" applyFont="1" applyFill="1" applyBorder="1" applyAlignment="1">
      <alignment horizontal="left" vertical="center" wrapText="1"/>
    </xf>
    <xf numFmtId="0" fontId="13" fillId="2" borderId="27" xfId="12" applyFont="1" applyFill="1" applyBorder="1" applyAlignment="1">
      <alignment horizontal="left" vertical="center" wrapText="1"/>
    </xf>
    <xf numFmtId="0" fontId="13" fillId="2" borderId="12" xfId="12" applyFont="1" applyFill="1" applyBorder="1" applyAlignment="1">
      <alignment horizontal="left" vertical="center" wrapText="1"/>
    </xf>
    <xf numFmtId="0" fontId="24" fillId="2" borderId="47" xfId="11" applyFont="1" applyFill="1" applyBorder="1" applyAlignment="1">
      <alignment horizontal="left" vertical="center"/>
    </xf>
    <xf numFmtId="0" fontId="24" fillId="2" borderId="48" xfId="11" applyFont="1" applyFill="1" applyBorder="1" applyAlignment="1">
      <alignment horizontal="left" vertical="center"/>
    </xf>
    <xf numFmtId="0" fontId="24" fillId="2" borderId="49" xfId="11" applyFont="1" applyFill="1" applyBorder="1" applyAlignment="1">
      <alignment horizontal="left" vertical="center"/>
    </xf>
    <xf numFmtId="0" fontId="13" fillId="2" borderId="33" xfId="11" applyFont="1" applyFill="1" applyBorder="1" applyAlignment="1">
      <alignment horizontal="right" vertical="center" indent="3"/>
    </xf>
    <xf numFmtId="0" fontId="13" fillId="2" borderId="20" xfId="11" applyFont="1" applyFill="1" applyBorder="1" applyAlignment="1">
      <alignment horizontal="right" vertical="center" indent="3"/>
    </xf>
    <xf numFmtId="0" fontId="13" fillId="2" borderId="18" xfId="11" applyFont="1" applyFill="1" applyBorder="1" applyAlignment="1">
      <alignment horizontal="center" vertical="center"/>
    </xf>
    <xf numFmtId="0" fontId="13" fillId="2" borderId="19" xfId="11" applyFont="1" applyFill="1" applyBorder="1" applyAlignment="1">
      <alignment horizontal="center" vertical="center"/>
    </xf>
    <xf numFmtId="0" fontId="13" fillId="2" borderId="20" xfId="11" applyFont="1" applyFill="1" applyBorder="1" applyAlignment="1">
      <alignment horizontal="center" vertical="center"/>
    </xf>
    <xf numFmtId="3" fontId="13" fillId="2" borderId="18" xfId="13" applyNumberFormat="1" applyFont="1" applyFill="1" applyBorder="1" applyAlignment="1">
      <alignment horizontal="center" vertical="center"/>
    </xf>
    <xf numFmtId="3" fontId="13" fillId="2" borderId="19" xfId="13" applyNumberFormat="1" applyFont="1" applyFill="1" applyBorder="1" applyAlignment="1">
      <alignment horizontal="center" vertical="center"/>
    </xf>
    <xf numFmtId="3" fontId="13" fillId="2" borderId="20" xfId="13" applyNumberFormat="1" applyFont="1" applyFill="1" applyBorder="1" applyAlignment="1">
      <alignment horizontal="center" vertical="center"/>
    </xf>
    <xf numFmtId="3" fontId="13" fillId="2" borderId="19" xfId="11" applyNumberFormat="1" applyFont="1" applyFill="1" applyBorder="1" applyAlignment="1">
      <alignment horizontal="center" vertical="center"/>
    </xf>
    <xf numFmtId="3" fontId="13" fillId="2" borderId="44" xfId="11" applyNumberFormat="1" applyFont="1" applyFill="1" applyBorder="1" applyAlignment="1">
      <alignment horizontal="center" vertical="center"/>
    </xf>
    <xf numFmtId="0" fontId="13" fillId="2" borderId="4" xfId="12" applyFont="1" applyFill="1" applyBorder="1" applyAlignment="1">
      <alignment horizontal="right" vertical="center" indent="3"/>
    </xf>
    <xf numFmtId="0" fontId="13" fillId="2" borderId="50" xfId="12" applyFont="1" applyFill="1" applyBorder="1" applyAlignment="1">
      <alignment horizontal="right" vertical="center" indent="3"/>
    </xf>
    <xf numFmtId="0" fontId="8" fillId="0" borderId="54" xfId="15" applyFont="1" applyFill="1" applyBorder="1" applyAlignment="1">
      <alignment vertical="center" wrapText="1"/>
    </xf>
    <xf numFmtId="0" fontId="8" fillId="0" borderId="55" xfId="15" applyFont="1" applyFill="1" applyBorder="1" applyAlignment="1">
      <alignment vertical="center" wrapText="1"/>
    </xf>
    <xf numFmtId="0" fontId="8" fillId="4" borderId="54" xfId="15" applyFont="1" applyFill="1" applyBorder="1" applyAlignment="1">
      <alignment vertical="center" wrapText="1"/>
    </xf>
    <xf numFmtId="0" fontId="8" fillId="4" borderId="55" xfId="15" applyFont="1" applyFill="1" applyBorder="1" applyAlignment="1">
      <alignment vertical="center" wrapText="1"/>
    </xf>
    <xf numFmtId="0" fontId="48" fillId="5" borderId="0" xfId="15" applyFont="1" applyFill="1" applyBorder="1" applyAlignment="1">
      <alignment horizontal="left"/>
    </xf>
    <xf numFmtId="0" fontId="8" fillId="4" borderId="0" xfId="15" applyFont="1" applyFill="1" applyBorder="1" applyAlignment="1">
      <alignment horizontal="left" vertical="top" wrapText="1"/>
    </xf>
    <xf numFmtId="0" fontId="12" fillId="2" borderId="18" xfId="15" applyFont="1" applyFill="1" applyBorder="1" applyAlignment="1">
      <alignment vertical="top" wrapText="1"/>
    </xf>
    <xf numFmtId="0" fontId="12" fillId="2" borderId="20" xfId="15" applyFont="1" applyFill="1" applyBorder="1" applyAlignment="1">
      <alignment vertical="top" wrapText="1"/>
    </xf>
    <xf numFmtId="0" fontId="8" fillId="0" borderId="54" xfId="15" applyFont="1" applyFill="1" applyBorder="1" applyAlignment="1">
      <alignment horizontal="left" vertical="center" wrapText="1"/>
    </xf>
    <xf numFmtId="0" fontId="8" fillId="0" borderId="55" xfId="15" applyFont="1" applyFill="1" applyBorder="1" applyAlignment="1">
      <alignment horizontal="left" vertical="center" wrapText="1"/>
    </xf>
  </cellXfs>
  <cellStyles count="16">
    <cellStyle name="Comma 2" xfId="8" xr:uid="{B96D0B97-EBAC-4F3F-BDD9-44A7B2C39776}"/>
    <cellStyle name="Normal" xfId="0" builtinId="0"/>
    <cellStyle name="Normal 16" xfId="14" xr:uid="{8339C0AC-AE46-4F79-B929-ABAFEFFF255F}"/>
    <cellStyle name="Normal 2" xfId="15" xr:uid="{DAB6D9E9-B6B7-476A-BBEB-7A14B715C8DA}"/>
    <cellStyle name="Normal 28" xfId="3" xr:uid="{200B5C0E-EFC8-49D1-B956-87DDCD3FFC9C}"/>
    <cellStyle name="Normal 29" xfId="2" xr:uid="{DB92A999-FF6A-4EAF-90F6-58BAF8DC7740}"/>
    <cellStyle name="Normal 30" xfId="10" xr:uid="{2D8EACCA-ECA6-47DF-9367-2DDEB3044573}"/>
    <cellStyle name="Normal 33" xfId="12" xr:uid="{67133A6A-F425-4C01-8FA3-01B6D2B93DAD}"/>
    <cellStyle name="Normal_Sheet1_3" xfId="11" xr:uid="{3015BE01-CD70-4EE4-9D0A-A059541F4E40}"/>
    <cellStyle name="Normal_Sheet2_1" xfId="4" xr:uid="{E07D170F-658D-439F-9E7C-2D5149E8FC65}"/>
    <cellStyle name="Normal_Sheet2_1_Summary Tables" xfId="6" xr:uid="{101ACB30-DAD3-4278-AFC2-648E3351C553}"/>
    <cellStyle name="Normal_Sheet4_1" xfId="9" xr:uid="{0D21DB50-24C7-4A3F-B128-E34C09CD30F8}"/>
    <cellStyle name="Normal_Summary Tables" xfId="5" xr:uid="{97BF276D-7CB3-414B-812E-B3B85D54BD5B}"/>
    <cellStyle name="Normal_Summary Tables_Summary Tables" xfId="7" xr:uid="{8270CBAC-E5C2-43AE-8B44-E64785ADCE98}"/>
    <cellStyle name="Normal_Trajectory" xfId="13" xr:uid="{71FC4836-D509-4946-B7C8-B4C9B2ABFF38}"/>
    <cellStyle name="Percent" xfId="1" builtinId="5"/>
  </cellStyles>
  <dxfs count="140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numFmt numFmtId="1" formatCode="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numFmt numFmtId="1" formatCode="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numFmt numFmtId="1" formatCode="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numFmt numFmtId="165" formatCode="0.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vertical="top"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vertical="top"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numFmt numFmtId="1" formatCode="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numFmt numFmtId="1" formatCode="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numFmt numFmtId="1" formatCode="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99CC00"/>
      <color rgb="FFFF9933"/>
      <color rgb="FFFFCC99"/>
      <color rgb="FF66CC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GB" sz="900" b="0"/>
              <a:t>Breakdown of development pipeline (net dwellings)</a:t>
            </a:r>
          </a:p>
        </c:rich>
      </c:tx>
      <c:layout>
        <c:manualLayout>
          <c:xMode val="edge"/>
          <c:yMode val="edge"/>
          <c:x val="0.13378677929811045"/>
          <c:y val="4.1043553766305536E-3"/>
        </c:manualLayout>
      </c:layout>
      <c:overlay val="0"/>
      <c:spPr>
        <a:noFill/>
        <a:ln w="25400">
          <a:noFill/>
        </a:ln>
      </c:spPr>
    </c:title>
    <c:autoTitleDeleted val="0"/>
    <c:plotArea>
      <c:layout>
        <c:manualLayout>
          <c:layoutTarget val="inner"/>
          <c:xMode val="edge"/>
          <c:yMode val="edge"/>
          <c:x val="2.3867654356417294E-2"/>
          <c:y val="0.12198068991376078"/>
          <c:w val="0.82887633922808834"/>
          <c:h val="0.80159955005624295"/>
        </c:manualLayout>
      </c:layout>
      <c:barChart>
        <c:barDir val="col"/>
        <c:grouping val="clustered"/>
        <c:varyColors val="0"/>
        <c:ser>
          <c:idx val="0"/>
          <c:order val="0"/>
          <c:spPr>
            <a:solidFill>
              <a:srgbClr val="0070C0"/>
            </a:solidFill>
            <a:ln w="12700">
              <a:solidFill>
                <a:srgbClr val="0070C0"/>
              </a:solidFill>
              <a:prstDash val="solid"/>
            </a:ln>
          </c:spPr>
          <c:invertIfNegative val="0"/>
          <c:dPt>
            <c:idx val="0"/>
            <c:invertIfNegative val="0"/>
            <c:bubble3D val="0"/>
            <c:extLst>
              <c:ext xmlns:c16="http://schemas.microsoft.com/office/drawing/2014/chart" uri="{C3380CC4-5D6E-409C-BE32-E72D297353CC}">
                <c16:uniqueId val="{00000000-7A60-40DE-BE88-DA55F61CC9C9}"/>
              </c:ext>
            </c:extLst>
          </c:dPt>
          <c:dPt>
            <c:idx val="1"/>
            <c:invertIfNegative val="0"/>
            <c:bubble3D val="0"/>
            <c:extLst>
              <c:ext xmlns:c16="http://schemas.microsoft.com/office/drawing/2014/chart" uri="{C3380CC4-5D6E-409C-BE32-E72D297353CC}">
                <c16:uniqueId val="{00000001-7A60-40DE-BE88-DA55F61CC9C9}"/>
              </c:ext>
            </c:extLst>
          </c:dPt>
          <c:dPt>
            <c:idx val="2"/>
            <c:invertIfNegative val="0"/>
            <c:bubble3D val="0"/>
            <c:extLst>
              <c:ext xmlns:c16="http://schemas.microsoft.com/office/drawing/2014/chart" uri="{C3380CC4-5D6E-409C-BE32-E72D297353CC}">
                <c16:uniqueId val="{00000002-7A60-40DE-BE88-DA55F61CC9C9}"/>
              </c:ext>
            </c:extLst>
          </c:dPt>
          <c:dPt>
            <c:idx val="3"/>
            <c:invertIfNegative val="0"/>
            <c:bubble3D val="0"/>
            <c:extLst>
              <c:ext xmlns:c16="http://schemas.microsoft.com/office/drawing/2014/chart" uri="{C3380CC4-5D6E-409C-BE32-E72D297353CC}">
                <c16:uniqueId val="{00000003-7A60-40DE-BE88-DA55F61CC9C9}"/>
              </c:ext>
            </c:extLst>
          </c:dPt>
          <c:cat>
            <c:strRef>
              <c:f>'Summary Tables'!$B$48:$D$50</c:f>
              <c:strCache>
                <c:ptCount val="3"/>
                <c:pt idx="0">
                  <c:v>Under Construction</c:v>
                </c:pt>
                <c:pt idx="1">
                  <c:v>Planning Permissions</c:v>
                </c:pt>
                <c:pt idx="2">
                  <c:v>Potential Sites</c:v>
                </c:pt>
              </c:strCache>
            </c:strRef>
          </c:cat>
          <c:val>
            <c:numRef>
              <c:f>'Summary Tables'!$J$48:$J$50</c:f>
              <c:numCache>
                <c:formatCode>#,##0</c:formatCode>
                <c:ptCount val="3"/>
                <c:pt idx="0">
                  <c:v>709</c:v>
                </c:pt>
                <c:pt idx="1">
                  <c:v>314</c:v>
                </c:pt>
                <c:pt idx="2">
                  <c:v>1979</c:v>
                </c:pt>
              </c:numCache>
            </c:numRef>
          </c:val>
          <c:extLst>
            <c:ext xmlns:c16="http://schemas.microsoft.com/office/drawing/2014/chart" uri="{C3380CC4-5D6E-409C-BE32-E72D297353CC}">
              <c16:uniqueId val="{00000004-7A60-40DE-BE88-DA55F61CC9C9}"/>
            </c:ext>
          </c:extLst>
        </c:ser>
        <c:dLbls>
          <c:showLegendKey val="0"/>
          <c:showVal val="0"/>
          <c:showCatName val="0"/>
          <c:showSerName val="0"/>
          <c:showPercent val="0"/>
          <c:showBubbleSize val="0"/>
        </c:dLbls>
        <c:gapWidth val="40"/>
        <c:axId val="303027712"/>
        <c:axId val="303026176"/>
      </c:barChart>
      <c:valAx>
        <c:axId val="303026176"/>
        <c:scaling>
          <c:orientation val="minMax"/>
        </c:scaling>
        <c:delete val="0"/>
        <c:axPos val="l"/>
        <c:majorGridlines/>
        <c:numFmt formatCode="#,##0" sourceLinked="1"/>
        <c:majorTickMark val="out"/>
        <c:minorTickMark val="none"/>
        <c:tickLblPos val="nextTo"/>
        <c:txPr>
          <a:bodyPr/>
          <a:lstStyle/>
          <a:p>
            <a:pPr>
              <a:defRPr sz="900"/>
            </a:pPr>
            <a:endParaRPr lang="en-US"/>
          </a:p>
        </c:txPr>
        <c:crossAx val="303027712"/>
        <c:crosses val="autoZero"/>
        <c:crossBetween val="between"/>
      </c:valAx>
      <c:catAx>
        <c:axId val="303027712"/>
        <c:scaling>
          <c:orientation val="minMax"/>
        </c:scaling>
        <c:delete val="0"/>
        <c:axPos val="b"/>
        <c:numFmt formatCode="General" sourceLinked="0"/>
        <c:majorTickMark val="out"/>
        <c:minorTickMark val="none"/>
        <c:tickLblPos val="nextTo"/>
        <c:txPr>
          <a:bodyPr/>
          <a:lstStyle/>
          <a:p>
            <a:pPr>
              <a:defRPr sz="900"/>
            </a:pPr>
            <a:endParaRPr lang="en-US"/>
          </a:p>
        </c:txPr>
        <c:crossAx val="303026176"/>
        <c:crossesAt val="0"/>
        <c:auto val="0"/>
        <c:lblAlgn val="ctr"/>
        <c:lblOffset val="100"/>
        <c:noMultiLvlLbl val="0"/>
      </c:catAx>
      <c:spPr>
        <a:noFill/>
        <a:ln w="12700">
          <a:noFill/>
        </a:ln>
      </c:spPr>
    </c:plotArea>
    <c:plotVisOnly val="1"/>
    <c:dispBlanksAs val="zero"/>
    <c:showDLblsOverMax val="0"/>
  </c:chart>
  <c:spPr>
    <a:solidFill>
      <a:srgbClr val="FFFFFF"/>
    </a:solidFill>
    <a:ln w="9525">
      <a:noFill/>
    </a:ln>
  </c:spPr>
  <c:txPr>
    <a:bodyPr/>
    <a:lstStyle/>
    <a:p>
      <a:pPr>
        <a:defRPr sz="3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12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GB"/>
              <a:t>Started by Ward 2018/19</a:t>
            </a:r>
          </a:p>
        </c:rich>
      </c:tx>
      <c:layout>
        <c:manualLayout>
          <c:xMode val="edge"/>
          <c:yMode val="edge"/>
          <c:x val="0.40735926191044303"/>
          <c:y val="1.3368983957219251E-2"/>
        </c:manualLayout>
      </c:layout>
      <c:overlay val="0"/>
      <c:spPr>
        <a:noFill/>
        <a:ln w="25400">
          <a:noFill/>
        </a:ln>
      </c:spPr>
    </c:title>
    <c:autoTitleDeleted val="0"/>
    <c:plotArea>
      <c:layout>
        <c:manualLayout>
          <c:layoutTarget val="inner"/>
          <c:xMode val="edge"/>
          <c:yMode val="edge"/>
          <c:x val="0.35378028510442988"/>
          <c:y val="7.2401732915915631E-2"/>
          <c:w val="0.61316310843148003"/>
          <c:h val="0.84446573696360239"/>
        </c:manualLayout>
      </c:layout>
      <c:barChart>
        <c:barDir val="bar"/>
        <c:grouping val="clustered"/>
        <c:varyColors val="0"/>
        <c:ser>
          <c:idx val="1"/>
          <c:order val="0"/>
          <c:tx>
            <c:strRef>
              <c:f>'Summary Tables'!$C$216</c:f>
              <c:strCache>
                <c:ptCount val="1"/>
                <c:pt idx="0">
                  <c:v>Net units with planning permission, commenced or completed by Ward in 2018/19 </c:v>
                </c:pt>
              </c:strCache>
            </c:strRef>
          </c:tx>
          <c:spPr>
            <a:solidFill>
              <a:schemeClr val="tx2">
                <a:lumMod val="60000"/>
                <a:lumOff val="40000"/>
              </a:schemeClr>
            </a:solidFill>
            <a:ln w="12700">
              <a:solidFill>
                <a:srgbClr val="000000"/>
              </a:solidFill>
            </a:ln>
          </c:spPr>
          <c:invertIfNegative val="0"/>
          <c:dLbls>
            <c:delete val="1"/>
          </c:dLbls>
          <c:cat>
            <c:strRef>
              <c:f>'Summary Tables'!$B$218:$D$235</c:f>
              <c:strCache>
                <c:ptCount val="18"/>
                <c:pt idx="0">
                  <c:v>Barnes</c:v>
                </c:pt>
                <c:pt idx="1">
                  <c:v>East Sheen</c:v>
                </c:pt>
                <c:pt idx="2">
                  <c:v>Fulwell, Hampton Hill</c:v>
                </c:pt>
                <c:pt idx="3">
                  <c:v>Ham, Petersham, Richmond Riverside</c:v>
                </c:pt>
                <c:pt idx="4">
                  <c:v>Hampton North</c:v>
                </c:pt>
                <c:pt idx="5">
                  <c:v>Hampton</c:v>
                </c:pt>
                <c:pt idx="6">
                  <c:v>Hampton Wick</c:v>
                </c:pt>
                <c:pt idx="7">
                  <c:v>Heathfield</c:v>
                </c:pt>
                <c:pt idx="8">
                  <c:v>Kew</c:v>
                </c:pt>
                <c:pt idx="9">
                  <c:v>Mortlake, Barnes Common</c:v>
                </c:pt>
                <c:pt idx="10">
                  <c:v>North Richmond</c:v>
                </c:pt>
                <c:pt idx="11">
                  <c:v>South Richmond</c:v>
                </c:pt>
                <c:pt idx="12">
                  <c:v>South Twickenham</c:v>
                </c:pt>
                <c:pt idx="13">
                  <c:v>St Margarets, North Twickenham</c:v>
                </c:pt>
                <c:pt idx="14">
                  <c:v>Teddington</c:v>
                </c:pt>
                <c:pt idx="15">
                  <c:v>Twickenham Riverside</c:v>
                </c:pt>
                <c:pt idx="16">
                  <c:v>West Twickenham</c:v>
                </c:pt>
                <c:pt idx="17">
                  <c:v>Whitton</c:v>
                </c:pt>
              </c:strCache>
            </c:strRef>
          </c:cat>
          <c:val>
            <c:numRef>
              <c:f>'Summary Tables'!$C$217:$C$234</c:f>
              <c:numCache>
                <c:formatCode>General</c:formatCode>
                <c:ptCount val="18"/>
              </c:numCache>
            </c:numRef>
          </c:val>
          <c:extLst>
            <c:ext xmlns:c16="http://schemas.microsoft.com/office/drawing/2014/chart" uri="{C3380CC4-5D6E-409C-BE32-E72D297353CC}">
              <c16:uniqueId val="{00000000-0EAE-4DB6-9C65-F2E38453E79E}"/>
            </c:ext>
          </c:extLst>
        </c:ser>
        <c:ser>
          <c:idx val="0"/>
          <c:order val="1"/>
          <c:tx>
            <c:strRef>
              <c:f>'Summary Tables'!$E$217:$G$217</c:f>
              <c:strCache>
                <c:ptCount val="1"/>
                <c:pt idx="0">
                  <c:v>Not Started Under Construction Completions</c:v>
                </c:pt>
              </c:strCache>
            </c:strRef>
          </c:tx>
          <c:spPr>
            <a:solidFill>
              <a:schemeClr val="accent1"/>
            </a:solidFill>
            <a:ln>
              <a:solidFill>
                <a:schemeClr val="tx1"/>
              </a:solidFill>
            </a:ln>
          </c:spPr>
          <c:invertIfNegative val="0"/>
          <c:dLbls>
            <c:delete val="1"/>
          </c:dLbls>
          <c:cat>
            <c:strRef>
              <c:f>'Summary Tables'!$B$218:$D$235</c:f>
              <c:strCache>
                <c:ptCount val="18"/>
                <c:pt idx="0">
                  <c:v>Barnes</c:v>
                </c:pt>
                <c:pt idx="1">
                  <c:v>East Sheen</c:v>
                </c:pt>
                <c:pt idx="2">
                  <c:v>Fulwell, Hampton Hill</c:v>
                </c:pt>
                <c:pt idx="3">
                  <c:v>Ham, Petersham, Richmond Riverside</c:v>
                </c:pt>
                <c:pt idx="4">
                  <c:v>Hampton North</c:v>
                </c:pt>
                <c:pt idx="5">
                  <c:v>Hampton</c:v>
                </c:pt>
                <c:pt idx="6">
                  <c:v>Hampton Wick</c:v>
                </c:pt>
                <c:pt idx="7">
                  <c:v>Heathfield</c:v>
                </c:pt>
                <c:pt idx="8">
                  <c:v>Kew</c:v>
                </c:pt>
                <c:pt idx="9">
                  <c:v>Mortlake, Barnes Common</c:v>
                </c:pt>
                <c:pt idx="10">
                  <c:v>North Richmond</c:v>
                </c:pt>
                <c:pt idx="11">
                  <c:v>South Richmond</c:v>
                </c:pt>
                <c:pt idx="12">
                  <c:v>South Twickenham</c:v>
                </c:pt>
                <c:pt idx="13">
                  <c:v>St Margarets, North Twickenham</c:v>
                </c:pt>
                <c:pt idx="14">
                  <c:v>Teddington</c:v>
                </c:pt>
                <c:pt idx="15">
                  <c:v>Twickenham Riverside</c:v>
                </c:pt>
                <c:pt idx="16">
                  <c:v>West Twickenham</c:v>
                </c:pt>
                <c:pt idx="17">
                  <c:v>Whitton</c:v>
                </c:pt>
              </c:strCache>
            </c:strRef>
          </c:cat>
          <c:val>
            <c:numRef>
              <c:f>'Summary Tables'!$F$218:$F$235</c:f>
              <c:numCache>
                <c:formatCode>#,##0</c:formatCode>
                <c:ptCount val="18"/>
                <c:pt idx="0">
                  <c:v>12</c:v>
                </c:pt>
                <c:pt idx="1">
                  <c:v>3</c:v>
                </c:pt>
                <c:pt idx="2">
                  <c:v>30</c:v>
                </c:pt>
                <c:pt idx="3">
                  <c:v>43</c:v>
                </c:pt>
                <c:pt idx="4">
                  <c:v>1</c:v>
                </c:pt>
                <c:pt idx="5">
                  <c:v>2</c:v>
                </c:pt>
                <c:pt idx="6">
                  <c:v>27</c:v>
                </c:pt>
                <c:pt idx="7">
                  <c:v>5</c:v>
                </c:pt>
                <c:pt idx="8">
                  <c:v>30</c:v>
                </c:pt>
                <c:pt idx="9">
                  <c:v>14</c:v>
                </c:pt>
                <c:pt idx="10">
                  <c:v>5</c:v>
                </c:pt>
                <c:pt idx="11">
                  <c:v>8</c:v>
                </c:pt>
                <c:pt idx="12">
                  <c:v>31</c:v>
                </c:pt>
                <c:pt idx="13">
                  <c:v>301</c:v>
                </c:pt>
                <c:pt idx="14">
                  <c:v>184</c:v>
                </c:pt>
                <c:pt idx="15">
                  <c:v>6</c:v>
                </c:pt>
                <c:pt idx="16">
                  <c:v>3</c:v>
                </c:pt>
                <c:pt idx="17">
                  <c:v>4</c:v>
                </c:pt>
              </c:numCache>
            </c:numRef>
          </c:val>
          <c:extLst>
            <c:ext xmlns:c16="http://schemas.microsoft.com/office/drawing/2014/chart" uri="{C3380CC4-5D6E-409C-BE32-E72D297353CC}">
              <c16:uniqueId val="{00000001-0EAE-4DB6-9C65-F2E38453E79E}"/>
            </c:ext>
          </c:extLst>
        </c:ser>
        <c:dLbls>
          <c:showLegendKey val="0"/>
          <c:showVal val="1"/>
          <c:showCatName val="0"/>
          <c:showSerName val="0"/>
          <c:showPercent val="0"/>
          <c:showBubbleSize val="0"/>
        </c:dLbls>
        <c:gapWidth val="0"/>
        <c:overlap val="100"/>
        <c:axId val="325048192"/>
        <c:axId val="325049728"/>
      </c:barChart>
      <c:catAx>
        <c:axId val="325048192"/>
        <c:scaling>
          <c:orientation val="maxMin"/>
        </c:scaling>
        <c:delete val="0"/>
        <c:axPos val="l"/>
        <c:numFmt formatCode="General" sourceLinked="1"/>
        <c:majorTickMark val="out"/>
        <c:minorTickMark val="none"/>
        <c:tickLblPos val="nextTo"/>
        <c:txPr>
          <a:bodyPr rot="0" vert="horz"/>
          <a:lstStyle/>
          <a:p>
            <a:pPr>
              <a:defRPr/>
            </a:pPr>
            <a:endParaRPr lang="en-US"/>
          </a:p>
        </c:txPr>
        <c:crossAx val="325049728"/>
        <c:crosses val="autoZero"/>
        <c:auto val="1"/>
        <c:lblAlgn val="ctr"/>
        <c:lblOffset val="100"/>
        <c:tickLblSkip val="1"/>
        <c:noMultiLvlLbl val="0"/>
      </c:catAx>
      <c:valAx>
        <c:axId val="325049728"/>
        <c:scaling>
          <c:orientation val="minMax"/>
          <c:max val="350"/>
          <c:min val="0"/>
        </c:scaling>
        <c:delete val="0"/>
        <c:axPos val="b"/>
        <c:majorGridlines>
          <c:spPr>
            <a:ln w="3175">
              <a:solidFill>
                <a:srgbClr val="BEBEBE"/>
              </a:solidFill>
              <a:prstDash val="solid"/>
            </a:ln>
          </c:spPr>
        </c:majorGridlines>
        <c:minorGridlines/>
        <c:numFmt formatCode="General" sourceLinked="0"/>
        <c:majorTickMark val="out"/>
        <c:minorTickMark val="none"/>
        <c:tickLblPos val="high"/>
        <c:spPr>
          <a:ln>
            <a:solidFill>
              <a:schemeClr val="bg1">
                <a:lumMod val="75000"/>
              </a:schemeClr>
            </a:solidFill>
          </a:ln>
        </c:spPr>
        <c:txPr>
          <a:bodyPr rot="0" vert="horz"/>
          <a:lstStyle/>
          <a:p>
            <a:pPr>
              <a:defRPr/>
            </a:pPr>
            <a:endParaRPr lang="en-US"/>
          </a:p>
        </c:txPr>
        <c:crossAx val="325048192"/>
        <c:crosses val="max"/>
        <c:crossBetween val="between"/>
        <c:majorUnit val="100"/>
        <c:minorUnit val="100"/>
      </c:valAx>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latin typeface="Arial" panose="020B0604020202020204" pitchFamily="34" charset="0"/>
                <a:cs typeface="Arial" panose="020B0604020202020204" pitchFamily="34" charset="0"/>
              </a:defRPr>
            </a:pPr>
            <a:r>
              <a:rPr lang="en-GB" sz="1050">
                <a:latin typeface="Arial" panose="020B0604020202020204" pitchFamily="34" charset="0"/>
                <a:cs typeface="Arial" panose="020B0604020202020204" pitchFamily="34" charset="0"/>
              </a:rPr>
              <a:t>Total Net completions</a:t>
            </a:r>
            <a:r>
              <a:rPr lang="en-GB" sz="1050" baseline="0">
                <a:latin typeface="Arial" panose="020B0604020202020204" pitchFamily="34" charset="0"/>
                <a:cs typeface="Arial" panose="020B0604020202020204" pitchFamily="34" charset="0"/>
              </a:rPr>
              <a:t> by tenure</a:t>
            </a:r>
            <a:endParaRPr lang="en-GB" sz="1050">
              <a:latin typeface="Arial" panose="020B0604020202020204" pitchFamily="34" charset="0"/>
              <a:cs typeface="Arial" panose="020B0604020202020204" pitchFamily="34" charset="0"/>
            </a:endParaRPr>
          </a:p>
        </c:rich>
      </c:tx>
      <c:layout>
        <c:manualLayout>
          <c:xMode val="edge"/>
          <c:yMode val="edge"/>
          <c:x val="8.3702766909099599E-4"/>
          <c:y val="5.0772643699574672E-3"/>
        </c:manualLayout>
      </c:layout>
      <c:overlay val="0"/>
    </c:title>
    <c:autoTitleDeleted val="0"/>
    <c:plotArea>
      <c:layout>
        <c:manualLayout>
          <c:layoutTarget val="inner"/>
          <c:xMode val="edge"/>
          <c:yMode val="edge"/>
          <c:x val="2.058656869891911E-2"/>
          <c:y val="0.15693824167538528"/>
          <c:w val="0.45464096332246212"/>
          <c:h val="0.71658670308437811"/>
        </c:manualLayout>
      </c:layout>
      <c:pieChart>
        <c:varyColors val="1"/>
        <c:ser>
          <c:idx val="0"/>
          <c:order val="0"/>
          <c:tx>
            <c:strRef>
              <c:f>'Summary Tables'!$C$127</c:f>
              <c:strCache>
                <c:ptCount val="1"/>
                <c:pt idx="0">
                  <c:v>Net completions by tenure and financial year (2005/06 to 2018/19)</c:v>
                </c:pt>
              </c:strCache>
            </c:strRef>
          </c:tx>
          <c:dPt>
            <c:idx val="0"/>
            <c:bubble3D val="0"/>
            <c:spPr>
              <a:solidFill>
                <a:schemeClr val="tx2">
                  <a:lumMod val="60000"/>
                  <a:lumOff val="40000"/>
                </a:schemeClr>
              </a:solidFill>
            </c:spPr>
            <c:extLst>
              <c:ext xmlns:c16="http://schemas.microsoft.com/office/drawing/2014/chart" uri="{C3380CC4-5D6E-409C-BE32-E72D297353CC}">
                <c16:uniqueId val="{00000001-8105-45D3-9216-C55B62C6DA84}"/>
              </c:ext>
            </c:extLst>
          </c:dPt>
          <c:dPt>
            <c:idx val="1"/>
            <c:bubble3D val="0"/>
            <c:spPr>
              <a:solidFill>
                <a:srgbClr val="92D050"/>
              </a:solidFill>
            </c:spPr>
            <c:extLst>
              <c:ext xmlns:c16="http://schemas.microsoft.com/office/drawing/2014/chart" uri="{C3380CC4-5D6E-409C-BE32-E72D297353CC}">
                <c16:uniqueId val="{00000003-8105-45D3-9216-C55B62C6DA84}"/>
              </c:ext>
            </c:extLst>
          </c:dPt>
          <c:dLbls>
            <c:dLbl>
              <c:idx val="0"/>
              <c:layout>
                <c:manualLayout>
                  <c:x val="-0.10983299522488398"/>
                  <c:y val="-0.2002341138594525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05-45D3-9216-C55B62C6DA84}"/>
                </c:ext>
              </c:extLst>
            </c:dLbl>
            <c:dLbl>
              <c:idx val="1"/>
              <c:layout>
                <c:manualLayout>
                  <c:x val="9.1572856156541427E-2"/>
                  <c:y val="0.14183917705140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105-45D3-9216-C55B62C6DA84}"/>
                </c:ext>
              </c:extLst>
            </c:dLbl>
            <c:spPr>
              <a:noFill/>
              <a:ln>
                <a:noFill/>
              </a:ln>
              <a:effectLst/>
            </c:spPr>
            <c:txPr>
              <a:bodyPr/>
              <a:lstStyle/>
              <a:p>
                <a:pPr>
                  <a:defRPr b="1"/>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('Summary Tables'!$C$128,'Summary Tables'!$E$128)</c:f>
              <c:strCache>
                <c:ptCount val="2"/>
                <c:pt idx="0">
                  <c:v> Open Market</c:v>
                </c:pt>
                <c:pt idx="1">
                  <c:v> Affordable</c:v>
                </c:pt>
              </c:strCache>
            </c:strRef>
          </c:cat>
          <c:val>
            <c:numRef>
              <c:f>('Summary Tables'!$D$144,'Summary Tables'!$F$144)</c:f>
              <c:numCache>
                <c:formatCode>0%</c:formatCode>
                <c:ptCount val="2"/>
                <c:pt idx="0">
                  <c:v>0.79858336360334181</c:v>
                </c:pt>
                <c:pt idx="1">
                  <c:v>0.20141663639665819</c:v>
                </c:pt>
              </c:numCache>
            </c:numRef>
          </c:val>
          <c:extLst>
            <c:ext xmlns:c16="http://schemas.microsoft.com/office/drawing/2014/chart" uri="{C3380CC4-5D6E-409C-BE32-E72D297353CC}">
              <c16:uniqueId val="{00000004-8105-45D3-9216-C55B62C6DA8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49256896981170933"/>
          <c:y val="9.8474941701411273E-2"/>
          <c:w val="0.25406419049563556"/>
          <c:h val="0.16566268878512203"/>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alignWithMargins="0"/>
    <c:pageMargins b="1" l="0.75" r="0.75" t="1" header="0.5" footer="0.5"/>
    <c:pageSetup paperSize="9" orientation="landscape" verticalDpi="120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23941604893192E-2"/>
          <c:y val="6.4941882264716927E-3"/>
          <c:w val="0.58639627189458465"/>
          <c:h val="0.93290315983229366"/>
        </c:manualLayout>
      </c:layout>
      <c:pieChart>
        <c:varyColors val="1"/>
        <c:ser>
          <c:idx val="0"/>
          <c:order val="0"/>
          <c:tx>
            <c:strRef>
              <c:f>'Summary Tables'!$C$305</c:f>
              <c:strCache>
                <c:ptCount val="1"/>
                <c:pt idx="0">
                  <c:v>Net new build units with planning permission by unit size and tenure</c:v>
                </c:pt>
              </c:strCache>
            </c:strRef>
          </c:tx>
          <c:spPr>
            <a:solidFill>
              <a:srgbClr val="9999FF"/>
            </a:solidFill>
            <a:ln w="12700">
              <a:solidFill>
                <a:srgbClr val="000000"/>
              </a:solidFill>
              <a:prstDash val="solid"/>
            </a:ln>
          </c:spPr>
          <c:dPt>
            <c:idx val="0"/>
            <c:bubble3D val="0"/>
            <c:spPr>
              <a:solidFill>
                <a:schemeClr val="accent1">
                  <a:lumMod val="20000"/>
                  <a:lumOff val="80000"/>
                </a:schemeClr>
              </a:solidFill>
              <a:ln w="12700">
                <a:solidFill>
                  <a:srgbClr val="000000"/>
                </a:solidFill>
                <a:prstDash val="solid"/>
              </a:ln>
            </c:spPr>
            <c:extLst>
              <c:ext xmlns:c16="http://schemas.microsoft.com/office/drawing/2014/chart" uri="{C3380CC4-5D6E-409C-BE32-E72D297353CC}">
                <c16:uniqueId val="{00000001-DFF9-48FF-8D16-EE3A2F476D83}"/>
              </c:ext>
            </c:extLst>
          </c:dPt>
          <c:dPt>
            <c:idx val="1"/>
            <c:bubble3D val="0"/>
            <c:spPr>
              <a:solidFill>
                <a:schemeClr val="accent1">
                  <a:lumMod val="40000"/>
                  <a:lumOff val="60000"/>
                </a:schemeClr>
              </a:solidFill>
              <a:ln w="12700">
                <a:solidFill>
                  <a:srgbClr val="000000"/>
                </a:solidFill>
                <a:prstDash val="solid"/>
              </a:ln>
            </c:spPr>
            <c:extLst>
              <c:ext xmlns:c16="http://schemas.microsoft.com/office/drawing/2014/chart" uri="{C3380CC4-5D6E-409C-BE32-E72D297353CC}">
                <c16:uniqueId val="{00000003-DFF9-48FF-8D16-EE3A2F476D83}"/>
              </c:ext>
            </c:extLst>
          </c:dPt>
          <c:dPt>
            <c:idx val="2"/>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5-DFF9-48FF-8D16-EE3A2F476D83}"/>
              </c:ext>
            </c:extLst>
          </c:dPt>
          <c:dPt>
            <c:idx val="3"/>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07-DFF9-48FF-8D16-EE3A2F476D83}"/>
              </c:ext>
            </c:extLst>
          </c:dPt>
          <c:dPt>
            <c:idx val="4"/>
            <c:bubble3D val="0"/>
            <c:spPr>
              <a:solidFill>
                <a:schemeClr val="accent1">
                  <a:lumMod val="50000"/>
                </a:schemeClr>
              </a:solidFill>
              <a:ln w="12700">
                <a:solidFill>
                  <a:srgbClr val="000000"/>
                </a:solidFill>
                <a:prstDash val="solid"/>
              </a:ln>
            </c:spPr>
            <c:extLst>
              <c:ext xmlns:c16="http://schemas.microsoft.com/office/drawing/2014/chart" uri="{C3380CC4-5D6E-409C-BE32-E72D297353CC}">
                <c16:uniqueId val="{00000009-DFF9-48FF-8D16-EE3A2F476D83}"/>
              </c:ext>
            </c:extLst>
          </c:dPt>
          <c:dPt>
            <c:idx val="5"/>
            <c:bubble3D val="0"/>
            <c:spPr>
              <a:solidFill>
                <a:srgbClr val="000000"/>
              </a:solidFill>
              <a:ln w="12700">
                <a:solidFill>
                  <a:srgbClr val="000000"/>
                </a:solidFill>
                <a:prstDash val="solid"/>
              </a:ln>
            </c:spPr>
            <c:extLst>
              <c:ext xmlns:c16="http://schemas.microsoft.com/office/drawing/2014/chart" uri="{C3380CC4-5D6E-409C-BE32-E72D297353CC}">
                <c16:uniqueId val="{0000000B-DFF9-48FF-8D16-EE3A2F476D83}"/>
              </c:ext>
            </c:extLst>
          </c:dPt>
          <c:cat>
            <c:strRef>
              <c:f>'Summary Tables'!$D$306:$H$306</c:f>
              <c:strCache>
                <c:ptCount val="5"/>
                <c:pt idx="0">
                  <c:v>Studio</c:v>
                </c:pt>
                <c:pt idx="1">
                  <c:v>1 bed</c:v>
                </c:pt>
                <c:pt idx="2">
                  <c:v>2 bed</c:v>
                </c:pt>
                <c:pt idx="3">
                  <c:v>3 bed</c:v>
                </c:pt>
                <c:pt idx="4">
                  <c:v>4 + bed</c:v>
                </c:pt>
              </c:strCache>
            </c:strRef>
          </c:cat>
          <c:val>
            <c:numRef>
              <c:f>'Summary Tables'!$D$313:$H$313</c:f>
              <c:numCache>
                <c:formatCode>#,##0</c:formatCode>
                <c:ptCount val="5"/>
                <c:pt idx="0">
                  <c:v>5</c:v>
                </c:pt>
                <c:pt idx="1">
                  <c:v>75</c:v>
                </c:pt>
                <c:pt idx="2">
                  <c:v>61</c:v>
                </c:pt>
                <c:pt idx="3">
                  <c:v>44</c:v>
                </c:pt>
                <c:pt idx="4">
                  <c:v>29</c:v>
                </c:pt>
              </c:numCache>
            </c:numRef>
          </c:val>
          <c:extLst>
            <c:ext xmlns:c16="http://schemas.microsoft.com/office/drawing/2014/chart" uri="{C3380CC4-5D6E-409C-BE32-E72D297353CC}">
              <c16:uniqueId val="{0000000C-DFF9-48FF-8D16-EE3A2F476D8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939714141949878"/>
          <c:y val="0.12337730510958858"/>
          <c:w val="0.32987964587328139"/>
          <c:h val="0.7532494801786140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12700">
      <a:solidFill>
        <a:srgbClr val="969696"/>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Housing Delivery</a:t>
            </a:r>
            <a:r>
              <a:rPr lang="en-GB" baseline="0"/>
              <a:t> Trajectory and Managed Target</a:t>
            </a:r>
            <a:endParaRPr lang="en-GB"/>
          </a:p>
        </c:rich>
      </c:tx>
      <c:overlay val="0"/>
    </c:title>
    <c:autoTitleDeleted val="0"/>
    <c:plotArea>
      <c:layout/>
      <c:barChart>
        <c:barDir val="col"/>
        <c:grouping val="clustered"/>
        <c:varyColors val="0"/>
        <c:ser>
          <c:idx val="0"/>
          <c:order val="0"/>
          <c:tx>
            <c:strRef>
              <c:f>Trajectory!$C$6</c:f>
              <c:strCache>
                <c:ptCount val="1"/>
                <c:pt idx="0">
                  <c:v>Past Completions</c:v>
                </c:pt>
              </c:strCache>
            </c:strRef>
          </c:tx>
          <c:spPr>
            <a:solidFill>
              <a:schemeClr val="tx2"/>
            </a:solidFill>
          </c:spPr>
          <c:invertIfNegative val="0"/>
          <c:dPt>
            <c:idx val="7"/>
            <c:invertIfNegative val="0"/>
            <c:bubble3D val="0"/>
            <c:spPr>
              <a:solidFill>
                <a:srgbClr val="00B0F0"/>
              </a:solidFill>
            </c:spPr>
            <c:extLst>
              <c:ext xmlns:c16="http://schemas.microsoft.com/office/drawing/2014/chart" uri="{C3380CC4-5D6E-409C-BE32-E72D297353CC}">
                <c16:uniqueId val="{00000000-1FC0-4752-9CA7-F7C197922B8E}"/>
              </c:ext>
            </c:extLst>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Trajectory!$D$4:$X$4</c:f>
              <c:strCache>
                <c:ptCount val="21"/>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pt idx="12">
                  <c:v>2023/24</c:v>
                </c:pt>
                <c:pt idx="13">
                  <c:v>2024/25</c:v>
                </c:pt>
                <c:pt idx="14">
                  <c:v>2025/26</c:v>
                </c:pt>
                <c:pt idx="15">
                  <c:v>2026/27</c:v>
                </c:pt>
                <c:pt idx="16">
                  <c:v>2027/28</c:v>
                </c:pt>
                <c:pt idx="17">
                  <c:v>2028/29</c:v>
                </c:pt>
                <c:pt idx="18">
                  <c:v>2029/30</c:v>
                </c:pt>
                <c:pt idx="19">
                  <c:v>2030/31</c:v>
                </c:pt>
                <c:pt idx="20">
                  <c:v>2031/32</c:v>
                </c:pt>
              </c:strCache>
            </c:strRef>
          </c:cat>
          <c:val>
            <c:numRef>
              <c:f>Trajectory!$D$6:$X$6</c:f>
              <c:numCache>
                <c:formatCode>General</c:formatCode>
                <c:ptCount val="21"/>
                <c:pt idx="0">
                  <c:v>208</c:v>
                </c:pt>
                <c:pt idx="1">
                  <c:v>695</c:v>
                </c:pt>
                <c:pt idx="2">
                  <c:v>235</c:v>
                </c:pt>
                <c:pt idx="3">
                  <c:v>304</c:v>
                </c:pt>
                <c:pt idx="4">
                  <c:v>491</c:v>
                </c:pt>
                <c:pt idx="5">
                  <c:v>460</c:v>
                </c:pt>
                <c:pt idx="6">
                  <c:v>382</c:v>
                </c:pt>
                <c:pt idx="7">
                  <c:v>419</c:v>
                </c:pt>
              </c:numCache>
            </c:numRef>
          </c:val>
          <c:extLst>
            <c:ext xmlns:c16="http://schemas.microsoft.com/office/drawing/2014/chart" uri="{C3380CC4-5D6E-409C-BE32-E72D297353CC}">
              <c16:uniqueId val="{00000000-A921-44C8-935A-14092AFC841C}"/>
            </c:ext>
          </c:extLst>
        </c:ser>
        <c:ser>
          <c:idx val="1"/>
          <c:order val="1"/>
          <c:tx>
            <c:strRef>
              <c:f>Trajectory!$C$7</c:f>
              <c:strCache>
                <c:ptCount val="1"/>
                <c:pt idx="0">
                  <c:v>Projected Completions</c:v>
                </c:pt>
              </c:strCache>
            </c:strRef>
          </c:tx>
          <c:spPr>
            <a:solidFill>
              <a:schemeClr val="accent1"/>
            </a:solidFill>
          </c:spPr>
          <c:invertIfNegative val="0"/>
          <c:dLbls>
            <c:numFmt formatCode="#,##0" sourceLinked="0"/>
            <c:spPr>
              <a:noFill/>
              <a:effectLst/>
            </c:spPr>
            <c:txPr>
              <a:bodyPr wrap="square" lIns="38100" tIns="19050" rIns="38100" bIns="19050" anchor="ctr">
                <a:spAutoFit/>
              </a:bodyPr>
              <a:lstStyle/>
              <a:p>
                <a:pPr>
                  <a:defRPr>
                    <a:solidFill>
                      <a:schemeClr val="tx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Trajectory!$D$4:$X$4</c:f>
              <c:strCache>
                <c:ptCount val="21"/>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pt idx="12">
                  <c:v>2023/24</c:v>
                </c:pt>
                <c:pt idx="13">
                  <c:v>2024/25</c:v>
                </c:pt>
                <c:pt idx="14">
                  <c:v>2025/26</c:v>
                </c:pt>
                <c:pt idx="15">
                  <c:v>2026/27</c:v>
                </c:pt>
                <c:pt idx="16">
                  <c:v>2027/28</c:v>
                </c:pt>
                <c:pt idx="17">
                  <c:v>2028/29</c:v>
                </c:pt>
                <c:pt idx="18">
                  <c:v>2029/30</c:v>
                </c:pt>
                <c:pt idx="19">
                  <c:v>2030/31</c:v>
                </c:pt>
                <c:pt idx="20">
                  <c:v>2031/32</c:v>
                </c:pt>
              </c:strCache>
            </c:strRef>
          </c:cat>
          <c:val>
            <c:numRef>
              <c:f>Trajectory!$D$7:$X$7</c:f>
              <c:numCache>
                <c:formatCode>#,##0</c:formatCode>
                <c:ptCount val="21"/>
                <c:pt idx="8" formatCode="0">
                  <c:v>303</c:v>
                </c:pt>
                <c:pt idx="9" formatCode="0">
                  <c:v>310.59999999999997</c:v>
                </c:pt>
                <c:pt idx="10" formatCode="0">
                  <c:v>247.85000000000014</c:v>
                </c:pt>
                <c:pt idx="11" formatCode="0">
                  <c:v>235.85</c:v>
                </c:pt>
                <c:pt idx="12">
                  <c:v>375.35</c:v>
                </c:pt>
                <c:pt idx="13">
                  <c:v>304.35000000000002</c:v>
                </c:pt>
                <c:pt idx="14">
                  <c:v>521</c:v>
                </c:pt>
                <c:pt idx="15">
                  <c:v>461</c:v>
                </c:pt>
                <c:pt idx="16">
                  <c:v>461</c:v>
                </c:pt>
                <c:pt idx="17">
                  <c:v>401</c:v>
                </c:pt>
                <c:pt idx="18">
                  <c:v>401</c:v>
                </c:pt>
                <c:pt idx="19">
                  <c:v>315</c:v>
                </c:pt>
                <c:pt idx="20">
                  <c:v>315</c:v>
                </c:pt>
              </c:numCache>
            </c:numRef>
          </c:val>
          <c:extLst>
            <c:ext xmlns:c16="http://schemas.microsoft.com/office/drawing/2014/chart" uri="{C3380CC4-5D6E-409C-BE32-E72D297353CC}">
              <c16:uniqueId val="{00000001-A921-44C8-935A-14092AFC841C}"/>
            </c:ext>
          </c:extLst>
        </c:ser>
        <c:dLbls>
          <c:showLegendKey val="0"/>
          <c:showVal val="0"/>
          <c:showCatName val="0"/>
          <c:showSerName val="0"/>
          <c:showPercent val="0"/>
          <c:showBubbleSize val="0"/>
        </c:dLbls>
        <c:gapWidth val="100"/>
        <c:overlap val="100"/>
        <c:axId val="320841984"/>
        <c:axId val="320852352"/>
      </c:barChart>
      <c:lineChart>
        <c:grouping val="standard"/>
        <c:varyColors val="0"/>
        <c:ser>
          <c:idx val="2"/>
          <c:order val="2"/>
          <c:tx>
            <c:strRef>
              <c:f>Trajectory!$C$9</c:f>
              <c:strCache>
                <c:ptCount val="1"/>
                <c:pt idx="0">
                  <c:v>Annual Target</c:v>
                </c:pt>
              </c:strCache>
            </c:strRef>
          </c:tx>
          <c:spPr>
            <a:ln>
              <a:solidFill>
                <a:schemeClr val="accent6">
                  <a:lumMod val="50000"/>
                </a:schemeClr>
              </a:solidFill>
            </a:ln>
          </c:spPr>
          <c:marker>
            <c:symbol val="none"/>
          </c:marker>
          <c:cat>
            <c:strRef>
              <c:f>Trajectory!$D$4:$X$4</c:f>
              <c:strCache>
                <c:ptCount val="21"/>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pt idx="12">
                  <c:v>2023/24</c:v>
                </c:pt>
                <c:pt idx="13">
                  <c:v>2024/25</c:v>
                </c:pt>
                <c:pt idx="14">
                  <c:v>2025/26</c:v>
                </c:pt>
                <c:pt idx="15">
                  <c:v>2026/27</c:v>
                </c:pt>
                <c:pt idx="16">
                  <c:v>2027/28</c:v>
                </c:pt>
                <c:pt idx="17">
                  <c:v>2028/29</c:v>
                </c:pt>
                <c:pt idx="18">
                  <c:v>2029/30</c:v>
                </c:pt>
                <c:pt idx="19">
                  <c:v>2030/31</c:v>
                </c:pt>
                <c:pt idx="20">
                  <c:v>2031/32</c:v>
                </c:pt>
              </c:strCache>
            </c:strRef>
          </c:cat>
          <c:val>
            <c:numRef>
              <c:f>Trajectory!$D$14:$X$14</c:f>
              <c:numCache>
                <c:formatCode>General</c:formatCode>
                <c:ptCount val="21"/>
                <c:pt idx="4">
                  <c:v>315</c:v>
                </c:pt>
                <c:pt idx="5">
                  <c:v>315</c:v>
                </c:pt>
                <c:pt idx="6">
                  <c:v>315</c:v>
                </c:pt>
                <c:pt idx="7">
                  <c:v>315</c:v>
                </c:pt>
                <c:pt idx="8">
                  <c:v>315</c:v>
                </c:pt>
                <c:pt idx="9">
                  <c:v>315</c:v>
                </c:pt>
                <c:pt idx="10">
                  <c:v>315</c:v>
                </c:pt>
                <c:pt idx="11">
                  <c:v>315</c:v>
                </c:pt>
                <c:pt idx="12">
                  <c:v>315</c:v>
                </c:pt>
                <c:pt idx="13">
                  <c:v>315</c:v>
                </c:pt>
                <c:pt idx="14">
                  <c:v>315</c:v>
                </c:pt>
                <c:pt idx="15">
                  <c:v>315</c:v>
                </c:pt>
                <c:pt idx="16">
                  <c:v>315</c:v>
                </c:pt>
                <c:pt idx="17">
                  <c:v>315</c:v>
                </c:pt>
                <c:pt idx="18">
                  <c:v>315</c:v>
                </c:pt>
                <c:pt idx="19">
                  <c:v>315</c:v>
                </c:pt>
                <c:pt idx="20">
                  <c:v>315</c:v>
                </c:pt>
              </c:numCache>
            </c:numRef>
          </c:val>
          <c:smooth val="0"/>
          <c:extLst>
            <c:ext xmlns:c16="http://schemas.microsoft.com/office/drawing/2014/chart" uri="{C3380CC4-5D6E-409C-BE32-E72D297353CC}">
              <c16:uniqueId val="{00000002-A921-44C8-935A-14092AFC841C}"/>
            </c:ext>
          </c:extLst>
        </c:ser>
        <c:ser>
          <c:idx val="3"/>
          <c:order val="3"/>
          <c:tx>
            <c:strRef>
              <c:f>Trajectory!$C$12</c:f>
              <c:strCache>
                <c:ptCount val="1"/>
                <c:pt idx="0">
                  <c:v>Managed Annual Target incorporating Past and Projected Completions</c:v>
                </c:pt>
              </c:strCache>
            </c:strRef>
          </c:tx>
          <c:spPr>
            <a:ln>
              <a:solidFill>
                <a:schemeClr val="accent6"/>
              </a:solidFill>
              <a:prstDash val="solid"/>
            </a:ln>
          </c:spPr>
          <c:marker>
            <c:symbol val="none"/>
          </c:marker>
          <c:cat>
            <c:strRef>
              <c:f>Trajectory!$D$4:$X$4</c:f>
              <c:strCache>
                <c:ptCount val="21"/>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pt idx="12">
                  <c:v>2023/24</c:v>
                </c:pt>
                <c:pt idx="13">
                  <c:v>2024/25</c:v>
                </c:pt>
                <c:pt idx="14">
                  <c:v>2025/26</c:v>
                </c:pt>
                <c:pt idx="15">
                  <c:v>2026/27</c:v>
                </c:pt>
                <c:pt idx="16">
                  <c:v>2027/28</c:v>
                </c:pt>
                <c:pt idx="17">
                  <c:v>2028/29</c:v>
                </c:pt>
                <c:pt idx="18">
                  <c:v>2029/30</c:v>
                </c:pt>
                <c:pt idx="19">
                  <c:v>2030/31</c:v>
                </c:pt>
                <c:pt idx="20">
                  <c:v>2031/32</c:v>
                </c:pt>
              </c:strCache>
            </c:strRef>
          </c:cat>
          <c:val>
            <c:numRef>
              <c:f>Trajectory!$D$13:$X$13</c:f>
              <c:numCache>
                <c:formatCode>General</c:formatCode>
                <c:ptCount val="21"/>
                <c:pt idx="4" formatCode="#,##0">
                  <c:v>315</c:v>
                </c:pt>
                <c:pt idx="5" formatCode="#,##0">
                  <c:v>295.44444444444446</c:v>
                </c:pt>
                <c:pt idx="6" formatCode="#,##0">
                  <c:v>274.875</c:v>
                </c:pt>
                <c:pt idx="7" formatCode="#,##0">
                  <c:v>259.57142857142856</c:v>
                </c:pt>
                <c:pt idx="8" formatCode="#,##0">
                  <c:v>233</c:v>
                </c:pt>
                <c:pt idx="9" formatCode="#,##0">
                  <c:v>219</c:v>
                </c:pt>
                <c:pt idx="10" formatCode="#,##0">
                  <c:v>196.10000000000002</c:v>
                </c:pt>
                <c:pt idx="11" formatCode="#,##0">
                  <c:v>178.85000000000005</c:v>
                </c:pt>
                <c:pt idx="12" formatCode="#,##0">
                  <c:v>150.35000000000014</c:v>
                </c:pt>
                <c:pt idx="13" formatCode="#,##0">
                  <c:v>0</c:v>
                </c:pt>
                <c:pt idx="14" formatCode="#,##0">
                  <c:v>0</c:v>
                </c:pt>
              </c:numCache>
            </c:numRef>
          </c:val>
          <c:smooth val="0"/>
          <c:extLst>
            <c:ext xmlns:c16="http://schemas.microsoft.com/office/drawing/2014/chart" uri="{C3380CC4-5D6E-409C-BE32-E72D297353CC}">
              <c16:uniqueId val="{00000003-A921-44C8-935A-14092AFC841C}"/>
            </c:ext>
          </c:extLst>
        </c:ser>
        <c:dLbls>
          <c:showLegendKey val="0"/>
          <c:showVal val="0"/>
          <c:showCatName val="0"/>
          <c:showSerName val="0"/>
          <c:showPercent val="0"/>
          <c:showBubbleSize val="0"/>
        </c:dLbls>
        <c:marker val="1"/>
        <c:smooth val="0"/>
        <c:axId val="320841984"/>
        <c:axId val="320852352"/>
      </c:lineChart>
      <c:catAx>
        <c:axId val="320841984"/>
        <c:scaling>
          <c:orientation val="minMax"/>
        </c:scaling>
        <c:delete val="0"/>
        <c:axPos val="b"/>
        <c:title>
          <c:tx>
            <c:rich>
              <a:bodyPr/>
              <a:lstStyle/>
              <a:p>
                <a:pPr>
                  <a:defRPr/>
                </a:pPr>
                <a:r>
                  <a:rPr lang="en-GB"/>
                  <a:t>Year</a:t>
                </a:r>
              </a:p>
            </c:rich>
          </c:tx>
          <c:overlay val="0"/>
        </c:title>
        <c:numFmt formatCode="General" sourceLinked="0"/>
        <c:majorTickMark val="out"/>
        <c:minorTickMark val="none"/>
        <c:tickLblPos val="nextTo"/>
        <c:crossAx val="320852352"/>
        <c:crosses val="autoZero"/>
        <c:auto val="1"/>
        <c:lblAlgn val="ctr"/>
        <c:lblOffset val="100"/>
        <c:noMultiLvlLbl val="0"/>
      </c:catAx>
      <c:valAx>
        <c:axId val="320852352"/>
        <c:scaling>
          <c:orientation val="minMax"/>
          <c:max val="700"/>
        </c:scaling>
        <c:delete val="0"/>
        <c:axPos val="l"/>
        <c:majorGridlines>
          <c:spPr>
            <a:ln>
              <a:noFill/>
            </a:ln>
          </c:spPr>
        </c:majorGridlines>
        <c:title>
          <c:tx>
            <c:rich>
              <a:bodyPr rot="-5400000" vert="horz"/>
              <a:lstStyle/>
              <a:p>
                <a:pPr>
                  <a:defRPr/>
                </a:pPr>
                <a:r>
                  <a:rPr lang="en-GB"/>
                  <a:t>Dwellings</a:t>
                </a:r>
              </a:p>
            </c:rich>
          </c:tx>
          <c:overlay val="0"/>
        </c:title>
        <c:numFmt formatCode="General" sourceLinked="1"/>
        <c:majorTickMark val="out"/>
        <c:minorTickMark val="none"/>
        <c:tickLblPos val="nextTo"/>
        <c:crossAx val="320841984"/>
        <c:crosses val="autoZero"/>
        <c:crossBetween val="between"/>
      </c:valAx>
    </c:plotArea>
    <c:legend>
      <c:legendPos val="b"/>
      <c:overlay val="0"/>
    </c:legend>
    <c:plotVisOnly val="1"/>
    <c:dispBlanksAs val="gap"/>
    <c:showDLblsOverMax val="0"/>
  </c:chart>
  <c:spPr>
    <a:ln w="12700">
      <a:solidFill>
        <a:schemeClr val="tx1"/>
      </a:solidFill>
    </a:ln>
  </c:spPr>
  <c:txPr>
    <a:bodyPr/>
    <a:lstStyle/>
    <a:p>
      <a:pPr>
        <a:defRPr sz="9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Housing Delivery above or below</a:t>
            </a:r>
            <a:r>
              <a:rPr lang="en-US" baseline="0"/>
              <a:t> the Target over Time</a:t>
            </a:r>
            <a:endParaRPr lang="en-US"/>
          </a:p>
        </c:rich>
      </c:tx>
      <c:overlay val="0"/>
    </c:title>
    <c:autoTitleDeleted val="0"/>
    <c:plotArea>
      <c:layout>
        <c:manualLayout>
          <c:layoutTarget val="inner"/>
          <c:xMode val="edge"/>
          <c:yMode val="edge"/>
          <c:x val="4.8897675344230042E-2"/>
          <c:y val="0.10493766404199475"/>
          <c:w val="0.94061114678261781"/>
          <c:h val="0.6906522309711286"/>
        </c:manualLayout>
      </c:layout>
      <c:lineChart>
        <c:grouping val="standard"/>
        <c:varyColors val="0"/>
        <c:ser>
          <c:idx val="0"/>
          <c:order val="0"/>
          <c:tx>
            <c:strRef>
              <c:f>Trajectory!$C$11</c:f>
              <c:strCache>
                <c:ptCount val="1"/>
                <c:pt idx="0">
                  <c:v>Cumulative Completions above Cumulative Target</c:v>
                </c:pt>
              </c:strCache>
            </c:strRef>
          </c:tx>
          <c:spPr>
            <a:ln>
              <a:solidFill>
                <a:schemeClr val="tx2"/>
              </a:solidFill>
            </a:ln>
          </c:spPr>
          <c:marker>
            <c:symbol val="none"/>
          </c:marker>
          <c:cat>
            <c:strRef>
              <c:f>Trajectory!$H$4:$X$4</c:f>
              <c:strCache>
                <c:ptCount val="17"/>
                <c:pt idx="0">
                  <c:v>2015/16</c:v>
                </c:pt>
                <c:pt idx="1">
                  <c:v>2016/17</c:v>
                </c:pt>
                <c:pt idx="2">
                  <c:v>2017/18</c:v>
                </c:pt>
                <c:pt idx="3">
                  <c:v>2018/19</c:v>
                </c:pt>
                <c:pt idx="4">
                  <c:v>2019/20</c:v>
                </c:pt>
                <c:pt idx="5">
                  <c:v>2020/21</c:v>
                </c:pt>
                <c:pt idx="6">
                  <c:v>2021/22</c:v>
                </c:pt>
                <c:pt idx="7">
                  <c:v>2022/23</c:v>
                </c:pt>
                <c:pt idx="8">
                  <c:v>2023/24</c:v>
                </c:pt>
                <c:pt idx="9">
                  <c:v>2024/25</c:v>
                </c:pt>
                <c:pt idx="10">
                  <c:v>2025/26</c:v>
                </c:pt>
                <c:pt idx="11">
                  <c:v>2026/27</c:v>
                </c:pt>
                <c:pt idx="12">
                  <c:v>2027/28</c:v>
                </c:pt>
                <c:pt idx="13">
                  <c:v>2028/29</c:v>
                </c:pt>
                <c:pt idx="14">
                  <c:v>2029/30</c:v>
                </c:pt>
                <c:pt idx="15">
                  <c:v>2030/31</c:v>
                </c:pt>
                <c:pt idx="16">
                  <c:v>2031/32</c:v>
                </c:pt>
              </c:strCache>
            </c:strRef>
          </c:cat>
          <c:val>
            <c:numRef>
              <c:f>Trajectory!$H$11:$X$11</c:f>
              <c:numCache>
                <c:formatCode>#,##0</c:formatCode>
                <c:ptCount val="17"/>
                <c:pt idx="0">
                  <c:v>176</c:v>
                </c:pt>
                <c:pt idx="1">
                  <c:v>321</c:v>
                </c:pt>
                <c:pt idx="2">
                  <c:v>388</c:v>
                </c:pt>
                <c:pt idx="3">
                  <c:v>492</c:v>
                </c:pt>
                <c:pt idx="4">
                  <c:v>480</c:v>
                </c:pt>
                <c:pt idx="5">
                  <c:v>475.59999999999991</c:v>
                </c:pt>
                <c:pt idx="6">
                  <c:v>408.44999999999982</c:v>
                </c:pt>
                <c:pt idx="7">
                  <c:v>329.29999999999973</c:v>
                </c:pt>
                <c:pt idx="8">
                  <c:v>389.64999999999964</c:v>
                </c:pt>
                <c:pt idx="9">
                  <c:v>378.99999999999955</c:v>
                </c:pt>
                <c:pt idx="10">
                  <c:v>584.99999999999955</c:v>
                </c:pt>
                <c:pt idx="11">
                  <c:v>731</c:v>
                </c:pt>
                <c:pt idx="12">
                  <c:v>877</c:v>
                </c:pt>
                <c:pt idx="13">
                  <c:v>963</c:v>
                </c:pt>
                <c:pt idx="14">
                  <c:v>1049</c:v>
                </c:pt>
                <c:pt idx="15">
                  <c:v>1049</c:v>
                </c:pt>
                <c:pt idx="16">
                  <c:v>1049</c:v>
                </c:pt>
              </c:numCache>
            </c:numRef>
          </c:val>
          <c:smooth val="0"/>
          <c:extLst>
            <c:ext xmlns:c16="http://schemas.microsoft.com/office/drawing/2014/chart" uri="{C3380CC4-5D6E-409C-BE32-E72D297353CC}">
              <c16:uniqueId val="{00000000-EC27-4772-97B1-15F4EC81DEC1}"/>
            </c:ext>
          </c:extLst>
        </c:ser>
        <c:dLbls>
          <c:showLegendKey val="0"/>
          <c:showVal val="0"/>
          <c:showCatName val="0"/>
          <c:showSerName val="0"/>
          <c:showPercent val="0"/>
          <c:showBubbleSize val="0"/>
        </c:dLbls>
        <c:smooth val="0"/>
        <c:axId val="320887808"/>
        <c:axId val="320898176"/>
      </c:lineChart>
      <c:catAx>
        <c:axId val="320887808"/>
        <c:scaling>
          <c:orientation val="minMax"/>
        </c:scaling>
        <c:delete val="0"/>
        <c:axPos val="b"/>
        <c:title>
          <c:tx>
            <c:rich>
              <a:bodyPr/>
              <a:lstStyle/>
              <a:p>
                <a:pPr>
                  <a:defRPr/>
                </a:pPr>
                <a:r>
                  <a:rPr lang="en-GB"/>
                  <a:t>Year</a:t>
                </a:r>
              </a:p>
            </c:rich>
          </c:tx>
          <c:overlay val="0"/>
        </c:title>
        <c:numFmt formatCode="General" sourceLinked="0"/>
        <c:majorTickMark val="out"/>
        <c:minorTickMark val="none"/>
        <c:tickLblPos val="low"/>
        <c:spPr>
          <a:noFill/>
          <a:ln w="19050">
            <a:solidFill>
              <a:schemeClr val="bg1">
                <a:lumMod val="50000"/>
              </a:schemeClr>
            </a:solidFill>
          </a:ln>
        </c:spPr>
        <c:crossAx val="320898176"/>
        <c:crosses val="autoZero"/>
        <c:auto val="1"/>
        <c:lblAlgn val="ctr"/>
        <c:lblOffset val="100"/>
        <c:noMultiLvlLbl val="0"/>
      </c:catAx>
      <c:valAx>
        <c:axId val="320898176"/>
        <c:scaling>
          <c:orientation val="minMax"/>
        </c:scaling>
        <c:delete val="0"/>
        <c:axPos val="l"/>
        <c:majorGridlines>
          <c:spPr>
            <a:ln>
              <a:solidFill>
                <a:schemeClr val="bg1">
                  <a:lumMod val="75000"/>
                </a:schemeClr>
              </a:solidFill>
            </a:ln>
          </c:spPr>
        </c:majorGridlines>
        <c:title>
          <c:tx>
            <c:rich>
              <a:bodyPr rot="-5400000" vert="horz"/>
              <a:lstStyle/>
              <a:p>
                <a:pPr>
                  <a:defRPr/>
                </a:pPr>
                <a:r>
                  <a:rPr lang="en-GB"/>
                  <a:t>Net Dwellings</a:t>
                </a:r>
              </a:p>
            </c:rich>
          </c:tx>
          <c:overlay val="0"/>
        </c:title>
        <c:numFmt formatCode="#,##0" sourceLinked="1"/>
        <c:majorTickMark val="out"/>
        <c:minorTickMark val="none"/>
        <c:tickLblPos val="nextTo"/>
        <c:crossAx val="320887808"/>
        <c:crosses val="autoZero"/>
        <c:crossBetween val="between"/>
      </c:valAx>
    </c:plotArea>
    <c:legend>
      <c:legendPos val="b"/>
      <c:overlay val="0"/>
    </c:legend>
    <c:plotVisOnly val="1"/>
    <c:dispBlanksAs val="gap"/>
    <c:showDLblsOverMax val="0"/>
  </c:chart>
  <c:spPr>
    <a:ln w="12700">
      <a:solidFill>
        <a:schemeClr val="tx1"/>
      </a:solidFill>
    </a:ln>
  </c:spPr>
  <c:txPr>
    <a:bodyPr/>
    <a:lstStyle/>
    <a:p>
      <a:pPr>
        <a:defRPr sz="9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243369734789394E-2"/>
          <c:y val="5.8823754686560537E-2"/>
          <c:w val="0.90795631825273015"/>
          <c:h val="0.81348429272427891"/>
        </c:manualLayout>
      </c:layout>
      <c:barChart>
        <c:barDir val="col"/>
        <c:grouping val="stacked"/>
        <c:varyColors val="0"/>
        <c:ser>
          <c:idx val="0"/>
          <c:order val="0"/>
          <c:tx>
            <c:strRef>
              <c:f>'Summary Tables'!$C$84</c:f>
              <c:strCache>
                <c:ptCount val="1"/>
                <c:pt idx="0">
                  <c:v> Completions</c:v>
                </c:pt>
              </c:strCache>
            </c:strRef>
          </c:tx>
          <c:spPr>
            <a:solidFill>
              <a:srgbClr val="0070C0"/>
            </a:solidFill>
            <a:ln w="63500">
              <a:solidFill>
                <a:srgbClr val="0070C0"/>
              </a:solidFill>
              <a:prstDash val="solid"/>
              <a:miter lim="800000"/>
            </a:ln>
          </c:spPr>
          <c:invertIfNegative val="0"/>
          <c:cat>
            <c:strRef>
              <c:f>'Summary Tables'!$B$85:$B$102</c:f>
              <c:strCache>
                <c:ptCount val="18"/>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strCache>
            </c:strRef>
          </c:cat>
          <c:val>
            <c:numRef>
              <c:f>'Summary Tables'!$C$85:$C$102</c:f>
              <c:numCache>
                <c:formatCode>#,##0</c:formatCode>
                <c:ptCount val="18"/>
                <c:pt idx="0">
                  <c:v>160</c:v>
                </c:pt>
                <c:pt idx="1">
                  <c:v>319</c:v>
                </c:pt>
                <c:pt idx="2">
                  <c:v>246</c:v>
                </c:pt>
                <c:pt idx="3">
                  <c:v>582</c:v>
                </c:pt>
                <c:pt idx="4">
                  <c:v>842</c:v>
                </c:pt>
                <c:pt idx="5">
                  <c:v>230</c:v>
                </c:pt>
                <c:pt idx="6">
                  <c:v>260</c:v>
                </c:pt>
                <c:pt idx="7">
                  <c:v>436</c:v>
                </c:pt>
                <c:pt idx="8">
                  <c:v>145</c:v>
                </c:pt>
                <c:pt idx="9">
                  <c:v>399</c:v>
                </c:pt>
                <c:pt idx="10">
                  <c:v>208</c:v>
                </c:pt>
                <c:pt idx="11">
                  <c:v>695</c:v>
                </c:pt>
                <c:pt idx="12">
                  <c:v>235</c:v>
                </c:pt>
                <c:pt idx="13">
                  <c:v>304</c:v>
                </c:pt>
                <c:pt idx="14">
                  <c:v>491</c:v>
                </c:pt>
                <c:pt idx="15">
                  <c:v>460</c:v>
                </c:pt>
                <c:pt idx="16">
                  <c:v>382</c:v>
                </c:pt>
                <c:pt idx="17">
                  <c:v>419</c:v>
                </c:pt>
              </c:numCache>
            </c:numRef>
          </c:val>
          <c:extLst>
            <c:ext xmlns:c16="http://schemas.microsoft.com/office/drawing/2014/chart" uri="{C3380CC4-5D6E-409C-BE32-E72D297353CC}">
              <c16:uniqueId val="{00000000-9AA6-424F-AD63-C887B7548F32}"/>
            </c:ext>
          </c:extLst>
        </c:ser>
        <c:dLbls>
          <c:showLegendKey val="0"/>
          <c:showVal val="0"/>
          <c:showCatName val="0"/>
          <c:showSerName val="0"/>
          <c:showPercent val="0"/>
          <c:showBubbleSize val="0"/>
        </c:dLbls>
        <c:gapWidth val="78"/>
        <c:overlap val="100"/>
        <c:axId val="261322240"/>
        <c:axId val="261323776"/>
      </c:barChart>
      <c:catAx>
        <c:axId val="261322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1320000" vert="horz"/>
          <a:lstStyle/>
          <a:p>
            <a:pPr>
              <a:defRPr sz="800" b="0" i="0" u="none" strike="noStrike" baseline="0">
                <a:solidFill>
                  <a:srgbClr val="000000"/>
                </a:solidFill>
                <a:latin typeface="Arial"/>
                <a:ea typeface="Arial"/>
                <a:cs typeface="Arial"/>
              </a:defRPr>
            </a:pPr>
            <a:endParaRPr lang="en-US"/>
          </a:p>
        </c:txPr>
        <c:crossAx val="261323776"/>
        <c:crosses val="autoZero"/>
        <c:auto val="1"/>
        <c:lblAlgn val="ctr"/>
        <c:lblOffset val="100"/>
        <c:noMultiLvlLbl val="0"/>
      </c:catAx>
      <c:valAx>
        <c:axId val="261323776"/>
        <c:scaling>
          <c:orientation val="minMax"/>
        </c:scaling>
        <c:delete val="0"/>
        <c:axPos val="l"/>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1322240"/>
        <c:crosses val="autoZero"/>
        <c:crossBetween val="between"/>
      </c:valAx>
      <c:spPr>
        <a:noFill/>
        <a:ln w="12700">
          <a:noFill/>
          <a:prstDash val="solid"/>
        </a:ln>
      </c:spPr>
    </c:plotArea>
    <c:legend>
      <c:legendPos val="r"/>
      <c:layout>
        <c:manualLayout>
          <c:xMode val="edge"/>
          <c:yMode val="edge"/>
          <c:x val="7.102630086548628E-2"/>
          <c:y val="6.3268613162485124E-2"/>
          <c:w val="0.10975597105736376"/>
          <c:h val="7.750639865668965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chemeClr val="tx1"/>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3362720710506"/>
          <c:y val="6.9767441860465115E-2"/>
          <c:w val="0.86111344703083503"/>
          <c:h val="0.78604651162790695"/>
        </c:manualLayout>
      </c:layout>
      <c:barChart>
        <c:barDir val="col"/>
        <c:grouping val="stacked"/>
        <c:varyColors val="0"/>
        <c:ser>
          <c:idx val="0"/>
          <c:order val="0"/>
          <c:tx>
            <c:strRef>
              <c:f>'Summary Tables'!$B$106</c:f>
              <c:strCache>
                <c:ptCount val="1"/>
                <c:pt idx="0">
                  <c:v> New Build</c:v>
                </c:pt>
              </c:strCache>
            </c:strRef>
          </c:tx>
          <c:spPr>
            <a:solidFill>
              <a:srgbClr val="669900"/>
            </a:solidFill>
            <a:ln w="63500">
              <a:solidFill>
                <a:srgbClr val="669900"/>
              </a:solidFill>
              <a:prstDash val="solid"/>
              <a:miter lim="800000"/>
            </a:ln>
          </c:spPr>
          <c:invertIfNegative val="0"/>
          <c:cat>
            <c:strRef>
              <c:f>'Summary Tables'!$D$105:$F$105</c:f>
              <c:strCache>
                <c:ptCount val="3"/>
                <c:pt idx="0">
                  <c:v>Permissions</c:v>
                </c:pt>
                <c:pt idx="1">
                  <c:v>Starts</c:v>
                </c:pt>
                <c:pt idx="2">
                  <c:v>Completions</c:v>
                </c:pt>
              </c:strCache>
            </c:strRef>
          </c:cat>
          <c:val>
            <c:numRef>
              <c:f>'Summary Tables'!$D$106:$F$106</c:f>
              <c:numCache>
                <c:formatCode>#,##0</c:formatCode>
                <c:ptCount val="3"/>
                <c:pt idx="0">
                  <c:v>183</c:v>
                </c:pt>
                <c:pt idx="1">
                  <c:v>624</c:v>
                </c:pt>
                <c:pt idx="2">
                  <c:v>187</c:v>
                </c:pt>
              </c:numCache>
            </c:numRef>
          </c:val>
          <c:extLst>
            <c:ext xmlns:c16="http://schemas.microsoft.com/office/drawing/2014/chart" uri="{C3380CC4-5D6E-409C-BE32-E72D297353CC}">
              <c16:uniqueId val="{00000000-2207-4CE4-9744-A6FC6728C38F}"/>
            </c:ext>
          </c:extLst>
        </c:ser>
        <c:ser>
          <c:idx val="1"/>
          <c:order val="1"/>
          <c:tx>
            <c:strRef>
              <c:f>'Summary Tables'!$B$107</c:f>
              <c:strCache>
                <c:ptCount val="1"/>
                <c:pt idx="0">
                  <c:v> Conversions</c:v>
                </c:pt>
              </c:strCache>
            </c:strRef>
          </c:tx>
          <c:spPr>
            <a:solidFill>
              <a:srgbClr val="0070C0"/>
            </a:solidFill>
            <a:ln w="63500">
              <a:solidFill>
                <a:srgbClr val="0070C0"/>
              </a:solidFill>
              <a:prstDash val="solid"/>
              <a:miter lim="800000"/>
            </a:ln>
          </c:spPr>
          <c:invertIfNegative val="0"/>
          <c:cat>
            <c:strRef>
              <c:f>'Summary Tables'!$D$105:$F$105</c:f>
              <c:strCache>
                <c:ptCount val="3"/>
                <c:pt idx="0">
                  <c:v>Permissions</c:v>
                </c:pt>
                <c:pt idx="1">
                  <c:v>Starts</c:v>
                </c:pt>
                <c:pt idx="2">
                  <c:v>Completions</c:v>
                </c:pt>
              </c:strCache>
            </c:strRef>
          </c:cat>
          <c:val>
            <c:numRef>
              <c:f>'Summary Tables'!$D$107:$F$107</c:f>
              <c:numCache>
                <c:formatCode>#,##0</c:formatCode>
                <c:ptCount val="3"/>
                <c:pt idx="0">
                  <c:v>131</c:v>
                </c:pt>
                <c:pt idx="1">
                  <c:v>85</c:v>
                </c:pt>
                <c:pt idx="2">
                  <c:v>232</c:v>
                </c:pt>
              </c:numCache>
            </c:numRef>
          </c:val>
          <c:extLst>
            <c:ext xmlns:c16="http://schemas.microsoft.com/office/drawing/2014/chart" uri="{C3380CC4-5D6E-409C-BE32-E72D297353CC}">
              <c16:uniqueId val="{00000001-2207-4CE4-9744-A6FC6728C38F}"/>
            </c:ext>
          </c:extLst>
        </c:ser>
        <c:dLbls>
          <c:showLegendKey val="0"/>
          <c:showVal val="0"/>
          <c:showCatName val="0"/>
          <c:showSerName val="0"/>
          <c:showPercent val="0"/>
          <c:showBubbleSize val="0"/>
        </c:dLbls>
        <c:gapWidth val="56"/>
        <c:overlap val="100"/>
        <c:axId val="297787776"/>
        <c:axId val="297789312"/>
      </c:barChart>
      <c:catAx>
        <c:axId val="297787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97789312"/>
        <c:crosses val="autoZero"/>
        <c:auto val="1"/>
        <c:lblAlgn val="ctr"/>
        <c:lblOffset val="100"/>
        <c:tickLblSkip val="1"/>
        <c:tickMarkSkip val="1"/>
        <c:noMultiLvlLbl val="0"/>
      </c:catAx>
      <c:valAx>
        <c:axId val="297789312"/>
        <c:scaling>
          <c:orientation val="minMax"/>
        </c:scaling>
        <c:delete val="0"/>
        <c:axPos val="l"/>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297787776"/>
        <c:crosses val="autoZero"/>
        <c:crossBetween val="between"/>
      </c:valAx>
      <c:spPr>
        <a:noFill/>
        <a:ln w="3175">
          <a:solidFill>
            <a:srgbClr val="969696"/>
          </a:solidFill>
          <a:prstDash val="solid"/>
        </a:ln>
      </c:spPr>
    </c:plotArea>
    <c:legend>
      <c:legendPos val="r"/>
      <c:layout>
        <c:manualLayout>
          <c:xMode val="edge"/>
          <c:yMode val="edge"/>
          <c:x val="0.74328210544236251"/>
          <c:y val="7.6579939195680249E-2"/>
          <c:w val="0.22108306951419729"/>
          <c:h val="0.1950445475160142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3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GB" sz="900" b="1"/>
              <a:t>Dwelling </a:t>
            </a:r>
            <a:r>
              <a:rPr lang="en-GB" sz="900" b="1" baseline="0"/>
              <a:t>Size of Net Completions in 2018/19 (All tenures)</a:t>
            </a:r>
            <a:endParaRPr lang="en-GB" sz="900" b="1"/>
          </a:p>
        </c:rich>
      </c:tx>
      <c:layout>
        <c:manualLayout>
          <c:xMode val="edge"/>
          <c:yMode val="edge"/>
          <c:x val="0.24331769806643258"/>
          <c:y val="1.6425863093670771E-2"/>
        </c:manualLayout>
      </c:layout>
      <c:overlay val="0"/>
    </c:title>
    <c:autoTitleDeleted val="0"/>
    <c:plotArea>
      <c:layout>
        <c:manualLayout>
          <c:layoutTarget val="inner"/>
          <c:xMode val="edge"/>
          <c:yMode val="edge"/>
          <c:x val="0.10406571332698999"/>
          <c:y val="0.11901703731972575"/>
          <c:w val="0.86596894923846879"/>
          <c:h val="0.7715330980126005"/>
        </c:manualLayout>
      </c:layout>
      <c:barChart>
        <c:barDir val="col"/>
        <c:grouping val="stacked"/>
        <c:varyColors val="0"/>
        <c:ser>
          <c:idx val="2"/>
          <c:order val="0"/>
          <c:tx>
            <c:strRef>
              <c:f>'Summary Tables'!$F$167:$G$167</c:f>
              <c:strCache>
                <c:ptCount val="1"/>
                <c:pt idx="0">
                  <c:v>Prior Approvals</c:v>
                </c:pt>
              </c:strCache>
            </c:strRef>
          </c:tx>
          <c:spPr>
            <a:solidFill>
              <a:schemeClr val="tx2">
                <a:lumMod val="60000"/>
                <a:lumOff val="40000"/>
              </a:schemeClr>
            </a:solidFill>
            <a:ln w="12700">
              <a:solidFill>
                <a:schemeClr val="tx2"/>
              </a:solidFill>
            </a:ln>
          </c:spPr>
          <c:invertIfNegative val="0"/>
          <c:cat>
            <c:strRef>
              <c:f>'Summary Tables'!$B$168:$C$172</c:f>
              <c:strCache>
                <c:ptCount val="5"/>
                <c:pt idx="0">
                  <c:v>Studio </c:v>
                </c:pt>
                <c:pt idx="1">
                  <c:v>1 bed </c:v>
                </c:pt>
                <c:pt idx="2">
                  <c:v>2 bed </c:v>
                </c:pt>
                <c:pt idx="3">
                  <c:v>3 bed </c:v>
                </c:pt>
                <c:pt idx="4">
                  <c:v>4+ bed </c:v>
                </c:pt>
              </c:strCache>
            </c:strRef>
          </c:cat>
          <c:val>
            <c:numRef>
              <c:f>'Summary Tables'!$F$168:$F$172</c:f>
              <c:numCache>
                <c:formatCode>General</c:formatCode>
                <c:ptCount val="5"/>
                <c:pt idx="0">
                  <c:v>0</c:v>
                </c:pt>
                <c:pt idx="1">
                  <c:v>26</c:v>
                </c:pt>
                <c:pt idx="2">
                  <c:v>25</c:v>
                </c:pt>
                <c:pt idx="3">
                  <c:v>1</c:v>
                </c:pt>
                <c:pt idx="4">
                  <c:v>7</c:v>
                </c:pt>
              </c:numCache>
            </c:numRef>
          </c:val>
          <c:extLst>
            <c:ext xmlns:c16="http://schemas.microsoft.com/office/drawing/2014/chart" uri="{C3380CC4-5D6E-409C-BE32-E72D297353CC}">
              <c16:uniqueId val="{00000001-1344-4D4D-AB05-9BB48CBCDD6D}"/>
            </c:ext>
          </c:extLst>
        </c:ser>
        <c:ser>
          <c:idx val="0"/>
          <c:order val="1"/>
          <c:tx>
            <c:strRef>
              <c:f>'Summary Tables'!$D$167:$E$167</c:f>
              <c:strCache>
                <c:ptCount val="1"/>
                <c:pt idx="0">
                  <c:v>Permissions</c:v>
                </c:pt>
              </c:strCache>
            </c:strRef>
          </c:tx>
          <c:spPr>
            <a:solidFill>
              <a:schemeClr val="accent1">
                <a:lumMod val="60000"/>
                <a:lumOff val="40000"/>
              </a:schemeClr>
            </a:solidFill>
            <a:ln w="12700">
              <a:solidFill>
                <a:schemeClr val="tx2"/>
              </a:solidFill>
              <a:prstDash val="solid"/>
            </a:ln>
          </c:spPr>
          <c:invertIfNegative val="0"/>
          <c:cat>
            <c:strRef>
              <c:f>'Summary Tables'!$B$168:$C$172</c:f>
              <c:strCache>
                <c:ptCount val="5"/>
                <c:pt idx="0">
                  <c:v>Studio </c:v>
                </c:pt>
                <c:pt idx="1">
                  <c:v>1 bed </c:v>
                </c:pt>
                <c:pt idx="2">
                  <c:v>2 bed </c:v>
                </c:pt>
                <c:pt idx="3">
                  <c:v>3 bed </c:v>
                </c:pt>
                <c:pt idx="4">
                  <c:v>4+ bed </c:v>
                </c:pt>
              </c:strCache>
            </c:strRef>
          </c:cat>
          <c:val>
            <c:numRef>
              <c:f>'Summary Tables'!$D$168:$D$172</c:f>
              <c:numCache>
                <c:formatCode>General</c:formatCode>
                <c:ptCount val="5"/>
                <c:pt idx="0">
                  <c:v>3</c:v>
                </c:pt>
                <c:pt idx="1">
                  <c:v>113</c:v>
                </c:pt>
                <c:pt idx="2">
                  <c:v>139</c:v>
                </c:pt>
                <c:pt idx="3">
                  <c:v>85</c:v>
                </c:pt>
                <c:pt idx="4">
                  <c:v>20</c:v>
                </c:pt>
              </c:numCache>
            </c:numRef>
          </c:val>
          <c:extLst>
            <c:ext xmlns:c16="http://schemas.microsoft.com/office/drawing/2014/chart" uri="{C3380CC4-5D6E-409C-BE32-E72D297353CC}">
              <c16:uniqueId val="{00000000-1344-4D4D-AB05-9BB48CBCDD6D}"/>
            </c:ext>
          </c:extLst>
        </c:ser>
        <c:dLbls>
          <c:showLegendKey val="0"/>
          <c:showVal val="0"/>
          <c:showCatName val="0"/>
          <c:showSerName val="0"/>
          <c:showPercent val="0"/>
          <c:showBubbleSize val="0"/>
        </c:dLbls>
        <c:gapWidth val="113"/>
        <c:overlap val="100"/>
        <c:axId val="324678400"/>
        <c:axId val="324679936"/>
      </c:barChart>
      <c:catAx>
        <c:axId val="3246784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rtl="0">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4679936"/>
        <c:crosses val="autoZero"/>
        <c:auto val="1"/>
        <c:lblAlgn val="ctr"/>
        <c:lblOffset val="100"/>
        <c:noMultiLvlLbl val="0"/>
      </c:catAx>
      <c:valAx>
        <c:axId val="324679936"/>
        <c:scaling>
          <c:orientation val="minMax"/>
          <c:max val="180"/>
          <c:min val="0"/>
        </c:scaling>
        <c:delete val="0"/>
        <c:axPos val="l"/>
        <c:majorGridlines>
          <c:spPr>
            <a:ln w="3175">
              <a:solidFill>
                <a:srgbClr val="969696"/>
              </a:solidFill>
              <a:prstDash val="solid"/>
            </a:ln>
          </c:spPr>
        </c:majorGridlines>
        <c:title>
          <c:tx>
            <c:rich>
              <a:bodyPr rot="-5400000" vert="horz"/>
              <a:lstStyle/>
              <a:p>
                <a:pPr>
                  <a:defRPr/>
                </a:pPr>
                <a:r>
                  <a:rPr lang="en-GB" b="1"/>
                  <a:t>Numberr of units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4678400"/>
        <c:crosses val="autoZero"/>
        <c:crossBetween val="between"/>
        <c:majorUnit val="20"/>
      </c:valAx>
      <c:spPr>
        <a:noFill/>
        <a:ln w="12700">
          <a:solidFill>
            <a:srgbClr val="969696"/>
          </a:solidFill>
          <a:prstDash val="solid"/>
        </a:ln>
      </c:spPr>
    </c:plotArea>
    <c:legend>
      <c:legendPos val="t"/>
      <c:layout>
        <c:manualLayout>
          <c:xMode val="edge"/>
          <c:yMode val="edge"/>
          <c:x val="0.74495853093120423"/>
          <c:y val="0.12273184888871035"/>
          <c:w val="0.18059802446768999"/>
          <c:h val="0.16911999804398034"/>
        </c:manualLayout>
      </c:layout>
      <c:overlay val="0"/>
      <c:spPr>
        <a:solidFill>
          <a:schemeClr val="bg1"/>
        </a:solidFill>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GB"/>
              <a:t>Completions by Ward 2018/19</a:t>
            </a:r>
          </a:p>
        </c:rich>
      </c:tx>
      <c:layout>
        <c:manualLayout>
          <c:xMode val="edge"/>
          <c:yMode val="edge"/>
          <c:x val="0.40735926191044303"/>
          <c:y val="1.3368983957219251E-2"/>
        </c:manualLayout>
      </c:layout>
      <c:overlay val="0"/>
      <c:spPr>
        <a:noFill/>
        <a:ln w="25400">
          <a:noFill/>
        </a:ln>
      </c:spPr>
    </c:title>
    <c:autoTitleDeleted val="0"/>
    <c:plotArea>
      <c:layout>
        <c:manualLayout>
          <c:layoutTarget val="inner"/>
          <c:xMode val="edge"/>
          <c:yMode val="edge"/>
          <c:x val="0.35378028510442988"/>
          <c:y val="7.2401732915915631E-2"/>
          <c:w val="0.61316310843148003"/>
          <c:h val="0.84446573696360239"/>
        </c:manualLayout>
      </c:layout>
      <c:barChart>
        <c:barDir val="bar"/>
        <c:grouping val="clustered"/>
        <c:varyColors val="0"/>
        <c:ser>
          <c:idx val="1"/>
          <c:order val="0"/>
          <c:tx>
            <c:strRef>
              <c:f>'Summary Tables'!$C$216</c:f>
              <c:strCache>
                <c:ptCount val="1"/>
                <c:pt idx="0">
                  <c:v>Net units with planning permission, commenced or completed by Ward in 2018/19 </c:v>
                </c:pt>
              </c:strCache>
            </c:strRef>
          </c:tx>
          <c:spPr>
            <a:solidFill>
              <a:schemeClr val="tx2">
                <a:lumMod val="60000"/>
                <a:lumOff val="40000"/>
              </a:schemeClr>
            </a:solidFill>
            <a:ln w="12700">
              <a:solidFill>
                <a:srgbClr val="000000"/>
              </a:solidFill>
            </a:ln>
          </c:spPr>
          <c:invertIfNegative val="0"/>
          <c:dLbls>
            <c:delete val="1"/>
          </c:dLbls>
          <c:cat>
            <c:strRef>
              <c:f>'Summary Tables'!$B$218:$D$235</c:f>
              <c:strCache>
                <c:ptCount val="18"/>
                <c:pt idx="0">
                  <c:v>Barnes</c:v>
                </c:pt>
                <c:pt idx="1">
                  <c:v>East Sheen</c:v>
                </c:pt>
                <c:pt idx="2">
                  <c:v>Fulwell, Hampton Hill</c:v>
                </c:pt>
                <c:pt idx="3">
                  <c:v>Ham, Petersham, Richmond Riverside</c:v>
                </c:pt>
                <c:pt idx="4">
                  <c:v>Hampton North</c:v>
                </c:pt>
                <c:pt idx="5">
                  <c:v>Hampton</c:v>
                </c:pt>
                <c:pt idx="6">
                  <c:v>Hampton Wick</c:v>
                </c:pt>
                <c:pt idx="7">
                  <c:v>Heathfield</c:v>
                </c:pt>
                <c:pt idx="8">
                  <c:v>Kew</c:v>
                </c:pt>
                <c:pt idx="9">
                  <c:v>Mortlake, Barnes Common</c:v>
                </c:pt>
                <c:pt idx="10">
                  <c:v>North Richmond</c:v>
                </c:pt>
                <c:pt idx="11">
                  <c:v>South Richmond</c:v>
                </c:pt>
                <c:pt idx="12">
                  <c:v>South Twickenham</c:v>
                </c:pt>
                <c:pt idx="13">
                  <c:v>St Margarets, North Twickenham</c:v>
                </c:pt>
                <c:pt idx="14">
                  <c:v>Teddington</c:v>
                </c:pt>
                <c:pt idx="15">
                  <c:v>Twickenham Riverside</c:v>
                </c:pt>
                <c:pt idx="16">
                  <c:v>West Twickenham</c:v>
                </c:pt>
                <c:pt idx="17">
                  <c:v>Whitton</c:v>
                </c:pt>
              </c:strCache>
            </c:strRef>
          </c:cat>
          <c:val>
            <c:numRef>
              <c:f>'Summary Tables'!$C$217:$C$234</c:f>
              <c:numCache>
                <c:formatCode>General</c:formatCode>
                <c:ptCount val="18"/>
              </c:numCache>
            </c:numRef>
          </c:val>
          <c:extLst>
            <c:ext xmlns:c16="http://schemas.microsoft.com/office/drawing/2014/chart" uri="{C3380CC4-5D6E-409C-BE32-E72D297353CC}">
              <c16:uniqueId val="{00000000-2131-4319-A4DB-C05F36EF1283}"/>
            </c:ext>
          </c:extLst>
        </c:ser>
        <c:ser>
          <c:idx val="0"/>
          <c:order val="1"/>
          <c:tx>
            <c:strRef>
              <c:f>'Summary Tables'!$E$216:$G$216</c:f>
              <c:strCache>
                <c:ptCount val="1"/>
              </c:strCache>
            </c:strRef>
          </c:tx>
          <c:spPr>
            <a:solidFill>
              <a:schemeClr val="accent1"/>
            </a:solidFill>
            <a:ln>
              <a:solidFill>
                <a:schemeClr val="tx1"/>
              </a:solidFill>
            </a:ln>
          </c:spPr>
          <c:invertIfNegative val="0"/>
          <c:dLbls>
            <c:delete val="1"/>
          </c:dLbls>
          <c:cat>
            <c:strRef>
              <c:f>'Summary Tables'!$B$218:$D$235</c:f>
              <c:strCache>
                <c:ptCount val="18"/>
                <c:pt idx="0">
                  <c:v>Barnes</c:v>
                </c:pt>
                <c:pt idx="1">
                  <c:v>East Sheen</c:v>
                </c:pt>
                <c:pt idx="2">
                  <c:v>Fulwell, Hampton Hill</c:v>
                </c:pt>
                <c:pt idx="3">
                  <c:v>Ham, Petersham, Richmond Riverside</c:v>
                </c:pt>
                <c:pt idx="4">
                  <c:v>Hampton North</c:v>
                </c:pt>
                <c:pt idx="5">
                  <c:v>Hampton</c:v>
                </c:pt>
                <c:pt idx="6">
                  <c:v>Hampton Wick</c:v>
                </c:pt>
                <c:pt idx="7">
                  <c:v>Heathfield</c:v>
                </c:pt>
                <c:pt idx="8">
                  <c:v>Kew</c:v>
                </c:pt>
                <c:pt idx="9">
                  <c:v>Mortlake, Barnes Common</c:v>
                </c:pt>
                <c:pt idx="10">
                  <c:v>North Richmond</c:v>
                </c:pt>
                <c:pt idx="11">
                  <c:v>South Richmond</c:v>
                </c:pt>
                <c:pt idx="12">
                  <c:v>South Twickenham</c:v>
                </c:pt>
                <c:pt idx="13">
                  <c:v>St Margarets, North Twickenham</c:v>
                </c:pt>
                <c:pt idx="14">
                  <c:v>Teddington</c:v>
                </c:pt>
                <c:pt idx="15">
                  <c:v>Twickenham Riverside</c:v>
                </c:pt>
                <c:pt idx="16">
                  <c:v>West Twickenham</c:v>
                </c:pt>
                <c:pt idx="17">
                  <c:v>Whitton</c:v>
                </c:pt>
              </c:strCache>
            </c:strRef>
          </c:cat>
          <c:val>
            <c:numRef>
              <c:f>'Summary Tables'!$G$218:$G$235</c:f>
              <c:numCache>
                <c:formatCode>#,##0</c:formatCode>
                <c:ptCount val="18"/>
                <c:pt idx="0">
                  <c:v>1</c:v>
                </c:pt>
                <c:pt idx="1">
                  <c:v>14</c:v>
                </c:pt>
                <c:pt idx="2">
                  <c:v>43</c:v>
                </c:pt>
                <c:pt idx="3">
                  <c:v>102</c:v>
                </c:pt>
                <c:pt idx="4">
                  <c:v>0</c:v>
                </c:pt>
                <c:pt idx="5">
                  <c:v>11</c:v>
                </c:pt>
                <c:pt idx="6">
                  <c:v>8</c:v>
                </c:pt>
                <c:pt idx="7">
                  <c:v>3</c:v>
                </c:pt>
                <c:pt idx="8">
                  <c:v>40</c:v>
                </c:pt>
                <c:pt idx="9">
                  <c:v>22</c:v>
                </c:pt>
                <c:pt idx="10">
                  <c:v>2</c:v>
                </c:pt>
                <c:pt idx="11">
                  <c:v>10</c:v>
                </c:pt>
                <c:pt idx="12">
                  <c:v>0</c:v>
                </c:pt>
                <c:pt idx="13">
                  <c:v>11</c:v>
                </c:pt>
                <c:pt idx="14">
                  <c:v>79</c:v>
                </c:pt>
                <c:pt idx="15">
                  <c:v>53</c:v>
                </c:pt>
                <c:pt idx="16">
                  <c:v>11</c:v>
                </c:pt>
                <c:pt idx="17">
                  <c:v>9</c:v>
                </c:pt>
              </c:numCache>
            </c:numRef>
          </c:val>
          <c:extLst>
            <c:ext xmlns:c16="http://schemas.microsoft.com/office/drawing/2014/chart" uri="{C3380CC4-5D6E-409C-BE32-E72D297353CC}">
              <c16:uniqueId val="{00000001-2131-4319-A4DB-C05F36EF1283}"/>
            </c:ext>
          </c:extLst>
        </c:ser>
        <c:dLbls>
          <c:showLegendKey val="0"/>
          <c:showVal val="1"/>
          <c:showCatName val="0"/>
          <c:showSerName val="0"/>
          <c:showPercent val="0"/>
          <c:showBubbleSize val="0"/>
        </c:dLbls>
        <c:gapWidth val="0"/>
        <c:overlap val="100"/>
        <c:axId val="324732032"/>
        <c:axId val="324733568"/>
      </c:barChart>
      <c:catAx>
        <c:axId val="324732032"/>
        <c:scaling>
          <c:orientation val="maxMin"/>
        </c:scaling>
        <c:delete val="0"/>
        <c:axPos val="l"/>
        <c:numFmt formatCode="General" sourceLinked="1"/>
        <c:majorTickMark val="out"/>
        <c:minorTickMark val="none"/>
        <c:tickLblPos val="low"/>
        <c:txPr>
          <a:bodyPr rot="0" vert="horz"/>
          <a:lstStyle/>
          <a:p>
            <a:pPr>
              <a:defRPr/>
            </a:pPr>
            <a:endParaRPr lang="en-US"/>
          </a:p>
        </c:txPr>
        <c:crossAx val="324733568"/>
        <c:crossesAt val="0"/>
        <c:auto val="1"/>
        <c:lblAlgn val="ctr"/>
        <c:lblOffset val="100"/>
        <c:tickLblSkip val="1"/>
        <c:noMultiLvlLbl val="0"/>
      </c:catAx>
      <c:valAx>
        <c:axId val="324733568"/>
        <c:scaling>
          <c:orientation val="minMax"/>
        </c:scaling>
        <c:delete val="0"/>
        <c:axPos val="b"/>
        <c:majorGridlines>
          <c:spPr>
            <a:ln w="3175">
              <a:solidFill>
                <a:srgbClr val="BEBEBE"/>
              </a:solidFill>
              <a:prstDash val="solid"/>
            </a:ln>
          </c:spPr>
        </c:majorGridlines>
        <c:minorGridlines/>
        <c:numFmt formatCode="General" sourceLinked="0"/>
        <c:majorTickMark val="out"/>
        <c:minorTickMark val="out"/>
        <c:tickLblPos val="high"/>
        <c:spPr>
          <a:ln>
            <a:solidFill>
              <a:schemeClr val="bg1">
                <a:lumMod val="75000"/>
              </a:schemeClr>
            </a:solidFill>
          </a:ln>
        </c:spPr>
        <c:txPr>
          <a:bodyPr rot="0" vert="horz"/>
          <a:lstStyle/>
          <a:p>
            <a:pPr>
              <a:defRPr/>
            </a:pPr>
            <a:endParaRPr lang="en-US"/>
          </a:p>
        </c:txPr>
        <c:crossAx val="324732032"/>
        <c:crosses val="max"/>
        <c:crossBetween val="between"/>
        <c:minorUnit val="10"/>
      </c:valAx>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385735601933279E-2"/>
          <c:y val="2.2194088484037533E-2"/>
          <c:w val="0.5950272836468723"/>
          <c:h val="0.94294752371639823"/>
        </c:manualLayout>
      </c:layout>
      <c:pieChart>
        <c:varyColors val="1"/>
        <c:ser>
          <c:idx val="0"/>
          <c:order val="0"/>
          <c:tx>
            <c:strRef>
              <c:f>'Summary Tables'!$C$280</c:f>
              <c:strCache>
                <c:ptCount val="1"/>
                <c:pt idx="0">
                  <c:v>Net new build units completed by unit size and tenure</c:v>
                </c:pt>
              </c:strCache>
            </c:strRef>
          </c:tx>
          <c:spPr>
            <a:solidFill>
              <a:srgbClr val="9999FF"/>
            </a:solidFill>
            <a:ln w="12700">
              <a:solidFill>
                <a:srgbClr val="000000"/>
              </a:solidFill>
              <a:prstDash val="solid"/>
            </a:ln>
          </c:spPr>
          <c:dPt>
            <c:idx val="0"/>
            <c:bubble3D val="0"/>
            <c:spPr>
              <a:solidFill>
                <a:schemeClr val="accent1">
                  <a:lumMod val="20000"/>
                  <a:lumOff val="80000"/>
                </a:schemeClr>
              </a:solidFill>
              <a:ln w="12700">
                <a:solidFill>
                  <a:srgbClr val="000000"/>
                </a:solidFill>
                <a:prstDash val="solid"/>
              </a:ln>
            </c:spPr>
            <c:extLst>
              <c:ext xmlns:c16="http://schemas.microsoft.com/office/drawing/2014/chart" uri="{C3380CC4-5D6E-409C-BE32-E72D297353CC}">
                <c16:uniqueId val="{00000001-0422-499C-83F9-D6115A963A8F}"/>
              </c:ext>
            </c:extLst>
          </c:dPt>
          <c:dPt>
            <c:idx val="1"/>
            <c:bubble3D val="0"/>
            <c:spPr>
              <a:solidFill>
                <a:schemeClr val="accent1">
                  <a:lumMod val="40000"/>
                  <a:lumOff val="60000"/>
                </a:schemeClr>
              </a:solidFill>
              <a:ln w="12700">
                <a:solidFill>
                  <a:srgbClr val="000000"/>
                </a:solidFill>
                <a:prstDash val="solid"/>
              </a:ln>
            </c:spPr>
            <c:extLst>
              <c:ext xmlns:c16="http://schemas.microsoft.com/office/drawing/2014/chart" uri="{C3380CC4-5D6E-409C-BE32-E72D297353CC}">
                <c16:uniqueId val="{00000003-0422-499C-83F9-D6115A963A8F}"/>
              </c:ext>
            </c:extLst>
          </c:dPt>
          <c:dPt>
            <c:idx val="2"/>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5-0422-499C-83F9-D6115A963A8F}"/>
              </c:ext>
            </c:extLst>
          </c:dPt>
          <c:dPt>
            <c:idx val="3"/>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07-0422-499C-83F9-D6115A963A8F}"/>
              </c:ext>
            </c:extLst>
          </c:dPt>
          <c:dPt>
            <c:idx val="4"/>
            <c:bubble3D val="0"/>
            <c:spPr>
              <a:solidFill>
                <a:schemeClr val="accent1">
                  <a:lumMod val="50000"/>
                </a:schemeClr>
              </a:solidFill>
              <a:ln w="12700">
                <a:solidFill>
                  <a:srgbClr val="000000"/>
                </a:solidFill>
                <a:prstDash val="solid"/>
              </a:ln>
            </c:spPr>
            <c:extLst>
              <c:ext xmlns:c16="http://schemas.microsoft.com/office/drawing/2014/chart" uri="{C3380CC4-5D6E-409C-BE32-E72D297353CC}">
                <c16:uniqueId val="{00000009-0422-499C-83F9-D6115A963A8F}"/>
              </c:ext>
            </c:extLst>
          </c:dPt>
          <c:dPt>
            <c:idx val="5"/>
            <c:bubble3D val="0"/>
            <c:spPr>
              <a:solidFill>
                <a:srgbClr val="000000"/>
              </a:solidFill>
              <a:ln w="12700">
                <a:solidFill>
                  <a:srgbClr val="000000"/>
                </a:solidFill>
                <a:prstDash val="solid"/>
              </a:ln>
            </c:spPr>
            <c:extLst>
              <c:ext xmlns:c16="http://schemas.microsoft.com/office/drawing/2014/chart" uri="{C3380CC4-5D6E-409C-BE32-E72D297353CC}">
                <c16:uniqueId val="{0000000B-0422-499C-83F9-D6115A963A8F}"/>
              </c:ext>
            </c:extLst>
          </c:dPt>
          <c:cat>
            <c:strRef>
              <c:f>'Summary Tables'!$D$281:$H$281</c:f>
              <c:strCache>
                <c:ptCount val="5"/>
                <c:pt idx="0">
                  <c:v>Studio</c:v>
                </c:pt>
                <c:pt idx="1">
                  <c:v>1 bed</c:v>
                </c:pt>
                <c:pt idx="2">
                  <c:v>2 bed</c:v>
                </c:pt>
                <c:pt idx="3">
                  <c:v>3 bed</c:v>
                </c:pt>
                <c:pt idx="4">
                  <c:v>4 + bed</c:v>
                </c:pt>
              </c:strCache>
            </c:strRef>
          </c:cat>
          <c:val>
            <c:numRef>
              <c:f>'Summary Tables'!$D$288:$H$288</c:f>
              <c:numCache>
                <c:formatCode>#,##0</c:formatCode>
                <c:ptCount val="5"/>
                <c:pt idx="0">
                  <c:v>1</c:v>
                </c:pt>
                <c:pt idx="1">
                  <c:v>52</c:v>
                </c:pt>
                <c:pt idx="2">
                  <c:v>63</c:v>
                </c:pt>
                <c:pt idx="3">
                  <c:v>52</c:v>
                </c:pt>
                <c:pt idx="4">
                  <c:v>19</c:v>
                </c:pt>
              </c:numCache>
            </c:numRef>
          </c:val>
          <c:extLst>
            <c:ext xmlns:c16="http://schemas.microsoft.com/office/drawing/2014/chart" uri="{C3380CC4-5D6E-409C-BE32-E72D297353CC}">
              <c16:uniqueId val="{0000000C-0422-499C-83F9-D6115A963A8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3874345549738221"/>
          <c:y val="0.15686343128677543"/>
          <c:w val="0.34031413612565448"/>
          <c:h val="0.7581747379616763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12700">
      <a:solidFill>
        <a:srgbClr val="C0C0C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23941604893192E-2"/>
          <c:y val="6.4941882264716927E-3"/>
          <c:w val="0.58639627189458465"/>
          <c:h val="0.93290315983229366"/>
        </c:manualLayout>
      </c:layout>
      <c:pieChart>
        <c:varyColors val="1"/>
        <c:ser>
          <c:idx val="0"/>
          <c:order val="0"/>
          <c:tx>
            <c:strRef>
              <c:f>'Summary Tables'!$C$292</c:f>
              <c:strCache>
                <c:ptCount val="1"/>
                <c:pt idx="0">
                  <c:v>Net new build units under construction by unit size and tenure</c:v>
                </c:pt>
              </c:strCache>
            </c:strRef>
          </c:tx>
          <c:spPr>
            <a:solidFill>
              <a:srgbClr val="9999FF"/>
            </a:solidFill>
            <a:ln w="12700">
              <a:solidFill>
                <a:srgbClr val="000000"/>
              </a:solidFill>
              <a:prstDash val="solid"/>
            </a:ln>
          </c:spPr>
          <c:dPt>
            <c:idx val="0"/>
            <c:bubble3D val="0"/>
            <c:spPr>
              <a:solidFill>
                <a:schemeClr val="accent1">
                  <a:lumMod val="20000"/>
                  <a:lumOff val="80000"/>
                </a:schemeClr>
              </a:solidFill>
              <a:ln w="12700">
                <a:solidFill>
                  <a:srgbClr val="000000"/>
                </a:solidFill>
                <a:prstDash val="solid"/>
              </a:ln>
            </c:spPr>
            <c:extLst>
              <c:ext xmlns:c16="http://schemas.microsoft.com/office/drawing/2014/chart" uri="{C3380CC4-5D6E-409C-BE32-E72D297353CC}">
                <c16:uniqueId val="{00000001-DF9B-4EA3-9CA2-1717E807556D}"/>
              </c:ext>
            </c:extLst>
          </c:dPt>
          <c:dPt>
            <c:idx val="1"/>
            <c:bubble3D val="0"/>
            <c:spPr>
              <a:solidFill>
                <a:schemeClr val="accent1">
                  <a:lumMod val="40000"/>
                  <a:lumOff val="60000"/>
                </a:schemeClr>
              </a:solidFill>
              <a:ln w="12700">
                <a:solidFill>
                  <a:srgbClr val="000000"/>
                </a:solidFill>
                <a:prstDash val="solid"/>
              </a:ln>
            </c:spPr>
            <c:extLst>
              <c:ext xmlns:c16="http://schemas.microsoft.com/office/drawing/2014/chart" uri="{C3380CC4-5D6E-409C-BE32-E72D297353CC}">
                <c16:uniqueId val="{00000003-DF9B-4EA3-9CA2-1717E807556D}"/>
              </c:ext>
            </c:extLst>
          </c:dPt>
          <c:dPt>
            <c:idx val="2"/>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5-DF9B-4EA3-9CA2-1717E807556D}"/>
              </c:ext>
            </c:extLst>
          </c:dPt>
          <c:dPt>
            <c:idx val="3"/>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07-DF9B-4EA3-9CA2-1717E807556D}"/>
              </c:ext>
            </c:extLst>
          </c:dPt>
          <c:dPt>
            <c:idx val="4"/>
            <c:bubble3D val="0"/>
            <c:spPr>
              <a:solidFill>
                <a:schemeClr val="accent1">
                  <a:lumMod val="50000"/>
                </a:schemeClr>
              </a:solidFill>
              <a:ln w="12700">
                <a:solidFill>
                  <a:srgbClr val="000000"/>
                </a:solidFill>
                <a:prstDash val="solid"/>
              </a:ln>
            </c:spPr>
            <c:extLst>
              <c:ext xmlns:c16="http://schemas.microsoft.com/office/drawing/2014/chart" uri="{C3380CC4-5D6E-409C-BE32-E72D297353CC}">
                <c16:uniqueId val="{00000009-DF9B-4EA3-9CA2-1717E807556D}"/>
              </c:ext>
            </c:extLst>
          </c:dPt>
          <c:dPt>
            <c:idx val="5"/>
            <c:bubble3D val="0"/>
            <c:spPr>
              <a:solidFill>
                <a:srgbClr val="000000"/>
              </a:solidFill>
              <a:ln w="12700">
                <a:solidFill>
                  <a:srgbClr val="000000"/>
                </a:solidFill>
                <a:prstDash val="solid"/>
              </a:ln>
            </c:spPr>
            <c:extLst>
              <c:ext xmlns:c16="http://schemas.microsoft.com/office/drawing/2014/chart" uri="{C3380CC4-5D6E-409C-BE32-E72D297353CC}">
                <c16:uniqueId val="{0000000B-DF9B-4EA3-9CA2-1717E807556D}"/>
              </c:ext>
            </c:extLst>
          </c:dPt>
          <c:cat>
            <c:strRef>
              <c:f>'Summary Tables'!$D$293:$H$293</c:f>
              <c:strCache>
                <c:ptCount val="5"/>
                <c:pt idx="0">
                  <c:v>Studio</c:v>
                </c:pt>
                <c:pt idx="1">
                  <c:v>1 bed</c:v>
                </c:pt>
                <c:pt idx="2">
                  <c:v>2 bed</c:v>
                </c:pt>
                <c:pt idx="3">
                  <c:v>3 bed</c:v>
                </c:pt>
                <c:pt idx="4">
                  <c:v>4 + bed</c:v>
                </c:pt>
              </c:strCache>
            </c:strRef>
          </c:cat>
          <c:val>
            <c:numRef>
              <c:f>'Summary Tables'!$D$300:$H$300</c:f>
              <c:numCache>
                <c:formatCode>#,##0</c:formatCode>
                <c:ptCount val="5"/>
                <c:pt idx="0">
                  <c:v>4</c:v>
                </c:pt>
                <c:pt idx="1">
                  <c:v>129</c:v>
                </c:pt>
                <c:pt idx="2">
                  <c:v>319</c:v>
                </c:pt>
                <c:pt idx="3">
                  <c:v>119</c:v>
                </c:pt>
                <c:pt idx="4">
                  <c:v>53</c:v>
                </c:pt>
              </c:numCache>
            </c:numRef>
          </c:val>
          <c:extLst>
            <c:ext xmlns:c16="http://schemas.microsoft.com/office/drawing/2014/chart" uri="{C3380CC4-5D6E-409C-BE32-E72D297353CC}">
              <c16:uniqueId val="{0000000C-DF9B-4EA3-9CA2-1717E807556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939714141949878"/>
          <c:y val="0.12337730510958858"/>
          <c:w val="0.32987964587328139"/>
          <c:h val="0.7532494801786140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12700">
      <a:solidFill>
        <a:srgbClr val="969696"/>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596559326770802E-2"/>
          <c:y val="5.905511811023622E-2"/>
          <c:w val="0.93201854185784794"/>
          <c:h val="0.77952755905511806"/>
        </c:manualLayout>
      </c:layout>
      <c:barChart>
        <c:barDir val="col"/>
        <c:grouping val="stacked"/>
        <c:varyColors val="0"/>
        <c:ser>
          <c:idx val="0"/>
          <c:order val="0"/>
          <c:tx>
            <c:strRef>
              <c:f>'Summary Tables'!$C$128</c:f>
              <c:strCache>
                <c:ptCount val="1"/>
                <c:pt idx="0">
                  <c:v> Open Market</c:v>
                </c:pt>
              </c:strCache>
            </c:strRef>
          </c:tx>
          <c:spPr>
            <a:solidFill>
              <a:schemeClr val="tx2">
                <a:lumMod val="60000"/>
                <a:lumOff val="40000"/>
              </a:schemeClr>
            </a:solidFill>
            <a:ln w="25400">
              <a:solidFill>
                <a:schemeClr val="tx2">
                  <a:lumMod val="60000"/>
                  <a:lumOff val="40000"/>
                </a:schemeClr>
              </a:solidFill>
              <a:prstDash val="solid"/>
              <a:miter lim="800000"/>
            </a:ln>
          </c:spPr>
          <c:invertIfNegative val="0"/>
          <c:cat>
            <c:strRef>
              <c:f>'Summary Tables'!$B$130:$B$143</c:f>
              <c:strCache>
                <c:ptCount val="14"/>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strCache>
            </c:strRef>
          </c:cat>
          <c:val>
            <c:numRef>
              <c:f>'Summary Tables'!$C$130:$C$143</c:f>
              <c:numCache>
                <c:formatCode>#,##0</c:formatCode>
                <c:ptCount val="14"/>
                <c:pt idx="0">
                  <c:v>611</c:v>
                </c:pt>
                <c:pt idx="1">
                  <c:v>192</c:v>
                </c:pt>
                <c:pt idx="2">
                  <c:v>257</c:v>
                </c:pt>
                <c:pt idx="3">
                  <c:v>338</c:v>
                </c:pt>
                <c:pt idx="4">
                  <c:v>145</c:v>
                </c:pt>
                <c:pt idx="5">
                  <c:v>273</c:v>
                </c:pt>
                <c:pt idx="6">
                  <c:v>133</c:v>
                </c:pt>
                <c:pt idx="7">
                  <c:v>468</c:v>
                </c:pt>
                <c:pt idx="8">
                  <c:v>202</c:v>
                </c:pt>
                <c:pt idx="9">
                  <c:v>298</c:v>
                </c:pt>
                <c:pt idx="10">
                  <c:v>392</c:v>
                </c:pt>
                <c:pt idx="11">
                  <c:v>398</c:v>
                </c:pt>
                <c:pt idx="12">
                  <c:v>341</c:v>
                </c:pt>
                <c:pt idx="13">
                  <c:v>349</c:v>
                </c:pt>
              </c:numCache>
            </c:numRef>
          </c:val>
          <c:extLst>
            <c:ext xmlns:c16="http://schemas.microsoft.com/office/drawing/2014/chart" uri="{C3380CC4-5D6E-409C-BE32-E72D297353CC}">
              <c16:uniqueId val="{00000000-5AD5-4E87-AEC8-C7C1F5FCFC24}"/>
            </c:ext>
          </c:extLst>
        </c:ser>
        <c:ser>
          <c:idx val="4"/>
          <c:order val="1"/>
          <c:tx>
            <c:strRef>
              <c:f>'Summary Tables'!$E$128</c:f>
              <c:strCache>
                <c:ptCount val="1"/>
                <c:pt idx="0">
                  <c:v> Affordable</c:v>
                </c:pt>
              </c:strCache>
            </c:strRef>
          </c:tx>
          <c:spPr>
            <a:solidFill>
              <a:srgbClr val="99CC00"/>
            </a:solidFill>
            <a:ln w="25400">
              <a:solidFill>
                <a:srgbClr val="99CC00"/>
              </a:solidFill>
              <a:prstDash val="solid"/>
              <a:miter lim="800000"/>
            </a:ln>
          </c:spPr>
          <c:invertIfNegative val="0"/>
          <c:cat>
            <c:strRef>
              <c:f>'Summary Tables'!$B$130:$B$143</c:f>
              <c:strCache>
                <c:ptCount val="14"/>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strCache>
            </c:strRef>
          </c:cat>
          <c:val>
            <c:numRef>
              <c:f>'Summary Tables'!$E$130:$E$143</c:f>
              <c:numCache>
                <c:formatCode>#,##0</c:formatCode>
                <c:ptCount val="14"/>
                <c:pt idx="0">
                  <c:v>231</c:v>
                </c:pt>
                <c:pt idx="1">
                  <c:v>38</c:v>
                </c:pt>
                <c:pt idx="2">
                  <c:v>3</c:v>
                </c:pt>
                <c:pt idx="3">
                  <c:v>98</c:v>
                </c:pt>
                <c:pt idx="4">
                  <c:v>0</c:v>
                </c:pt>
                <c:pt idx="5">
                  <c:v>126</c:v>
                </c:pt>
                <c:pt idx="6">
                  <c:v>75</c:v>
                </c:pt>
                <c:pt idx="7">
                  <c:v>227</c:v>
                </c:pt>
                <c:pt idx="8">
                  <c:v>33</c:v>
                </c:pt>
                <c:pt idx="9">
                  <c:v>6</c:v>
                </c:pt>
                <c:pt idx="10">
                  <c:v>99</c:v>
                </c:pt>
                <c:pt idx="11">
                  <c:v>62</c:v>
                </c:pt>
                <c:pt idx="12">
                  <c:v>41</c:v>
                </c:pt>
                <c:pt idx="13">
                  <c:v>70</c:v>
                </c:pt>
              </c:numCache>
            </c:numRef>
          </c:val>
          <c:extLst>
            <c:ext xmlns:c16="http://schemas.microsoft.com/office/drawing/2014/chart" uri="{C3380CC4-5D6E-409C-BE32-E72D297353CC}">
              <c16:uniqueId val="{00000001-5AD5-4E87-AEC8-C7C1F5FCFC24}"/>
            </c:ext>
          </c:extLst>
        </c:ser>
        <c:dLbls>
          <c:showLegendKey val="0"/>
          <c:showVal val="0"/>
          <c:showCatName val="0"/>
          <c:showSerName val="0"/>
          <c:showPercent val="0"/>
          <c:showBubbleSize val="0"/>
        </c:dLbls>
        <c:gapWidth val="118"/>
        <c:overlap val="100"/>
        <c:axId val="324841856"/>
        <c:axId val="324843392"/>
      </c:barChart>
      <c:catAx>
        <c:axId val="324841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4843392"/>
        <c:crosses val="autoZero"/>
        <c:auto val="1"/>
        <c:lblAlgn val="ctr"/>
        <c:lblOffset val="100"/>
        <c:tickLblSkip val="1"/>
        <c:tickMarkSkip val="1"/>
        <c:noMultiLvlLbl val="0"/>
      </c:catAx>
      <c:valAx>
        <c:axId val="324843392"/>
        <c:scaling>
          <c:orientation val="minMax"/>
        </c:scaling>
        <c:delete val="0"/>
        <c:axPos val="l"/>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4841856"/>
        <c:crosses val="autoZero"/>
        <c:crossBetween val="between"/>
      </c:valAx>
      <c:spPr>
        <a:noFill/>
        <a:ln w="12700">
          <a:solidFill>
            <a:srgbClr val="969696"/>
          </a:solidFill>
          <a:prstDash val="solid"/>
        </a:ln>
      </c:spPr>
    </c:plotArea>
    <c:legend>
      <c:legendPos val="r"/>
      <c:layout>
        <c:manualLayout>
          <c:xMode val="edge"/>
          <c:yMode val="edge"/>
          <c:x val="0.83867511327954902"/>
          <c:y val="8.7614921281614619E-2"/>
          <c:w val="0.14650734882040048"/>
          <c:h val="0.2232591794156719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en-GB" sz="1000">
                <a:latin typeface="Arial" panose="020B0604020202020204" pitchFamily="34" charset="0"/>
                <a:cs typeface="Arial" panose="020B0604020202020204" pitchFamily="34" charset="0"/>
              </a:rPr>
              <a:t>Proportion of housing completions provided by large sites</a:t>
            </a:r>
          </a:p>
        </c:rich>
      </c:tx>
      <c:overlay val="1"/>
    </c:title>
    <c:autoTitleDeleted val="0"/>
    <c:plotArea>
      <c:layout>
        <c:manualLayout>
          <c:layoutTarget val="inner"/>
          <c:xMode val="edge"/>
          <c:yMode val="edge"/>
          <c:x val="8.6616442099943791E-2"/>
          <c:y val="0.1274504604450217"/>
          <c:w val="0.88456888861387417"/>
          <c:h val="0.66614786553742644"/>
        </c:manualLayout>
      </c:layout>
      <c:barChart>
        <c:barDir val="col"/>
        <c:grouping val="clustered"/>
        <c:varyColors val="0"/>
        <c:ser>
          <c:idx val="0"/>
          <c:order val="0"/>
          <c:tx>
            <c:strRef>
              <c:f>'Summary Tables'!$C$184</c:f>
              <c:strCache>
                <c:ptCount val="1"/>
                <c:pt idx="0">
                  <c:v>%</c:v>
                </c:pt>
              </c:strCache>
            </c:strRef>
          </c:tx>
          <c:spPr>
            <a:solidFill>
              <a:schemeClr val="accent1">
                <a:lumMod val="75000"/>
              </a:schemeClr>
            </a:solidFill>
          </c:spPr>
          <c:invertIfNegative val="0"/>
          <c:dLbls>
            <c:dLbl>
              <c:idx val="0"/>
              <c:layout>
                <c:manualLayout>
                  <c:x val="5.6251137698787009E-3"/>
                  <c:y val="4.67289719626168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80-4C20-AE78-4950B156A66F}"/>
                </c:ext>
              </c:extLst>
            </c:dLbl>
            <c:numFmt formatCode="0%" sourceLinked="0"/>
            <c:spPr>
              <a:solidFill>
                <a:schemeClr val="bg1"/>
              </a:solidFill>
              <a:ln w="3175">
                <a:noFill/>
              </a:ln>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Tables'!$B$185:$B$200</c:f>
              <c:strCache>
                <c:ptCount val="16"/>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strCache>
            </c:strRef>
          </c:cat>
          <c:val>
            <c:numRef>
              <c:f>'Summary Tables'!$C$185:$C$200</c:f>
              <c:numCache>
                <c:formatCode>0%</c:formatCode>
                <c:ptCount val="16"/>
                <c:pt idx="0">
                  <c:v>0.5</c:v>
                </c:pt>
                <c:pt idx="1">
                  <c:v>0.72</c:v>
                </c:pt>
                <c:pt idx="2">
                  <c:v>0.83</c:v>
                </c:pt>
                <c:pt idx="3">
                  <c:v>0.41</c:v>
                </c:pt>
                <c:pt idx="4">
                  <c:v>0.27</c:v>
                </c:pt>
                <c:pt idx="5">
                  <c:v>0.61</c:v>
                </c:pt>
                <c:pt idx="6">
                  <c:v>7.0000000000000007E-2</c:v>
                </c:pt>
                <c:pt idx="7">
                  <c:v>0.67</c:v>
                </c:pt>
                <c:pt idx="8">
                  <c:v>0.3</c:v>
                </c:pt>
                <c:pt idx="9">
                  <c:v>0.79</c:v>
                </c:pt>
                <c:pt idx="10">
                  <c:v>0.73</c:v>
                </c:pt>
                <c:pt idx="11">
                  <c:v>0.22</c:v>
                </c:pt>
                <c:pt idx="12">
                  <c:v>0.38</c:v>
                </c:pt>
                <c:pt idx="13">
                  <c:v>0.47</c:v>
                </c:pt>
                <c:pt idx="14">
                  <c:v>0.56999999999999995</c:v>
                </c:pt>
                <c:pt idx="15">
                  <c:v>0.70167064439140814</c:v>
                </c:pt>
              </c:numCache>
            </c:numRef>
          </c:val>
          <c:extLst>
            <c:ext xmlns:c16="http://schemas.microsoft.com/office/drawing/2014/chart" uri="{C3380CC4-5D6E-409C-BE32-E72D297353CC}">
              <c16:uniqueId val="{00000001-3880-4C20-AE78-4950B156A66F}"/>
            </c:ext>
          </c:extLst>
        </c:ser>
        <c:dLbls>
          <c:showLegendKey val="0"/>
          <c:showVal val="0"/>
          <c:showCatName val="0"/>
          <c:showSerName val="0"/>
          <c:showPercent val="0"/>
          <c:showBubbleSize val="0"/>
        </c:dLbls>
        <c:gapWidth val="54"/>
        <c:axId val="325008000"/>
        <c:axId val="325013888"/>
      </c:barChart>
      <c:catAx>
        <c:axId val="325008000"/>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25013888"/>
        <c:crosses val="autoZero"/>
        <c:auto val="1"/>
        <c:lblAlgn val="ctr"/>
        <c:lblOffset val="100"/>
        <c:noMultiLvlLbl val="0"/>
      </c:catAx>
      <c:valAx>
        <c:axId val="325013888"/>
        <c:scaling>
          <c:orientation val="minMax"/>
          <c:max val="0.9"/>
        </c:scaling>
        <c:delete val="0"/>
        <c:axPos val="l"/>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2500800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2.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10</xdr:col>
      <xdr:colOff>381001</xdr:colOff>
      <xdr:row>41</xdr:row>
      <xdr:rowOff>152400</xdr:rowOff>
    </xdr:from>
    <xdr:to>
      <xdr:col>17</xdr:col>
      <xdr:colOff>457201</xdr:colOff>
      <xdr:row>52</xdr:row>
      <xdr:rowOff>95250</xdr:rowOff>
    </xdr:to>
    <xdr:graphicFrame macro="">
      <xdr:nvGraphicFramePr>
        <xdr:cNvPr id="2" name="Chart 1">
          <a:extLst>
            <a:ext uri="{FF2B5EF4-FFF2-40B4-BE49-F238E27FC236}">
              <a16:creationId xmlns:a16="http://schemas.microsoft.com/office/drawing/2014/main" id="{A414925D-A987-4273-9F7C-DAE4049A4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152400</xdr:colOff>
      <xdr:row>83</xdr:row>
      <xdr:rowOff>9525</xdr:rowOff>
    </xdr:from>
    <xdr:to>
      <xdr:col>17</xdr:col>
      <xdr:colOff>371475</xdr:colOff>
      <xdr:row>102</xdr:row>
      <xdr:rowOff>0</xdr:rowOff>
    </xdr:to>
    <xdr:graphicFrame macro="">
      <xdr:nvGraphicFramePr>
        <xdr:cNvPr id="3" name="Chart 12">
          <a:extLst>
            <a:ext uri="{FF2B5EF4-FFF2-40B4-BE49-F238E27FC236}">
              <a16:creationId xmlns:a16="http://schemas.microsoft.com/office/drawing/2014/main" id="{74A0A096-75BC-4B1F-9510-6E51998AF9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234461</xdr:colOff>
      <xdr:row>102</xdr:row>
      <xdr:rowOff>28575</xdr:rowOff>
    </xdr:from>
    <xdr:to>
      <xdr:col>17</xdr:col>
      <xdr:colOff>500635</xdr:colOff>
      <xdr:row>122</xdr:row>
      <xdr:rowOff>33129</xdr:rowOff>
    </xdr:to>
    <xdr:graphicFrame macro="">
      <xdr:nvGraphicFramePr>
        <xdr:cNvPr id="4" name="Chart 20">
          <a:extLst>
            <a:ext uri="{FF2B5EF4-FFF2-40B4-BE49-F238E27FC236}">
              <a16:creationId xmlns:a16="http://schemas.microsoft.com/office/drawing/2014/main" id="{F0EC975C-E909-4699-9924-1821B03A7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314325</xdr:colOff>
      <xdr:row>165</xdr:row>
      <xdr:rowOff>49694</xdr:rowOff>
    </xdr:from>
    <xdr:to>
      <xdr:col>17</xdr:col>
      <xdr:colOff>440531</xdr:colOff>
      <xdr:row>178</xdr:row>
      <xdr:rowOff>71437</xdr:rowOff>
    </xdr:to>
    <xdr:graphicFrame macro="">
      <xdr:nvGraphicFramePr>
        <xdr:cNvPr id="5" name="Chart 26">
          <a:extLst>
            <a:ext uri="{FF2B5EF4-FFF2-40B4-BE49-F238E27FC236}">
              <a16:creationId xmlns:a16="http://schemas.microsoft.com/office/drawing/2014/main" id="{B03843E4-03F2-408F-9B91-46B3744A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106696</xdr:colOff>
      <xdr:row>242</xdr:row>
      <xdr:rowOff>42182</xdr:rowOff>
    </xdr:from>
    <xdr:to>
      <xdr:col>17</xdr:col>
      <xdr:colOff>230521</xdr:colOff>
      <xdr:row>261</xdr:row>
      <xdr:rowOff>127907</xdr:rowOff>
    </xdr:to>
    <xdr:graphicFrame macro="">
      <xdr:nvGraphicFramePr>
        <xdr:cNvPr id="6" name="Chart 55">
          <a:extLst>
            <a:ext uri="{FF2B5EF4-FFF2-40B4-BE49-F238E27FC236}">
              <a16:creationId xmlns:a16="http://schemas.microsoft.com/office/drawing/2014/main" id="{76D55F48-9536-4141-B60B-6A89031F2C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428625</xdr:colOff>
      <xdr:row>280</xdr:row>
      <xdr:rowOff>103709</xdr:rowOff>
    </xdr:from>
    <xdr:to>
      <xdr:col>16</xdr:col>
      <xdr:colOff>409575</xdr:colOff>
      <xdr:row>289</xdr:row>
      <xdr:rowOff>103709</xdr:rowOff>
    </xdr:to>
    <xdr:graphicFrame macro="">
      <xdr:nvGraphicFramePr>
        <xdr:cNvPr id="7" name="Chart 56">
          <a:extLst>
            <a:ext uri="{FF2B5EF4-FFF2-40B4-BE49-F238E27FC236}">
              <a16:creationId xmlns:a16="http://schemas.microsoft.com/office/drawing/2014/main" id="{F283655F-09BD-4096-ACB5-5D5BFB41DC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419100</xdr:colOff>
      <xdr:row>292</xdr:row>
      <xdr:rowOff>103709</xdr:rowOff>
    </xdr:from>
    <xdr:to>
      <xdr:col>16</xdr:col>
      <xdr:colOff>425384</xdr:colOff>
      <xdr:row>301</xdr:row>
      <xdr:rowOff>113234</xdr:rowOff>
    </xdr:to>
    <xdr:graphicFrame macro="">
      <xdr:nvGraphicFramePr>
        <xdr:cNvPr id="8" name="Chart 57">
          <a:extLst>
            <a:ext uri="{FF2B5EF4-FFF2-40B4-BE49-F238E27FC236}">
              <a16:creationId xmlns:a16="http://schemas.microsoft.com/office/drawing/2014/main" id="{99BDD7F8-F57E-4BC2-9518-04D7743004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76200</xdr:colOff>
      <xdr:row>144</xdr:row>
      <xdr:rowOff>149088</xdr:rowOff>
    </xdr:from>
    <xdr:to>
      <xdr:col>15</xdr:col>
      <xdr:colOff>228600</xdr:colOff>
      <xdr:row>161</xdr:row>
      <xdr:rowOff>76201</xdr:rowOff>
    </xdr:to>
    <xdr:graphicFrame macro="">
      <xdr:nvGraphicFramePr>
        <xdr:cNvPr id="9" name="Chart 62">
          <a:extLst>
            <a:ext uri="{FF2B5EF4-FFF2-40B4-BE49-F238E27FC236}">
              <a16:creationId xmlns:a16="http://schemas.microsoft.com/office/drawing/2014/main" id="{C437C178-CB4D-4E68-97A9-A36720F712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133351</xdr:colOff>
      <xdr:row>181</xdr:row>
      <xdr:rowOff>133350</xdr:rowOff>
    </xdr:from>
    <xdr:to>
      <xdr:col>17</xdr:col>
      <xdr:colOff>387213</xdr:colOff>
      <xdr:row>198</xdr:row>
      <xdr:rowOff>152400</xdr:rowOff>
    </xdr:to>
    <xdr:graphicFrame macro="">
      <xdr:nvGraphicFramePr>
        <xdr:cNvPr id="10" name="Chart 9">
          <a:extLst>
            <a:ext uri="{FF2B5EF4-FFF2-40B4-BE49-F238E27FC236}">
              <a16:creationId xmlns:a16="http://schemas.microsoft.com/office/drawing/2014/main" id="{0713E33D-1D3D-453B-9073-E3A949E3F9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97971</xdr:colOff>
      <xdr:row>216</xdr:row>
      <xdr:rowOff>63953</xdr:rowOff>
    </xdr:from>
    <xdr:to>
      <xdr:col>17</xdr:col>
      <xdr:colOff>221796</xdr:colOff>
      <xdr:row>235</xdr:row>
      <xdr:rowOff>142875</xdr:rowOff>
    </xdr:to>
    <xdr:graphicFrame macro="">
      <xdr:nvGraphicFramePr>
        <xdr:cNvPr id="11" name="Chart 55">
          <a:extLst>
            <a:ext uri="{FF2B5EF4-FFF2-40B4-BE49-F238E27FC236}">
              <a16:creationId xmlns:a16="http://schemas.microsoft.com/office/drawing/2014/main" id="{0DE4E63D-B98E-4A86-AC57-E1631FDA53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82826</xdr:colOff>
      <xdr:row>127</xdr:row>
      <xdr:rowOff>74544</xdr:rowOff>
    </xdr:from>
    <xdr:to>
      <xdr:col>15</xdr:col>
      <xdr:colOff>248478</xdr:colOff>
      <xdr:row>143</xdr:row>
      <xdr:rowOff>47625</xdr:rowOff>
    </xdr:to>
    <xdr:graphicFrame macro="">
      <xdr:nvGraphicFramePr>
        <xdr:cNvPr id="12" name="Chart 11">
          <a:extLst>
            <a:ext uri="{FF2B5EF4-FFF2-40B4-BE49-F238E27FC236}">
              <a16:creationId xmlns:a16="http://schemas.microsoft.com/office/drawing/2014/main" id="{6509F11E-C0DE-4C1F-B56C-90340EE4E4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47625</xdr:colOff>
      <xdr:row>1</xdr:row>
      <xdr:rowOff>47625</xdr:rowOff>
    </xdr:from>
    <xdr:to>
      <xdr:col>4</xdr:col>
      <xdr:colOff>400050</xdr:colOff>
      <xdr:row>1</xdr:row>
      <xdr:rowOff>498913</xdr:rowOff>
    </xdr:to>
    <xdr:pic>
      <xdr:nvPicPr>
        <xdr:cNvPr id="13" name="Picture 12">
          <a:extLst>
            <a:ext uri="{FF2B5EF4-FFF2-40B4-BE49-F238E27FC236}">
              <a16:creationId xmlns:a16="http://schemas.microsoft.com/office/drawing/2014/main" id="{E940BBBB-6B92-4A33-96F8-CBF409258CA1}"/>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657225" y="209550"/>
          <a:ext cx="2181225" cy="451288"/>
        </a:xfrm>
        <a:prstGeom prst="rect">
          <a:avLst/>
        </a:prstGeom>
      </xdr:spPr>
    </xdr:pic>
    <xdr:clientData/>
  </xdr:twoCellAnchor>
  <xdr:twoCellAnchor>
    <xdr:from>
      <xdr:col>12</xdr:col>
      <xdr:colOff>419100</xdr:colOff>
      <xdr:row>305</xdr:row>
      <xdr:rowOff>103709</xdr:rowOff>
    </xdr:from>
    <xdr:to>
      <xdr:col>16</xdr:col>
      <xdr:colOff>425384</xdr:colOff>
      <xdr:row>314</xdr:row>
      <xdr:rowOff>113234</xdr:rowOff>
    </xdr:to>
    <xdr:graphicFrame macro="">
      <xdr:nvGraphicFramePr>
        <xdr:cNvPr id="14" name="Chart 57">
          <a:extLst>
            <a:ext uri="{FF2B5EF4-FFF2-40B4-BE49-F238E27FC236}">
              <a16:creationId xmlns:a16="http://schemas.microsoft.com/office/drawing/2014/main" id="{B836DD27-94A2-435C-9E4F-733F0CE5EF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178044</xdr:colOff>
      <xdr:row>12</xdr:row>
      <xdr:rowOff>22713</xdr:rowOff>
    </xdr:from>
    <xdr:to>
      <xdr:col>23</xdr:col>
      <xdr:colOff>434486</xdr:colOff>
      <xdr:row>46</xdr:row>
      <xdr:rowOff>22713</xdr:rowOff>
    </xdr:to>
    <xdr:graphicFrame macro="">
      <xdr:nvGraphicFramePr>
        <xdr:cNvPr id="2" name="Chart 1">
          <a:extLst>
            <a:ext uri="{FF2B5EF4-FFF2-40B4-BE49-F238E27FC236}">
              <a16:creationId xmlns:a16="http://schemas.microsoft.com/office/drawing/2014/main" id="{CE16D2F0-8EFB-4CEA-92E9-3C437011A0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47</xdr:row>
      <xdr:rowOff>0</xdr:rowOff>
    </xdr:from>
    <xdr:to>
      <xdr:col>24</xdr:col>
      <xdr:colOff>0</xdr:colOff>
      <xdr:row>70</xdr:row>
      <xdr:rowOff>0</xdr:rowOff>
    </xdr:to>
    <xdr:graphicFrame macro="">
      <xdr:nvGraphicFramePr>
        <xdr:cNvPr id="3" name="Chart 2">
          <a:extLst>
            <a:ext uri="{FF2B5EF4-FFF2-40B4-BE49-F238E27FC236}">
              <a16:creationId xmlns:a16="http://schemas.microsoft.com/office/drawing/2014/main" id="{2045F9C3-3B9D-4CD3-8D16-82001624E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wandsworth.gov.uk/media/1439/amr_2017_18_housing_supply_summary_and_trajecto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williams3/AppData/Local/Microsoft/Windows/Temporary%20Internet%20Files/Content.Outlook/WFTL1OK6/Trajecto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s"/>
      <sheetName val="Trajectory Scenario 1"/>
      <sheetName val="Trajectory Scenario 2"/>
      <sheetName val="Conventional Supply Scenario 1"/>
      <sheetName val="Conventional Supply Scenario 2"/>
      <sheetName val="Non-Self-Contained Supply"/>
      <sheetName val="Conventional Supply Assumptions"/>
      <sheetName val="Non-Self-Contained Assumptions"/>
      <sheetName val="Abbreviations"/>
      <sheetName val="1a Conv"/>
      <sheetName val="1a NSC"/>
      <sheetName val="1c"/>
      <sheetName val="2 NB"/>
      <sheetName val="2 CON"/>
      <sheetName val="3"/>
      <sheetName val="4"/>
      <sheetName val="5 Perm"/>
      <sheetName val="5 Star"/>
      <sheetName val="6 PeNB"/>
      <sheetName val="6 PeCO"/>
      <sheetName val="6 StNB"/>
      <sheetName val="6 StCO"/>
      <sheetName val="7 Perm"/>
      <sheetName val="7 Star"/>
      <sheetName val="8b and 8c"/>
      <sheetName val="11 NB"/>
      <sheetName val="11 CON"/>
      <sheetName val="12"/>
      <sheetName val="13"/>
      <sheetName val="14 Cent"/>
      <sheetName val="14 Clap"/>
      <sheetName val="14 Nine"/>
      <sheetName val="14 Tham"/>
      <sheetName val="14 Wand"/>
      <sheetName val="14 Roeh"/>
      <sheetName val="14 East"/>
      <sheetName val="15"/>
      <sheetName val="16"/>
      <sheetName val="17"/>
      <sheetName val="18"/>
      <sheetName val="19"/>
      <sheetName val="20"/>
    </sheetNames>
    <sheetDataSet>
      <sheetData sheetId="0" refreshError="1"/>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s"/>
      <sheetName val="Scenario 1"/>
      <sheetName val="Scenario 1 Trajectory"/>
      <sheetName val="Scenario 2"/>
      <sheetName val="Scenario 2 Trajectory"/>
      <sheetName val="Assumptions and Abbreviations"/>
      <sheetName val="Pivots"/>
    </sheetNames>
    <sheetDataSet>
      <sheetData sheetId="0"/>
      <sheetData sheetId="1"/>
      <sheetData sheetId="2"/>
      <sheetData sheetId="3"/>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s, Chris" refreshedDate="43721.364940856482" missingItemsLimit="0" createdVersion="6" refreshedVersion="6" minRefreshableVersion="3" recordCount="413" xr:uid="{16BE2442-6ACD-414E-9EFF-658617EB4683}">
  <cacheSource type="worksheet">
    <worksheetSource ref="A1:BE414" sheet="Data"/>
  </cacheSource>
  <cacheFields count="57">
    <cacheField name="Planning Ref" numFmtId="0">
      <sharedItems/>
    </cacheField>
    <cacheField name="Development Category" numFmtId="0">
      <sharedItems containsBlank="1" count="6">
        <s v="CON"/>
        <s v="NEW"/>
        <s v="EXT"/>
        <s v="CHU"/>
        <s v="MIX"/>
        <m/>
      </sharedItems>
    </cacheField>
    <cacheField name="Application Type" numFmtId="0">
      <sharedItems containsBlank="1" count="3">
        <m/>
        <s v="PA"/>
        <s v="Identified Site 5 year"/>
      </sharedItems>
    </cacheField>
    <cacheField name="Address" numFmtId="0">
      <sharedItems/>
    </cacheField>
    <cacheField name="Proposal" numFmtId="0">
      <sharedItems containsBlank="1" longText="1"/>
    </cacheField>
    <cacheField name="Start Date" numFmtId="0">
      <sharedItems containsNonDate="0" containsDate="1" containsString="0" containsBlank="1" minDate="2008-07-15T00:00:00" maxDate="2019-04-03T00:00:00"/>
    </cacheField>
    <cacheField name="Completion Date" numFmtId="0">
      <sharedItems containsDate="1" containsBlank="1" containsMixedTypes="1" minDate="2018-04-01T00:00:00" maxDate="2019-12-01T00:00:00"/>
    </cacheField>
    <cacheField name="Site Status" numFmtId="0">
      <sharedItems count="5">
        <s v="01. Completion"/>
        <s v="02. Under Construction"/>
        <s v="03. Not Started"/>
        <s v="04. Identified Site"/>
        <s v="07. Small Sites Trend"/>
      </sharedItems>
    </cacheField>
    <cacheField name="Tenure" numFmtId="0">
      <sharedItems count="7">
        <s v="Open Market"/>
        <s v="Affordable Rent"/>
        <s v="Intermediate"/>
        <s v="Other?"/>
        <s v="Social Rent"/>
        <s v="Affordable"/>
        <s v="Unknown"/>
      </sharedItems>
    </cacheField>
    <cacheField name="Easting" numFmtId="0">
      <sharedItems containsString="0" containsBlank="1" containsNumber="1" containsInteger="1" minValue="512461" maxValue="522786"/>
    </cacheField>
    <cacheField name="Northing" numFmtId="0">
      <sharedItems containsString="0" containsBlank="1" containsNumber="1" containsInteger="1" minValue="168615" maxValue="178040"/>
    </cacheField>
    <cacheField name="0 bed ex" numFmtId="1">
      <sharedItems containsString="0" containsBlank="1" containsNumber="1" containsInteger="1" minValue="0" maxValue="2"/>
    </cacheField>
    <cacheField name="1 bed ex" numFmtId="1">
      <sharedItems containsSemiMixedTypes="0" containsString="0" containsNumber="1" containsInteger="1" minValue="0" maxValue="29"/>
    </cacheField>
    <cacheField name="2 bed ex" numFmtId="1">
      <sharedItems containsSemiMixedTypes="0" containsString="0" containsNumber="1" containsInteger="1" minValue="0" maxValue="3"/>
    </cacheField>
    <cacheField name="3 bed ex" numFmtId="1">
      <sharedItems containsSemiMixedTypes="0" containsString="0" containsNumber="1" containsInteger="1" minValue="0" maxValue="4"/>
    </cacheField>
    <cacheField name="4 bed ex" numFmtId="1">
      <sharedItems containsSemiMixedTypes="0" containsString="0" containsNumber="1" containsInteger="1" minValue="0" maxValue="2"/>
    </cacheField>
    <cacheField name="5 bed ex" numFmtId="0">
      <sharedItems containsString="0" containsBlank="1" containsNumber="1" containsInteger="1" minValue="0" maxValue="1"/>
    </cacheField>
    <cacheField name="6 bed ex" numFmtId="0">
      <sharedItems containsString="0" containsBlank="1" containsNumber="1" containsInteger="1" minValue="0" maxValue="1"/>
    </cacheField>
    <cacheField name="7 bed ex" numFmtId="0">
      <sharedItems containsString="0" containsBlank="1" containsNumber="1" containsInteger="1" minValue="0" maxValue="1"/>
    </cacheField>
    <cacheField name="Units Existing" numFmtId="1">
      <sharedItems containsSemiMixedTypes="0" containsString="0" containsNumber="1" containsInteger="1" minValue="0" maxValue="30"/>
    </cacheField>
    <cacheField name="0 bed pr" numFmtId="1">
      <sharedItems containsString="0" containsBlank="1" containsNumber="1" containsInteger="1" minValue="0" maxValue="7"/>
    </cacheField>
    <cacheField name="1 bed pr" numFmtId="1">
      <sharedItems containsSemiMixedTypes="0" containsString="0" containsNumber="1" containsInteger="1" minValue="0" maxValue="38"/>
    </cacheField>
    <cacheField name="2 bed pr" numFmtId="1">
      <sharedItems containsSemiMixedTypes="0" containsString="0" containsNumber="1" containsInteger="1" minValue="0" maxValue="79"/>
    </cacheField>
    <cacheField name="3 bed pr" numFmtId="1">
      <sharedItems containsString="0" containsBlank="1" containsNumber="1" containsInteger="1" minValue="0" maxValue="52"/>
    </cacheField>
    <cacheField name="4 bed pr" numFmtId="1">
      <sharedItems containsString="0" containsBlank="1" containsNumber="1" containsInteger="1" minValue="0" maxValue="18"/>
    </cacheField>
    <cacheField name="5 bed pr" numFmtId="0">
      <sharedItems containsString="0" containsBlank="1" containsNumber="1" containsInteger="1" minValue="0" maxValue="7"/>
    </cacheField>
    <cacheField name="6 bed pr" numFmtId="0">
      <sharedItems containsString="0" containsBlank="1" containsNumber="1" containsInteger="1" minValue="0" maxValue="5"/>
    </cacheField>
    <cacheField name="7 bed pr" numFmtId="0">
      <sharedItems containsString="0" containsBlank="1" containsNumber="1" containsInteger="1" minValue="0" maxValue="1"/>
    </cacheField>
    <cacheField name="Units Proposed" numFmtId="1">
      <sharedItems containsSemiMixedTypes="0" containsString="0" containsNumber="1" containsInteger="1" minValue="0" maxValue="146"/>
    </cacheField>
    <cacheField name="0 bed net" numFmtId="1">
      <sharedItems containsString="0" containsBlank="1" containsNumber="1" containsInteger="1" minValue="0" maxValue="7"/>
    </cacheField>
    <cacheField name="1 bed net" numFmtId="1">
      <sharedItems containsSemiMixedTypes="0" containsString="0" containsNumber="1" containsInteger="1" minValue="-29" maxValue="38"/>
    </cacheField>
    <cacheField name="2 bed net" numFmtId="1">
      <sharedItems containsSemiMixedTypes="0" containsString="0" containsNumber="1" containsInteger="1" minValue="-3" maxValue="79"/>
    </cacheField>
    <cacheField name="3 bed net" numFmtId="1">
      <sharedItems containsSemiMixedTypes="0" containsString="0" containsNumber="1" containsInteger="1" minValue="-3" maxValue="52"/>
    </cacheField>
    <cacheField name="4 bed net" numFmtId="1">
      <sharedItems containsSemiMixedTypes="0" containsString="0" containsNumber="1" containsInteger="1" minValue="-2" maxValue="18"/>
    </cacheField>
    <cacheField name="5 bed net" numFmtId="1">
      <sharedItems containsSemiMixedTypes="0" containsString="0" containsNumber="1" containsInteger="1" minValue="-1" maxValue="7"/>
    </cacheField>
    <cacheField name="6 bed net" numFmtId="1">
      <sharedItems containsSemiMixedTypes="0" containsString="0" containsNumber="1" containsInteger="1" minValue="-1" maxValue="5"/>
    </cacheField>
    <cacheField name="7 bed net" numFmtId="1">
      <sharedItems containsSemiMixedTypes="0" containsString="0" containsNumber="1" containsInteger="1" minValue="-1" maxValue="1"/>
    </cacheField>
    <cacheField name="Net Dwellings" numFmtId="1">
      <sharedItems containsString="0" containsBlank="1" containsNumber="1" containsInteger="1" minValue="-30" maxValue="350"/>
    </cacheField>
    <cacheField name="Large Site Completion" numFmtId="0">
      <sharedItems containsBlank="1" count="2">
        <m/>
        <s v="Y"/>
      </sharedItems>
    </cacheField>
    <cacheField name="2018/19 ( R)" numFmtId="165">
      <sharedItems containsSemiMixedTypes="0" containsString="0" containsNumber="1" containsInteger="1" minValue="-3" maxValue="86"/>
    </cacheField>
    <cacheField name="2019/20 (C)" numFmtId="165">
      <sharedItems containsSemiMixedTypes="0" containsString="0" containsNumber="1" minValue="-3" maxValue="101"/>
    </cacheField>
    <cacheField name="2020/21 (1)" numFmtId="165">
      <sharedItems containsSemiMixedTypes="0" containsString="0" containsNumber="1" minValue="-1.25" maxValue="73"/>
    </cacheField>
    <cacheField name="2021/22 (2)" numFmtId="165">
      <sharedItems containsSemiMixedTypes="0" containsString="0" containsNumber="1" minValue="-1.25" maxValue="73"/>
    </cacheField>
    <cacheField name="2022/23 (3)" numFmtId="165">
      <sharedItems containsSemiMixedTypes="0" containsString="0" containsNumber="1" minValue="-15" maxValue="48.666666666666664"/>
    </cacheField>
    <cacheField name="2023/24 (4)" numFmtId="165">
      <sharedItems containsSemiMixedTypes="0" containsString="0" containsNumber="1" minValue="-15" maxValue="75"/>
    </cacheField>
    <cacheField name="2024/25 (5)" numFmtId="165">
      <sharedItems containsSemiMixedTypes="0" containsString="0" containsNumber="1" minValue="0" maxValue="75"/>
    </cacheField>
    <cacheField name="5 year supply" numFmtId="0">
      <sharedItems containsMixedTypes="1" containsNumber="1" containsInteger="1" minValue="0" maxValue="0" count="2">
        <n v="0"/>
        <s v="Y"/>
      </sharedItems>
    </cacheField>
    <cacheField name="2025/26 (6)" numFmtId="165">
      <sharedItems containsSemiMixedTypes="0" containsString="0" containsNumber="1" minValue="0" maxValue="204"/>
    </cacheField>
    <cacheField name="2026/27 (7)" numFmtId="165">
      <sharedItems containsSemiMixedTypes="0" containsString="0" containsNumber="1" minValue="0" maxValue="204"/>
    </cacheField>
    <cacheField name="2027/28 (8)" numFmtId="165">
      <sharedItems containsSemiMixedTypes="0" containsString="0" containsNumber="1" minValue="0" maxValue="204"/>
    </cacheField>
    <cacheField name="2028/29 (9)" numFmtId="165">
      <sharedItems containsSemiMixedTypes="0" containsString="0" containsNumber="1" minValue="0" maxValue="204"/>
    </cacheField>
    <cacheField name="2029/30 (10)" numFmtId="165">
      <sharedItems containsSemiMixedTypes="0" containsString="0" containsNumber="1" minValue="0" maxValue="204"/>
    </cacheField>
    <cacheField name="Ward" numFmtId="0">
      <sharedItems containsBlank="1" count="19">
        <s v="Heathfield"/>
        <s v="West Twickenham"/>
        <s v="Teddington"/>
        <s v="St. Margarets and North Twickenham"/>
        <s v="Twickenham Riverside"/>
        <s v="Fulwell and Hampton Hill"/>
        <s v="East Sheen"/>
        <s v="Ham, Petersham and Richmond Riverside"/>
        <s v="Hampton"/>
        <s v="Hampton Wick"/>
        <s v="Kew"/>
        <s v="Mortlake and Barnes Common"/>
        <s v="South Richmond"/>
        <s v="Hampton North"/>
        <s v="Barnes"/>
        <s v="Whitton"/>
        <s v="North Richmond"/>
        <s v="South Twickenham"/>
        <m/>
      </sharedItems>
    </cacheField>
    <cacheField name="Green_Belt" numFmtId="0">
      <sharedItems containsBlank="1"/>
    </cacheField>
    <cacheField name="Mixed_Land_Use" numFmtId="0">
      <sharedItems containsBlank="1" count="17">
        <m/>
        <s v="Hampton Wick"/>
        <s v="Castelnau"/>
        <s v="Church Road/Castelnau"/>
        <s v="High Street"/>
        <s v="St Margarets"/>
        <s v="Station Road"/>
        <s v="Hampton Road"/>
        <s v="Mortlake"/>
        <s v="White Hart lane"/>
        <s v="Sheen Road"/>
        <s v="Stanley Road"/>
        <s v="Sandycombe Road North"/>
        <s v="Kew Gardens Station"/>
        <s v="Thames Street"/>
        <s v="East Twickenham"/>
        <s v="Twickenham Green"/>
      </sharedItems>
    </cacheField>
    <cacheField name="Town_Centre" numFmtId="0">
      <sharedItems containsBlank="1" count="6">
        <m/>
        <s v="Twickenham"/>
        <s v="East Sheen"/>
        <s v="Richmond"/>
        <s v="Teddington"/>
        <s v="Whitton"/>
      </sharedItems>
    </cacheField>
    <cacheField name="Thames Policy Area" numFmtId="0">
      <sharedItems containsBlank="1" count="2">
        <m/>
        <s v="Thames Policy Area"/>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s, Chris" refreshedDate="43721.364943518522" createdVersion="6" refreshedVersion="6" minRefreshableVersion="3" recordCount="413" xr:uid="{12C6C2D4-9EC2-492E-BB71-EC07CB6D3325}">
  <cacheSource type="worksheet">
    <worksheetSource ref="A1:BF414" sheet="Data"/>
  </cacheSource>
  <cacheFields count="58">
    <cacheField name="Planning Ref" numFmtId="0">
      <sharedItems/>
    </cacheField>
    <cacheField name="Development Category" numFmtId="0">
      <sharedItems containsBlank="1"/>
    </cacheField>
    <cacheField name="Application Type" numFmtId="0">
      <sharedItems containsBlank="1"/>
    </cacheField>
    <cacheField name="Address" numFmtId="0">
      <sharedItems/>
    </cacheField>
    <cacheField name="Proposal" numFmtId="0">
      <sharedItems containsBlank="1" longText="1"/>
    </cacheField>
    <cacheField name="Start Date" numFmtId="0">
      <sharedItems containsNonDate="0" containsDate="1" containsString="0" containsBlank="1" minDate="2008-07-15T00:00:00" maxDate="2019-04-03T00:00:00"/>
    </cacheField>
    <cacheField name="Completion Date" numFmtId="0">
      <sharedItems containsDate="1" containsBlank="1" containsMixedTypes="1" minDate="2018-04-01T00:00:00" maxDate="2019-12-01T00:00:00"/>
    </cacheField>
    <cacheField name="Site Status" numFmtId="0">
      <sharedItems count="6">
        <s v="01. Completion"/>
        <s v="02. Under Construction"/>
        <s v="03. Not Started"/>
        <s v="04. Identified Site"/>
        <s v="07. Small Sites Trend"/>
        <s v="02. Not Started" u="1"/>
      </sharedItems>
    </cacheField>
    <cacheField name="Tenure" numFmtId="0">
      <sharedItems/>
    </cacheField>
    <cacheField name="Easting" numFmtId="0">
      <sharedItems containsString="0" containsBlank="1" containsNumber="1" containsInteger="1" minValue="512461" maxValue="522786"/>
    </cacheField>
    <cacheField name="Northing" numFmtId="0">
      <sharedItems containsString="0" containsBlank="1" containsNumber="1" containsInteger="1" minValue="168615" maxValue="178040"/>
    </cacheField>
    <cacheField name="0 bed ex" numFmtId="1">
      <sharedItems containsString="0" containsBlank="1" containsNumber="1" containsInteger="1" minValue="0" maxValue="2"/>
    </cacheField>
    <cacheField name="1 bed ex" numFmtId="1">
      <sharedItems containsSemiMixedTypes="0" containsString="0" containsNumber="1" containsInteger="1" minValue="0" maxValue="29"/>
    </cacheField>
    <cacheField name="2 bed ex" numFmtId="1">
      <sharedItems containsSemiMixedTypes="0" containsString="0" containsNumber="1" containsInteger="1" minValue="0" maxValue="3"/>
    </cacheField>
    <cacheField name="3 bed ex" numFmtId="1">
      <sharedItems containsSemiMixedTypes="0" containsString="0" containsNumber="1" containsInteger="1" minValue="0" maxValue="4"/>
    </cacheField>
    <cacheField name="4 bed ex" numFmtId="1">
      <sharedItems containsSemiMixedTypes="0" containsString="0" containsNumber="1" containsInteger="1" minValue="0" maxValue="2"/>
    </cacheField>
    <cacheField name="5 bed ex" numFmtId="0">
      <sharedItems containsString="0" containsBlank="1" containsNumber="1" containsInteger="1" minValue="0" maxValue="1"/>
    </cacheField>
    <cacheField name="6 bed ex" numFmtId="0">
      <sharedItems containsString="0" containsBlank="1" containsNumber="1" containsInteger="1" minValue="0" maxValue="1"/>
    </cacheField>
    <cacheField name="7 bed ex" numFmtId="0">
      <sharedItems containsString="0" containsBlank="1" containsNumber="1" containsInteger="1" minValue="0" maxValue="1"/>
    </cacheField>
    <cacheField name="Units Existing" numFmtId="1">
      <sharedItems containsSemiMixedTypes="0" containsString="0" containsNumber="1" containsInteger="1" minValue="0" maxValue="30"/>
    </cacheField>
    <cacheField name="0 bed pr" numFmtId="1">
      <sharedItems containsString="0" containsBlank="1" containsNumber="1" containsInteger="1" minValue="0" maxValue="7"/>
    </cacheField>
    <cacheField name="1 bed pr" numFmtId="1">
      <sharedItems containsSemiMixedTypes="0" containsString="0" containsNumber="1" containsInteger="1" minValue="0" maxValue="38"/>
    </cacheField>
    <cacheField name="2 bed pr" numFmtId="1">
      <sharedItems containsSemiMixedTypes="0" containsString="0" containsNumber="1" containsInteger="1" minValue="0" maxValue="79"/>
    </cacheField>
    <cacheField name="3 bed pr" numFmtId="1">
      <sharedItems containsString="0" containsBlank="1" containsNumber="1" containsInteger="1" minValue="0" maxValue="52"/>
    </cacheField>
    <cacheField name="4 bed pr" numFmtId="1">
      <sharedItems containsString="0" containsBlank="1" containsNumber="1" containsInteger="1" minValue="0" maxValue="18"/>
    </cacheField>
    <cacheField name="5 bed pr" numFmtId="0">
      <sharedItems containsString="0" containsBlank="1" containsNumber="1" containsInteger="1" minValue="0" maxValue="7"/>
    </cacheField>
    <cacheField name="6 bed pr" numFmtId="0">
      <sharedItems containsString="0" containsBlank="1" containsNumber="1" containsInteger="1" minValue="0" maxValue="5"/>
    </cacheField>
    <cacheField name="7 bed pr" numFmtId="0">
      <sharedItems containsString="0" containsBlank="1" containsNumber="1" containsInteger="1" minValue="0" maxValue="1"/>
    </cacheField>
    <cacheField name="Units Proposed" numFmtId="1">
      <sharedItems containsSemiMixedTypes="0" containsString="0" containsNumber="1" containsInteger="1" minValue="0" maxValue="146"/>
    </cacheField>
    <cacheField name="0 bed net" numFmtId="1">
      <sharedItems containsString="0" containsBlank="1" containsNumber="1" containsInteger="1" minValue="0" maxValue="7"/>
    </cacheField>
    <cacheField name="1 bed net" numFmtId="1">
      <sharedItems containsSemiMixedTypes="0" containsString="0" containsNumber="1" containsInteger="1" minValue="-29" maxValue="38"/>
    </cacheField>
    <cacheField name="2 bed net" numFmtId="1">
      <sharedItems containsSemiMixedTypes="0" containsString="0" containsNumber="1" containsInteger="1" minValue="-3" maxValue="79"/>
    </cacheField>
    <cacheField name="3 bed net" numFmtId="1">
      <sharedItems containsSemiMixedTypes="0" containsString="0" containsNumber="1" containsInteger="1" minValue="-3" maxValue="52"/>
    </cacheField>
    <cacheField name="4 bed net" numFmtId="1">
      <sharedItems containsSemiMixedTypes="0" containsString="0" containsNumber="1" containsInteger="1" minValue="-2" maxValue="18"/>
    </cacheField>
    <cacheField name="5 bed net" numFmtId="1">
      <sharedItems containsSemiMixedTypes="0" containsString="0" containsNumber="1" containsInteger="1" minValue="-1" maxValue="7"/>
    </cacheField>
    <cacheField name="6 bed net" numFmtId="1">
      <sharedItems containsSemiMixedTypes="0" containsString="0" containsNumber="1" containsInteger="1" minValue="-1" maxValue="5"/>
    </cacheField>
    <cacheField name="7 bed net" numFmtId="1">
      <sharedItems containsSemiMixedTypes="0" containsString="0" containsNumber="1" containsInteger="1" minValue="-1" maxValue="1"/>
    </cacheField>
    <cacheField name="Net Dwellings" numFmtId="1">
      <sharedItems containsString="0" containsBlank="1" containsNumber="1" containsInteger="1" minValue="-30" maxValue="350"/>
    </cacheField>
    <cacheField name="Large Site Completion" numFmtId="0">
      <sharedItems containsBlank="1"/>
    </cacheField>
    <cacheField name="2018/19 ( R)" numFmtId="165">
      <sharedItems containsSemiMixedTypes="0" containsString="0" containsNumber="1" containsInteger="1" minValue="-3" maxValue="86"/>
    </cacheField>
    <cacheField name="2019/20 (C)" numFmtId="165">
      <sharedItems containsSemiMixedTypes="0" containsString="0" containsNumber="1" minValue="-3" maxValue="101"/>
    </cacheField>
    <cacheField name="2020/21 (1)" numFmtId="165">
      <sharedItems containsSemiMixedTypes="0" containsString="0" containsNumber="1" minValue="-1.25" maxValue="73"/>
    </cacheField>
    <cacheField name="2021/22 (2)" numFmtId="165">
      <sharedItems containsSemiMixedTypes="0" containsString="0" containsNumber="1" minValue="-1.25" maxValue="73"/>
    </cacheField>
    <cacheField name="2022/23 (3)" numFmtId="165">
      <sharedItems containsSemiMixedTypes="0" containsString="0" containsNumber="1" minValue="-15" maxValue="48.666666666666664"/>
    </cacheField>
    <cacheField name="2023/24 (4)" numFmtId="165">
      <sharedItems containsSemiMixedTypes="0" containsString="0" containsNumber="1" minValue="-15" maxValue="75"/>
    </cacheField>
    <cacheField name="2024/25 (5)" numFmtId="165">
      <sharedItems containsSemiMixedTypes="0" containsString="0" containsNumber="1" minValue="0" maxValue="75"/>
    </cacheField>
    <cacheField name="5 year supply" numFmtId="0">
      <sharedItems containsMixedTypes="1" containsNumber="1" containsInteger="1" minValue="0" maxValue="0"/>
    </cacheField>
    <cacheField name="2025/26 (6)" numFmtId="165">
      <sharedItems containsSemiMixedTypes="0" containsString="0" containsNumber="1" minValue="0" maxValue="204"/>
    </cacheField>
    <cacheField name="2026/27 (7)" numFmtId="165">
      <sharedItems containsSemiMixedTypes="0" containsString="0" containsNumber="1" minValue="0" maxValue="204"/>
    </cacheField>
    <cacheField name="2027/28 (8)" numFmtId="165">
      <sharedItems containsSemiMixedTypes="0" containsString="0" containsNumber="1" minValue="0" maxValue="204"/>
    </cacheField>
    <cacheField name="2028/29 (9)" numFmtId="165">
      <sharedItems containsSemiMixedTypes="0" containsString="0" containsNumber="1" minValue="0" maxValue="204"/>
    </cacheField>
    <cacheField name="2029/30 (10)" numFmtId="165">
      <sharedItems containsSemiMixedTypes="0" containsString="0" containsNumber="1" minValue="0" maxValue="204"/>
    </cacheField>
    <cacheField name="Ward" numFmtId="0">
      <sharedItems containsBlank="1"/>
    </cacheField>
    <cacheField name="Green_Belt" numFmtId="0">
      <sharedItems containsBlank="1"/>
    </cacheField>
    <cacheField name="Mixed_Land_Use" numFmtId="0">
      <sharedItems containsBlank="1"/>
    </cacheField>
    <cacheField name="Town_Centre" numFmtId="0">
      <sharedItems containsBlank="1"/>
    </cacheField>
    <cacheField name="Thames Policy Area" numFmtId="0">
      <sharedItems containsBlank="1"/>
    </cacheField>
    <cacheField name="Garden Land" numFmtId="0">
      <sharedItems containsBlank="1" count="3">
        <m/>
        <s v="Y"/>
        <s v="GARDEN"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s, Chris" refreshedDate="43721.364943749999" createdVersion="6" refreshedVersion="6" minRefreshableVersion="3" recordCount="413" xr:uid="{E34C5B82-EB9E-4D8E-95D0-47327C528566}">
  <cacheSource type="worksheet">
    <worksheetSource ref="A1:BF414" sheet="Data"/>
  </cacheSource>
  <cacheFields count="58">
    <cacheField name="Planning Ref" numFmtId="0">
      <sharedItems/>
    </cacheField>
    <cacheField name="Development Category" numFmtId="0">
      <sharedItems containsBlank="1"/>
    </cacheField>
    <cacheField name="Application Type" numFmtId="0">
      <sharedItems containsBlank="1"/>
    </cacheField>
    <cacheField name="Address" numFmtId="0">
      <sharedItems/>
    </cacheField>
    <cacheField name="Proposal" numFmtId="0">
      <sharedItems containsBlank="1" longText="1"/>
    </cacheField>
    <cacheField name="Start Date" numFmtId="0">
      <sharedItems containsNonDate="0" containsDate="1" containsString="0" containsBlank="1" minDate="2008-07-15T00:00:00" maxDate="2019-04-03T00:00:00"/>
    </cacheField>
    <cacheField name="Completion Date" numFmtId="0">
      <sharedItems containsDate="1" containsBlank="1" containsMixedTypes="1" minDate="2018-04-01T00:00:00" maxDate="2019-12-01T00:00:00"/>
    </cacheField>
    <cacheField name="Site Status" numFmtId="0">
      <sharedItems count="6">
        <s v="01. Completion"/>
        <s v="02. Under Construction"/>
        <s v="03. Not Started"/>
        <s v="04. Identified Site"/>
        <s v="07. Small Sites Trend"/>
        <s v="02. Not Started" u="1"/>
      </sharedItems>
    </cacheField>
    <cacheField name="Tenure" numFmtId="0">
      <sharedItems/>
    </cacheField>
    <cacheField name="Easting" numFmtId="0">
      <sharedItems containsString="0" containsBlank="1" containsNumber="1" containsInteger="1" minValue="512461" maxValue="522786"/>
    </cacheField>
    <cacheField name="Northing" numFmtId="0">
      <sharedItems containsString="0" containsBlank="1" containsNumber="1" containsInteger="1" minValue="168615" maxValue="178040"/>
    </cacheField>
    <cacheField name="0 bed ex" numFmtId="1">
      <sharedItems containsString="0" containsBlank="1" containsNumber="1" containsInteger="1" minValue="0" maxValue="2"/>
    </cacheField>
    <cacheField name="1 bed ex" numFmtId="1">
      <sharedItems containsSemiMixedTypes="0" containsString="0" containsNumber="1" containsInteger="1" minValue="0" maxValue="29"/>
    </cacheField>
    <cacheField name="2 bed ex" numFmtId="1">
      <sharedItems containsSemiMixedTypes="0" containsString="0" containsNumber="1" containsInteger="1" minValue="0" maxValue="3"/>
    </cacheField>
    <cacheField name="3 bed ex" numFmtId="1">
      <sharedItems containsSemiMixedTypes="0" containsString="0" containsNumber="1" containsInteger="1" minValue="0" maxValue="4"/>
    </cacheField>
    <cacheField name="4 bed ex" numFmtId="1">
      <sharedItems containsSemiMixedTypes="0" containsString="0" containsNumber="1" containsInteger="1" minValue="0" maxValue="2"/>
    </cacheField>
    <cacheField name="5 bed ex" numFmtId="0">
      <sharedItems containsString="0" containsBlank="1" containsNumber="1" containsInteger="1" minValue="0" maxValue="1"/>
    </cacheField>
    <cacheField name="6 bed ex" numFmtId="0">
      <sharedItems containsString="0" containsBlank="1" containsNumber="1" containsInteger="1" minValue="0" maxValue="1"/>
    </cacheField>
    <cacheField name="7 bed ex" numFmtId="0">
      <sharedItems containsString="0" containsBlank="1" containsNumber="1" containsInteger="1" minValue="0" maxValue="1"/>
    </cacheField>
    <cacheField name="Units Existing" numFmtId="1">
      <sharedItems containsSemiMixedTypes="0" containsString="0" containsNumber="1" containsInteger="1" minValue="0" maxValue="30"/>
    </cacheField>
    <cacheField name="0 bed pr" numFmtId="1">
      <sharedItems containsString="0" containsBlank="1" containsNumber="1" containsInteger="1" minValue="0" maxValue="7"/>
    </cacheField>
    <cacheField name="1 bed pr" numFmtId="1">
      <sharedItems containsSemiMixedTypes="0" containsString="0" containsNumber="1" containsInteger="1" minValue="0" maxValue="38"/>
    </cacheField>
    <cacheField name="2 bed pr" numFmtId="1">
      <sharedItems containsSemiMixedTypes="0" containsString="0" containsNumber="1" containsInteger="1" minValue="0" maxValue="79"/>
    </cacheField>
    <cacheField name="3 bed pr" numFmtId="1">
      <sharedItems containsString="0" containsBlank="1" containsNumber="1" containsInteger="1" minValue="0" maxValue="52"/>
    </cacheField>
    <cacheField name="4 bed pr" numFmtId="1">
      <sharedItems containsString="0" containsBlank="1" containsNumber="1" containsInteger="1" minValue="0" maxValue="18"/>
    </cacheField>
    <cacheField name="5 bed pr" numFmtId="0">
      <sharedItems containsString="0" containsBlank="1" containsNumber="1" containsInteger="1" minValue="0" maxValue="7"/>
    </cacheField>
    <cacheField name="6 bed pr" numFmtId="0">
      <sharedItems containsString="0" containsBlank="1" containsNumber="1" containsInteger="1" minValue="0" maxValue="5"/>
    </cacheField>
    <cacheField name="7 bed pr" numFmtId="0">
      <sharedItems containsString="0" containsBlank="1" containsNumber="1" containsInteger="1" minValue="0" maxValue="1"/>
    </cacheField>
    <cacheField name="Units Proposed" numFmtId="1">
      <sharedItems containsSemiMixedTypes="0" containsString="0" containsNumber="1" containsInteger="1" minValue="0" maxValue="146"/>
    </cacheField>
    <cacheField name="0 bed net" numFmtId="1">
      <sharedItems containsString="0" containsBlank="1" containsNumber="1" containsInteger="1" minValue="0" maxValue="7"/>
    </cacheField>
    <cacheField name="1 bed net" numFmtId="1">
      <sharedItems containsSemiMixedTypes="0" containsString="0" containsNumber="1" containsInteger="1" minValue="-29" maxValue="38"/>
    </cacheField>
    <cacheField name="2 bed net" numFmtId="1">
      <sharedItems containsSemiMixedTypes="0" containsString="0" containsNumber="1" containsInteger="1" minValue="-3" maxValue="79"/>
    </cacheField>
    <cacheField name="3 bed net" numFmtId="1">
      <sharedItems containsSemiMixedTypes="0" containsString="0" containsNumber="1" containsInteger="1" minValue="-3" maxValue="52"/>
    </cacheField>
    <cacheField name="4 bed net" numFmtId="1">
      <sharedItems containsSemiMixedTypes="0" containsString="0" containsNumber="1" containsInteger="1" minValue="-2" maxValue="18"/>
    </cacheField>
    <cacheField name="5 bed net" numFmtId="1">
      <sharedItems containsSemiMixedTypes="0" containsString="0" containsNumber="1" containsInteger="1" minValue="-1" maxValue="7"/>
    </cacheField>
    <cacheField name="6 bed net" numFmtId="1">
      <sharedItems containsSemiMixedTypes="0" containsString="0" containsNumber="1" containsInteger="1" minValue="-1" maxValue="5"/>
    </cacheField>
    <cacheField name="7 bed net" numFmtId="1">
      <sharedItems containsSemiMixedTypes="0" containsString="0" containsNumber="1" containsInteger="1" minValue="-1" maxValue="1"/>
    </cacheField>
    <cacheField name="Net Dwellings" numFmtId="1">
      <sharedItems containsString="0" containsBlank="1" containsNumber="1" containsInteger="1" minValue="-30" maxValue="350"/>
    </cacheField>
    <cacheField name="Large Site Completion" numFmtId="0">
      <sharedItems containsBlank="1"/>
    </cacheField>
    <cacheField name="2018/19 ( R)" numFmtId="165">
      <sharedItems containsSemiMixedTypes="0" containsString="0" containsNumber="1" containsInteger="1" minValue="-3" maxValue="86"/>
    </cacheField>
    <cacheField name="2019/20 (C)" numFmtId="165">
      <sharedItems containsSemiMixedTypes="0" containsString="0" containsNumber="1" minValue="-3" maxValue="101"/>
    </cacheField>
    <cacheField name="2020/21 (1)" numFmtId="165">
      <sharedItems containsSemiMixedTypes="0" containsString="0" containsNumber="1" minValue="-1.25" maxValue="73"/>
    </cacheField>
    <cacheField name="2021/22 (2)" numFmtId="165">
      <sharedItems containsSemiMixedTypes="0" containsString="0" containsNumber="1" minValue="-1.25" maxValue="73"/>
    </cacheField>
    <cacheField name="2022/23 (3)" numFmtId="165">
      <sharedItems containsSemiMixedTypes="0" containsString="0" containsNumber="1" minValue="-15" maxValue="48.666666666666664"/>
    </cacheField>
    <cacheField name="2023/24 (4)" numFmtId="165">
      <sharedItems containsSemiMixedTypes="0" containsString="0" containsNumber="1" minValue="-15" maxValue="75"/>
    </cacheField>
    <cacheField name="2024/25 (5)" numFmtId="165">
      <sharedItems containsSemiMixedTypes="0" containsString="0" containsNumber="1" minValue="0" maxValue="75"/>
    </cacheField>
    <cacheField name="5 year supply" numFmtId="0">
      <sharedItems containsMixedTypes="1" containsNumber="1" containsInteger="1" minValue="0" maxValue="0"/>
    </cacheField>
    <cacheField name="2025/26 (6)" numFmtId="165">
      <sharedItems containsSemiMixedTypes="0" containsString="0" containsNumber="1" minValue="0" maxValue="204"/>
    </cacheField>
    <cacheField name="2026/27 (7)" numFmtId="165">
      <sharedItems containsSemiMixedTypes="0" containsString="0" containsNumber="1" minValue="0" maxValue="204"/>
    </cacheField>
    <cacheField name="2027/28 (8)" numFmtId="165">
      <sharedItems containsSemiMixedTypes="0" containsString="0" containsNumber="1" minValue="0" maxValue="204"/>
    </cacheField>
    <cacheField name="2028/29 (9)" numFmtId="165">
      <sharedItems containsSemiMixedTypes="0" containsString="0" containsNumber="1" minValue="0" maxValue="204"/>
    </cacheField>
    <cacheField name="2029/30 (10)" numFmtId="165">
      <sharedItems containsSemiMixedTypes="0" containsString="0" containsNumber="1" minValue="0" maxValue="204"/>
    </cacheField>
    <cacheField name="Ward" numFmtId="0">
      <sharedItems containsBlank="1"/>
    </cacheField>
    <cacheField name="Green_Belt" numFmtId="0">
      <sharedItems containsBlank="1"/>
    </cacheField>
    <cacheField name="Mixed_Land_Use" numFmtId="0">
      <sharedItems containsBlank="1"/>
    </cacheField>
    <cacheField name="Town_Centre" numFmtId="0">
      <sharedItems containsBlank="1"/>
    </cacheField>
    <cacheField name="Thames Policy Area" numFmtId="0">
      <sharedItems containsBlank="1"/>
    </cacheField>
    <cacheField name="Garden Land" numFmtId="0">
      <sharedItems containsBlank="1" count="3">
        <m/>
        <s v="Y"/>
        <s v="GARDEN"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3">
  <r>
    <s v="07/2346/FUL"/>
    <x v="0"/>
    <x v="0"/>
    <s v="62 Mill Farm Crescent_x000d_Whitton_x000d_Middlesex_x000d_TW4 5PG"/>
    <s v="Conversion of house into three units incorporating: one studio unit, one 1-bedroom unit,one 3-bedroom unit. Rear Extension And Associated Parking, Refuse And Cycle Storage Facilities."/>
    <d v="2008-07-15T00:00:00"/>
    <d v="2018-06-27T00:00:00"/>
    <x v="0"/>
    <x v="0"/>
    <n v="512461"/>
    <n v="173391"/>
    <n v="0"/>
    <n v="0"/>
    <n v="0"/>
    <n v="1"/>
    <n v="0"/>
    <m/>
    <m/>
    <m/>
    <n v="1"/>
    <n v="1"/>
    <n v="1"/>
    <n v="0"/>
    <n v="1"/>
    <n v="0"/>
    <m/>
    <m/>
    <m/>
    <n v="3"/>
    <n v="1"/>
    <n v="1"/>
    <n v="0"/>
    <n v="0"/>
    <n v="0"/>
    <n v="0"/>
    <n v="0"/>
    <n v="0"/>
    <n v="2"/>
    <x v="0"/>
    <n v="2"/>
    <n v="0"/>
    <n v="0"/>
    <n v="0"/>
    <n v="0"/>
    <n v="0"/>
    <n v="0"/>
    <x v="0"/>
    <n v="0"/>
    <n v="0"/>
    <n v="0"/>
    <n v="0"/>
    <n v="0"/>
    <x v="0"/>
    <m/>
    <x v="0"/>
    <x v="0"/>
    <x v="0"/>
  </r>
  <r>
    <s v="08/0225/FUL"/>
    <x v="1"/>
    <x v="0"/>
    <s v="Pouparts Yard And Land Rear Of 84A_x000d_Hampton Road_x000d_Twickenham_x000d_Middlesex"/>
    <s v="Demolition of Pouparts Yard workshop and the erection of a mixed use development comprising 9 No. residential units and 348 square metres of commercial floor space with associated parking and landscaping."/>
    <d v="2012-12-06T00:00:00"/>
    <d v="2018-08-31T00:00:00"/>
    <x v="0"/>
    <x v="0"/>
    <n v="514981"/>
    <n v="172687"/>
    <n v="0"/>
    <n v="0"/>
    <n v="0"/>
    <n v="0"/>
    <n v="0"/>
    <m/>
    <m/>
    <m/>
    <n v="0"/>
    <n v="1"/>
    <n v="2"/>
    <n v="5"/>
    <n v="1"/>
    <n v="0"/>
    <m/>
    <m/>
    <m/>
    <n v="9"/>
    <n v="1"/>
    <n v="2"/>
    <n v="5"/>
    <n v="1"/>
    <n v="0"/>
    <n v="0"/>
    <n v="0"/>
    <n v="0"/>
    <n v="9"/>
    <x v="0"/>
    <n v="9"/>
    <n v="0"/>
    <n v="0"/>
    <n v="0"/>
    <n v="0"/>
    <n v="0"/>
    <n v="0"/>
    <x v="0"/>
    <n v="0"/>
    <n v="0"/>
    <n v="0"/>
    <n v="0"/>
    <n v="0"/>
    <x v="1"/>
    <m/>
    <x v="0"/>
    <x v="0"/>
    <x v="0"/>
  </r>
  <r>
    <s v="09/3265/FUL"/>
    <x v="1"/>
    <x v="0"/>
    <s v="Newland House School_x000d_28 - 36 Waldegrave Park_x000d_Twickenham"/>
    <s v="Demolish no. 28 Waldegrave Park, replace with pre-preparatory unit and change of use to educational. Demolish storage units rear of 36 Waldegrave Park. New vehicular access. Create 8 new car parking spaces inc.1 disabled space. Rearrange parking at front"/>
    <m/>
    <d v="2018-06-08T00:00:00"/>
    <x v="0"/>
    <x v="0"/>
    <n v="515893"/>
    <n v="171816"/>
    <n v="0"/>
    <n v="0"/>
    <n v="0"/>
    <n v="0"/>
    <n v="1"/>
    <m/>
    <m/>
    <m/>
    <n v="1"/>
    <n v="0"/>
    <n v="0"/>
    <n v="0"/>
    <n v="0"/>
    <n v="0"/>
    <m/>
    <m/>
    <m/>
    <n v="0"/>
    <n v="0"/>
    <n v="0"/>
    <n v="0"/>
    <n v="0"/>
    <n v="-1"/>
    <n v="0"/>
    <n v="0"/>
    <n v="0"/>
    <n v="-1"/>
    <x v="0"/>
    <n v="-1"/>
    <n v="0"/>
    <n v="0"/>
    <n v="0"/>
    <n v="0"/>
    <n v="0"/>
    <n v="0"/>
    <x v="0"/>
    <n v="0"/>
    <n v="0"/>
    <n v="0"/>
    <n v="0"/>
    <n v="0"/>
    <x v="2"/>
    <m/>
    <x v="0"/>
    <x v="0"/>
    <x v="0"/>
  </r>
  <r>
    <s v="10/1026/FUL"/>
    <x v="0"/>
    <x v="0"/>
    <s v="21 St Georges Road_x000d_Twickenham"/>
    <s v="Change of use from 3 no. self contained flats to a single family dwelling house incorporating minor internal alterations."/>
    <d v="2013-06-13T00:00:00"/>
    <d v="2018-08-14T00:00:00"/>
    <x v="0"/>
    <x v="0"/>
    <n v="516929"/>
    <n v="174807"/>
    <m/>
    <n v="0"/>
    <n v="0"/>
    <n v="3"/>
    <n v="0"/>
    <m/>
    <m/>
    <m/>
    <n v="3"/>
    <m/>
    <n v="0"/>
    <n v="0"/>
    <n v="0"/>
    <n v="1"/>
    <m/>
    <m/>
    <m/>
    <n v="1"/>
    <m/>
    <n v="0"/>
    <n v="0"/>
    <n v="-3"/>
    <n v="1"/>
    <n v="0"/>
    <n v="0"/>
    <n v="0"/>
    <n v="-2"/>
    <x v="0"/>
    <n v="-2"/>
    <n v="0"/>
    <n v="0"/>
    <n v="0"/>
    <n v="0"/>
    <n v="0"/>
    <n v="0"/>
    <x v="0"/>
    <n v="0"/>
    <n v="0"/>
    <n v="0"/>
    <n v="0"/>
    <n v="0"/>
    <x v="3"/>
    <m/>
    <x v="0"/>
    <x v="0"/>
    <x v="0"/>
  </r>
  <r>
    <s v="10/1864/FUL"/>
    <x v="1"/>
    <x v="0"/>
    <s v="84 Whitton Road_x000d_Twickenham_x000d_TW1 1BS"/>
    <s v="Erection of 9 residential units."/>
    <d v="2016-02-01T00:00:00"/>
    <d v="2018-07-31T00:00:00"/>
    <x v="0"/>
    <x v="0"/>
    <n v="515818"/>
    <n v="173973"/>
    <m/>
    <n v="0"/>
    <n v="0"/>
    <n v="0"/>
    <n v="0"/>
    <m/>
    <m/>
    <m/>
    <n v="0"/>
    <m/>
    <n v="3"/>
    <n v="0"/>
    <n v="6"/>
    <n v="0"/>
    <m/>
    <m/>
    <m/>
    <n v="9"/>
    <m/>
    <n v="3"/>
    <n v="0"/>
    <n v="6"/>
    <n v="0"/>
    <n v="0"/>
    <n v="0"/>
    <n v="0"/>
    <n v="9"/>
    <x v="0"/>
    <n v="9"/>
    <n v="0"/>
    <n v="0"/>
    <n v="0"/>
    <n v="0"/>
    <n v="0"/>
    <n v="0"/>
    <x v="0"/>
    <n v="0"/>
    <n v="0"/>
    <n v="0"/>
    <n v="0"/>
    <n v="0"/>
    <x v="3"/>
    <m/>
    <x v="0"/>
    <x v="0"/>
    <x v="0"/>
  </r>
  <r>
    <s v="11/3248/FUL"/>
    <x v="1"/>
    <x v="0"/>
    <s v="37 Grosvenor Road Twickenham"/>
    <s v="Amendments to planning permission 08/4334/FUL during the course of construction to amend 3x 1 bed units of accommodation at the rear of No. 37 Grosvenor Road into 1x2 bed unit with associated internal alterations."/>
    <d v="2012-10-01T00:00:00"/>
    <d v="2018-04-02T00:00:00"/>
    <x v="0"/>
    <x v="0"/>
    <n v="516120"/>
    <n v="173429"/>
    <m/>
    <n v="0"/>
    <n v="0"/>
    <n v="0"/>
    <n v="0"/>
    <m/>
    <m/>
    <m/>
    <n v="0"/>
    <m/>
    <n v="6"/>
    <n v="1"/>
    <n v="0"/>
    <n v="0"/>
    <m/>
    <m/>
    <m/>
    <n v="7"/>
    <m/>
    <n v="6"/>
    <n v="1"/>
    <n v="0"/>
    <n v="0"/>
    <n v="0"/>
    <n v="0"/>
    <n v="0"/>
    <n v="7"/>
    <x v="0"/>
    <n v="7"/>
    <n v="0"/>
    <n v="0"/>
    <n v="0"/>
    <n v="0"/>
    <n v="0"/>
    <n v="0"/>
    <x v="0"/>
    <n v="0"/>
    <n v="0"/>
    <n v="0"/>
    <n v="0"/>
    <n v="0"/>
    <x v="4"/>
    <m/>
    <x v="0"/>
    <x v="1"/>
    <x v="0"/>
  </r>
  <r>
    <s v="12/3452/FUL"/>
    <x v="2"/>
    <x v="0"/>
    <s v="105 Church Road_x000d_Teddington_x000d_TW11 8QH"/>
    <s v="Extension at ground and roof level to create an additional residential unit, to form 2 no. 1 bed flats"/>
    <d v="2017-10-01T00:00:00"/>
    <d v="2019-03-27T00:00:00"/>
    <x v="0"/>
    <x v="0"/>
    <n v="515521"/>
    <n v="171408"/>
    <m/>
    <n v="0"/>
    <n v="1"/>
    <n v="0"/>
    <n v="0"/>
    <m/>
    <m/>
    <m/>
    <n v="1"/>
    <m/>
    <n v="2"/>
    <n v="0"/>
    <n v="0"/>
    <n v="0"/>
    <m/>
    <m/>
    <m/>
    <n v="2"/>
    <m/>
    <n v="2"/>
    <n v="-1"/>
    <n v="0"/>
    <n v="0"/>
    <n v="0"/>
    <n v="0"/>
    <n v="0"/>
    <n v="1"/>
    <x v="0"/>
    <n v="1"/>
    <n v="0"/>
    <n v="0"/>
    <n v="0"/>
    <n v="0"/>
    <n v="0"/>
    <n v="0"/>
    <x v="0"/>
    <n v="0"/>
    <n v="0"/>
    <n v="0"/>
    <n v="0"/>
    <n v="0"/>
    <x v="5"/>
    <m/>
    <x v="0"/>
    <x v="0"/>
    <x v="0"/>
  </r>
  <r>
    <s v="13/2845/P3JPA"/>
    <x v="3"/>
    <x v="1"/>
    <s v="99 South Worple Way_x000d_East Sheen_x000d_London"/>
    <s v="Change of use from class B1 (offices) to C3 (residential)."/>
    <d v="2016-04-01T00:00:00"/>
    <d v="2018-12-11T00:00:00"/>
    <x v="0"/>
    <x v="0"/>
    <n v="520540"/>
    <n v="175748"/>
    <m/>
    <n v="0"/>
    <n v="0"/>
    <n v="0"/>
    <n v="0"/>
    <m/>
    <m/>
    <m/>
    <n v="0"/>
    <m/>
    <n v="1"/>
    <n v="5"/>
    <n v="0"/>
    <n v="0"/>
    <m/>
    <m/>
    <m/>
    <n v="6"/>
    <m/>
    <n v="1"/>
    <n v="5"/>
    <n v="0"/>
    <n v="0"/>
    <n v="0"/>
    <n v="0"/>
    <n v="0"/>
    <n v="6"/>
    <x v="0"/>
    <n v="6"/>
    <n v="0"/>
    <n v="0"/>
    <n v="0"/>
    <n v="0"/>
    <n v="0"/>
    <n v="0"/>
    <x v="0"/>
    <n v="0"/>
    <n v="0"/>
    <n v="0"/>
    <n v="0"/>
    <n v="0"/>
    <x v="6"/>
    <m/>
    <x v="0"/>
    <x v="2"/>
    <x v="0"/>
  </r>
  <r>
    <s v="13/4409/FUL"/>
    <x v="3"/>
    <x v="0"/>
    <s v="Royal Star And Garter Home_x000d_Richmond Hill_x000d_Richmond_x000d_TW10 6RR"/>
    <s v="Change of use from care home (use class C2) to residential (use class C3), comprising 86 dwelling units, including reconfiguration of the listed building and minor demolition to modern additions, new basement car park and associated landscaping."/>
    <d v="2015-02-05T00:00:00"/>
    <d v="2018-07-09T00:00:00"/>
    <x v="0"/>
    <x v="0"/>
    <n v="518424"/>
    <n v="173759"/>
    <m/>
    <n v="0"/>
    <n v="0"/>
    <n v="0"/>
    <n v="0"/>
    <m/>
    <m/>
    <m/>
    <n v="0"/>
    <m/>
    <n v="29"/>
    <n v="24"/>
    <n v="30"/>
    <n v="3"/>
    <m/>
    <m/>
    <m/>
    <n v="86"/>
    <m/>
    <n v="29"/>
    <n v="24"/>
    <n v="30"/>
    <n v="3"/>
    <n v="0"/>
    <n v="0"/>
    <n v="0"/>
    <n v="86"/>
    <x v="1"/>
    <n v="86"/>
    <n v="0"/>
    <n v="0"/>
    <n v="0"/>
    <n v="0"/>
    <n v="0"/>
    <n v="0"/>
    <x v="0"/>
    <n v="0"/>
    <n v="0"/>
    <n v="0"/>
    <n v="0"/>
    <n v="0"/>
    <x v="7"/>
    <m/>
    <x v="0"/>
    <x v="0"/>
    <x v="1"/>
  </r>
  <r>
    <s v="13/4790/FUL"/>
    <x v="1"/>
    <x v="0"/>
    <s v="5 Chestnut Avenue_x000d_Hampton_x000d_TW12 2NY"/>
    <s v="Construction of a pair of three storey, semi detached three/four bedroom houses on site of recently demolished bungalow."/>
    <d v="2012-06-11T00:00:00"/>
    <d v="2019-01-11T00:00:00"/>
    <x v="0"/>
    <x v="0"/>
    <n v="513223"/>
    <n v="170169"/>
    <m/>
    <n v="0"/>
    <n v="0"/>
    <n v="1"/>
    <n v="0"/>
    <m/>
    <m/>
    <m/>
    <n v="1"/>
    <m/>
    <n v="0"/>
    <n v="0"/>
    <n v="0"/>
    <n v="2"/>
    <m/>
    <m/>
    <m/>
    <n v="2"/>
    <m/>
    <n v="0"/>
    <n v="0"/>
    <n v="-1"/>
    <n v="2"/>
    <n v="0"/>
    <n v="0"/>
    <n v="0"/>
    <n v="1"/>
    <x v="0"/>
    <n v="1"/>
    <n v="0"/>
    <n v="0"/>
    <n v="0"/>
    <n v="0"/>
    <n v="0"/>
    <n v="0"/>
    <x v="0"/>
    <n v="0"/>
    <n v="0"/>
    <n v="0"/>
    <n v="0"/>
    <n v="0"/>
    <x v="8"/>
    <m/>
    <x v="0"/>
    <x v="0"/>
    <x v="0"/>
  </r>
  <r>
    <s v="14/0790/FUL"/>
    <x v="3"/>
    <x v="0"/>
    <s v="6 And 8 And 10_x000d_High Street_x000d_Hampton Wick"/>
    <s v="Conversion of existing listed buildings from disused bakery and joinery workshop to provide two houses (within no6-8) and flat over shop/office (no10). Demolition of part-three, part-two and single storey rear (later extensions) within the curtilage (and"/>
    <d v="2016-02-01T00:00:00"/>
    <d v="2018-09-03T00:00:00"/>
    <x v="0"/>
    <x v="0"/>
    <n v="517592"/>
    <n v="169473"/>
    <m/>
    <n v="0"/>
    <n v="0"/>
    <n v="0"/>
    <n v="0"/>
    <m/>
    <m/>
    <m/>
    <n v="0"/>
    <m/>
    <n v="0"/>
    <n v="0"/>
    <n v="2"/>
    <n v="1"/>
    <m/>
    <m/>
    <m/>
    <n v="3"/>
    <m/>
    <n v="0"/>
    <n v="0"/>
    <n v="2"/>
    <n v="1"/>
    <n v="0"/>
    <n v="0"/>
    <n v="0"/>
    <n v="3"/>
    <x v="0"/>
    <n v="3"/>
    <n v="0"/>
    <n v="0"/>
    <n v="0"/>
    <n v="0"/>
    <n v="0"/>
    <n v="0"/>
    <x v="0"/>
    <n v="0"/>
    <n v="0"/>
    <n v="0"/>
    <n v="0"/>
    <n v="0"/>
    <x v="9"/>
    <m/>
    <x v="1"/>
    <x v="0"/>
    <x v="1"/>
  </r>
  <r>
    <s v="14/1488/FUL"/>
    <x v="1"/>
    <x v="0"/>
    <s v="Inland Revenue_x000d_Ruskin Avenue_x000d_Kew"/>
    <s v="Erection of 4 blocks containing 170 no. 1, 2 and 3 bedroom apartments (including 27 affordable housing 16%) and a GP surgery with associated semi-basement car and cycle parking, open space, play space, landscaping and new access arrangements."/>
    <d v="2015-08-02T00:00:00"/>
    <d v="2018-08-31T00:00:00"/>
    <x v="0"/>
    <x v="1"/>
    <n v="519650"/>
    <n v="177074"/>
    <m/>
    <n v="0"/>
    <n v="0"/>
    <n v="0"/>
    <n v="0"/>
    <m/>
    <m/>
    <m/>
    <n v="0"/>
    <m/>
    <n v="4"/>
    <n v="16"/>
    <n v="0"/>
    <n v="0"/>
    <m/>
    <m/>
    <m/>
    <n v="20"/>
    <m/>
    <n v="4"/>
    <n v="16"/>
    <n v="0"/>
    <n v="0"/>
    <n v="0"/>
    <n v="0"/>
    <n v="0"/>
    <n v="20"/>
    <x v="1"/>
    <n v="20"/>
    <n v="0"/>
    <n v="0"/>
    <n v="0"/>
    <n v="0"/>
    <n v="0"/>
    <n v="0"/>
    <x v="0"/>
    <n v="0"/>
    <n v="0"/>
    <n v="0"/>
    <n v="0"/>
    <n v="0"/>
    <x v="10"/>
    <m/>
    <x v="0"/>
    <x v="0"/>
    <x v="0"/>
  </r>
  <r>
    <s v="14/1488/FUL"/>
    <x v="1"/>
    <x v="0"/>
    <s v="Inland Revenue_x000d_Ruskin Avenue_x000d_Kew"/>
    <s v="Erection of 4 blocks containing 170 no. 1, 2 and 3 bedroom apartments (including 27 affordable housing 16%) and a GP surgery with associated semi-basement car and cycle parking, open space, play space, landscaping and new access arrangements."/>
    <d v="2015-08-02T00:00:00"/>
    <d v="2018-08-31T00:00:00"/>
    <x v="0"/>
    <x v="0"/>
    <n v="519650"/>
    <n v="177074"/>
    <m/>
    <n v="0"/>
    <n v="0"/>
    <n v="0"/>
    <n v="0"/>
    <m/>
    <m/>
    <m/>
    <n v="0"/>
    <m/>
    <n v="3"/>
    <n v="12"/>
    <n v="0"/>
    <n v="0"/>
    <m/>
    <m/>
    <m/>
    <n v="15"/>
    <m/>
    <n v="3"/>
    <n v="12"/>
    <n v="0"/>
    <n v="0"/>
    <n v="0"/>
    <n v="0"/>
    <n v="0"/>
    <n v="15"/>
    <x v="1"/>
    <n v="15"/>
    <n v="0"/>
    <n v="0"/>
    <n v="0"/>
    <n v="0"/>
    <n v="0"/>
    <n v="0"/>
    <x v="0"/>
    <n v="0"/>
    <n v="0"/>
    <n v="0"/>
    <n v="0"/>
    <n v="0"/>
    <x v="10"/>
    <m/>
    <x v="0"/>
    <x v="0"/>
    <x v="0"/>
  </r>
  <r>
    <s v="14/1488/FUL"/>
    <x v="1"/>
    <x v="0"/>
    <s v="Inland Revenue_x000d_Ruskin Avenue_x000d_Kew"/>
    <s v="Erection of 4 blocks containing 170 no. 1, 2 and 3 bedroom apartments (including 27 affordable housing 16%) and a GP surgery with associated semi-basement car and cycle parking, open space, play space, landscaping and new access arrangements."/>
    <d v="2015-08-02T00:00:00"/>
    <d v="2018-08-31T00:00:00"/>
    <x v="0"/>
    <x v="2"/>
    <n v="519650"/>
    <n v="177074"/>
    <m/>
    <n v="0"/>
    <n v="0"/>
    <n v="0"/>
    <n v="0"/>
    <m/>
    <m/>
    <m/>
    <n v="0"/>
    <m/>
    <n v="1"/>
    <n v="4"/>
    <n v="0"/>
    <n v="0"/>
    <m/>
    <m/>
    <m/>
    <n v="5"/>
    <m/>
    <n v="1"/>
    <n v="4"/>
    <n v="0"/>
    <n v="0"/>
    <n v="0"/>
    <n v="0"/>
    <n v="0"/>
    <n v="5"/>
    <x v="1"/>
    <n v="5"/>
    <n v="0"/>
    <n v="0"/>
    <n v="0"/>
    <n v="0"/>
    <n v="0"/>
    <n v="0"/>
    <x v="0"/>
    <n v="0"/>
    <n v="0"/>
    <n v="0"/>
    <n v="0"/>
    <n v="0"/>
    <x v="10"/>
    <m/>
    <x v="0"/>
    <x v="0"/>
    <x v="0"/>
  </r>
  <r>
    <s v="14/1865/FUL"/>
    <x v="2"/>
    <x v="0"/>
    <s v="211 Staines Road_x000d_Twickenham_x000d_TW2 5AY"/>
    <s v="Demolition of existing single storey side extension and detached garage to rear, alterations and erection of a new two-storey dwelling (including basement and accommodation within roof) adjoining No.211 Staines Road with associated landscaping and parkin"/>
    <d v="2017-03-01T00:00:00"/>
    <d v="2018-06-01T00:00:00"/>
    <x v="0"/>
    <x v="0"/>
    <n v="514566"/>
    <n v="172678"/>
    <m/>
    <n v="0"/>
    <n v="0"/>
    <n v="0"/>
    <n v="1"/>
    <m/>
    <m/>
    <m/>
    <n v="1"/>
    <m/>
    <n v="0"/>
    <n v="0"/>
    <n v="2"/>
    <n v="0"/>
    <m/>
    <m/>
    <m/>
    <n v="2"/>
    <m/>
    <n v="0"/>
    <n v="0"/>
    <n v="2"/>
    <n v="-1"/>
    <n v="0"/>
    <n v="0"/>
    <n v="0"/>
    <n v="1"/>
    <x v="0"/>
    <n v="1"/>
    <n v="0"/>
    <n v="0"/>
    <n v="0"/>
    <n v="0"/>
    <n v="0"/>
    <n v="0"/>
    <x v="0"/>
    <n v="0"/>
    <n v="0"/>
    <n v="0"/>
    <n v="0"/>
    <n v="0"/>
    <x v="1"/>
    <m/>
    <x v="0"/>
    <x v="0"/>
    <x v="0"/>
  </r>
  <r>
    <s v="14/2490/FUL"/>
    <x v="1"/>
    <x v="0"/>
    <s v="29 Charles Street_x000d_Barnes_x000d_London"/>
    <s v="Demolition of existing lock up garages and car repair garage and redevelopment to provide five dwellings (four houses on ground and basement level and one first floor flat) and 148 sqm of office (B1) accommodation, with associated parking and landscaping"/>
    <d v="2017-04-01T00:00:00"/>
    <d v="2018-08-14T00:00:00"/>
    <x v="0"/>
    <x v="0"/>
    <n v="521356"/>
    <n v="176060"/>
    <m/>
    <n v="0"/>
    <n v="0"/>
    <n v="0"/>
    <n v="0"/>
    <m/>
    <m/>
    <m/>
    <n v="0"/>
    <m/>
    <n v="1"/>
    <n v="3"/>
    <n v="1"/>
    <n v="0"/>
    <m/>
    <m/>
    <m/>
    <n v="5"/>
    <m/>
    <n v="1"/>
    <n v="3"/>
    <n v="1"/>
    <n v="0"/>
    <n v="0"/>
    <n v="0"/>
    <n v="0"/>
    <n v="5"/>
    <x v="0"/>
    <n v="5"/>
    <n v="0"/>
    <n v="0"/>
    <n v="0"/>
    <n v="0"/>
    <n v="0"/>
    <n v="0"/>
    <x v="0"/>
    <n v="0"/>
    <n v="0"/>
    <n v="0"/>
    <n v="0"/>
    <n v="0"/>
    <x v="11"/>
    <m/>
    <x v="0"/>
    <x v="0"/>
    <x v="0"/>
  </r>
  <r>
    <s v="14/2543/FUL"/>
    <x v="3"/>
    <x v="0"/>
    <s v="305 Sandycombe Road Richmond TW9 3NA"/>
    <s v="Change of use of the ground floor of the building from Estate Agents (Use Class A2) to a residential flat (Use Class C3) with rear infill extension, the conversion of the upper floor self-contained maisonette to two self-contained flats (one on each floo"/>
    <d v="2016-02-01T00:00:00"/>
    <d v="2019-02-11T00:00:00"/>
    <x v="0"/>
    <x v="0"/>
    <n v="519109"/>
    <n v="176524"/>
    <m/>
    <n v="2"/>
    <n v="0"/>
    <n v="0"/>
    <n v="0"/>
    <m/>
    <m/>
    <m/>
    <n v="2"/>
    <m/>
    <n v="0"/>
    <n v="2"/>
    <n v="1"/>
    <n v="0"/>
    <m/>
    <m/>
    <m/>
    <n v="3"/>
    <m/>
    <n v="-2"/>
    <n v="2"/>
    <n v="1"/>
    <n v="0"/>
    <n v="0"/>
    <n v="0"/>
    <n v="0"/>
    <n v="1"/>
    <x v="0"/>
    <n v="2"/>
    <n v="0"/>
    <n v="0"/>
    <n v="0"/>
    <n v="0"/>
    <n v="0"/>
    <n v="0"/>
    <x v="0"/>
    <n v="0"/>
    <n v="0"/>
    <n v="0"/>
    <n v="0"/>
    <n v="0"/>
    <x v="10"/>
    <m/>
    <x v="0"/>
    <x v="0"/>
    <x v="0"/>
  </r>
  <r>
    <s v="14/2687/FUL"/>
    <x v="0"/>
    <x v="0"/>
    <s v="6 Cambrian Road_x000d_Richmond"/>
    <s v="Reversion from two flats into one single 4 bed dwellinghouse and addition of solar panels"/>
    <m/>
    <d v="2018-07-31T00:00:00"/>
    <x v="0"/>
    <x v="0"/>
    <n v="518693"/>
    <n v="174117"/>
    <m/>
    <n v="1"/>
    <n v="1"/>
    <n v="0"/>
    <n v="0"/>
    <m/>
    <m/>
    <m/>
    <n v="2"/>
    <m/>
    <n v="0"/>
    <n v="0"/>
    <n v="0"/>
    <n v="1"/>
    <m/>
    <m/>
    <m/>
    <n v="1"/>
    <m/>
    <n v="-1"/>
    <n v="-1"/>
    <n v="0"/>
    <n v="1"/>
    <n v="0"/>
    <n v="0"/>
    <n v="0"/>
    <n v="-1"/>
    <x v="0"/>
    <n v="-1"/>
    <n v="0"/>
    <n v="0"/>
    <n v="0"/>
    <n v="0"/>
    <n v="0"/>
    <n v="0"/>
    <x v="0"/>
    <n v="0"/>
    <n v="0"/>
    <n v="0"/>
    <n v="0"/>
    <n v="0"/>
    <x v="12"/>
    <m/>
    <x v="0"/>
    <x v="0"/>
    <x v="0"/>
  </r>
  <r>
    <s v="14/2736/FUL"/>
    <x v="1"/>
    <x v="0"/>
    <s v="40 Wellington Road_x000a_Hampton_x000a_TW12 1JT"/>
    <s v="Demolition and the replacement of an existing bungalow with a single family dwelling."/>
    <d v="2017-01-01T00:00:00"/>
    <d v="2018-08-31T00:00:00"/>
    <x v="0"/>
    <x v="0"/>
    <n v="514662"/>
    <n v="171639"/>
    <m/>
    <n v="0"/>
    <n v="0"/>
    <n v="1"/>
    <n v="0"/>
    <m/>
    <m/>
    <m/>
    <n v="1"/>
    <m/>
    <n v="0"/>
    <n v="0"/>
    <n v="0"/>
    <n v="1"/>
    <m/>
    <m/>
    <m/>
    <n v="1"/>
    <m/>
    <n v="0"/>
    <n v="0"/>
    <n v="-1"/>
    <n v="1"/>
    <n v="0"/>
    <n v="0"/>
    <n v="0"/>
    <n v="0"/>
    <x v="0"/>
    <n v="0"/>
    <n v="0"/>
    <n v="0"/>
    <n v="0"/>
    <n v="0"/>
    <n v="0"/>
    <n v="0"/>
    <x v="0"/>
    <n v="0"/>
    <n v="0"/>
    <n v="0"/>
    <n v="0"/>
    <n v="0"/>
    <x v="5"/>
    <m/>
    <x v="0"/>
    <x v="0"/>
    <x v="0"/>
  </r>
  <r>
    <s v="14/3003/P3JPA"/>
    <x v="3"/>
    <x v="1"/>
    <s v="Third Floor_x000a_34A York Street_x000a_Twickenham_x000a_TW1 3LJ"/>
    <s v="Change of use from offices (B1a) to residential (C3) comprising of 1 one-bed flat."/>
    <m/>
    <d v="2018-04-01T00:00:00"/>
    <x v="0"/>
    <x v="0"/>
    <n v="516358"/>
    <n v="173374"/>
    <m/>
    <n v="0"/>
    <n v="0"/>
    <n v="0"/>
    <n v="0"/>
    <m/>
    <m/>
    <m/>
    <n v="0"/>
    <m/>
    <n v="1"/>
    <n v="0"/>
    <n v="0"/>
    <n v="0"/>
    <m/>
    <m/>
    <m/>
    <n v="1"/>
    <m/>
    <n v="1"/>
    <n v="0"/>
    <n v="0"/>
    <n v="0"/>
    <n v="0"/>
    <n v="0"/>
    <n v="0"/>
    <n v="1"/>
    <x v="0"/>
    <n v="1"/>
    <n v="0"/>
    <n v="0"/>
    <n v="0"/>
    <n v="0"/>
    <n v="0"/>
    <n v="0"/>
    <x v="0"/>
    <n v="0"/>
    <n v="0"/>
    <n v="0"/>
    <n v="0"/>
    <n v="0"/>
    <x v="4"/>
    <m/>
    <x v="0"/>
    <x v="1"/>
    <x v="0"/>
  </r>
  <r>
    <s v="14/3027/P3JPA"/>
    <x v="3"/>
    <x v="1"/>
    <s v="Barnes Police Station_x000d_92 - 102 Station Road_x000d_Barnes_x000d_London_x000d_SW13 0NG"/>
    <s v="Change of use from office building (use class B1a) to residential use (use class C3)."/>
    <d v="2016-03-01T00:00:00"/>
    <d v="2018-11-01T00:00:00"/>
    <x v="0"/>
    <x v="0"/>
    <n v="521980"/>
    <n v="176064"/>
    <m/>
    <n v="0"/>
    <n v="0"/>
    <n v="0"/>
    <n v="0"/>
    <m/>
    <m/>
    <m/>
    <n v="0"/>
    <m/>
    <n v="0"/>
    <n v="0"/>
    <n v="0"/>
    <n v="0"/>
    <n v="7"/>
    <m/>
    <m/>
    <n v="7"/>
    <m/>
    <n v="0"/>
    <n v="0"/>
    <n v="0"/>
    <n v="0"/>
    <n v="7"/>
    <n v="0"/>
    <n v="0"/>
    <n v="7"/>
    <x v="0"/>
    <n v="7"/>
    <n v="0"/>
    <n v="0"/>
    <n v="0"/>
    <n v="0"/>
    <n v="0"/>
    <n v="0"/>
    <x v="0"/>
    <n v="0"/>
    <n v="0"/>
    <n v="0"/>
    <n v="0"/>
    <n v="0"/>
    <x v="11"/>
    <m/>
    <x v="0"/>
    <x v="0"/>
    <x v="0"/>
  </r>
  <r>
    <s v="14/3783/FUL"/>
    <x v="1"/>
    <x v="0"/>
    <s v="51 Burtons Road_x000d_Hampton Hill_x000d_Hampton_x000d_TW12 1DE"/>
    <s v="Erection of 2 bedroom house on land adjacent to 51 Burtons Road"/>
    <d v="2017-06-22T00:00:00"/>
    <d v="2018-06-13T00:00:00"/>
    <x v="0"/>
    <x v="0"/>
    <n v="514252"/>
    <n v="171505"/>
    <m/>
    <n v="0"/>
    <n v="0"/>
    <n v="0"/>
    <n v="0"/>
    <m/>
    <m/>
    <m/>
    <n v="0"/>
    <m/>
    <n v="0"/>
    <n v="1"/>
    <n v="0"/>
    <n v="0"/>
    <m/>
    <m/>
    <m/>
    <n v="1"/>
    <m/>
    <n v="0"/>
    <n v="1"/>
    <n v="0"/>
    <n v="0"/>
    <n v="0"/>
    <n v="0"/>
    <n v="0"/>
    <n v="1"/>
    <x v="0"/>
    <n v="1"/>
    <n v="0"/>
    <n v="0"/>
    <n v="0"/>
    <n v="0"/>
    <n v="0"/>
    <n v="0"/>
    <x v="0"/>
    <n v="0"/>
    <n v="0"/>
    <n v="0"/>
    <n v="0"/>
    <n v="0"/>
    <x v="5"/>
    <m/>
    <x v="0"/>
    <x v="0"/>
    <x v="0"/>
  </r>
  <r>
    <s v="14/4801/FUL"/>
    <x v="1"/>
    <x v="0"/>
    <s v="65 Heathside_x000d_Whitton_x000d_Hounslow_x000d_TW4 5NJ"/>
    <s v="Erection of a detached 3 bedroom dwelling with associated landscaping, 2 no. off-street parking spaces and new vehicle crossover."/>
    <d v="2016-09-26T00:00:00"/>
    <d v="2018-08-31T00:00:00"/>
    <x v="0"/>
    <x v="0"/>
    <n v="512996"/>
    <n v="173588"/>
    <m/>
    <n v="0"/>
    <n v="0"/>
    <n v="0"/>
    <n v="0"/>
    <m/>
    <m/>
    <m/>
    <n v="0"/>
    <m/>
    <n v="0"/>
    <n v="0"/>
    <n v="1"/>
    <n v="0"/>
    <m/>
    <m/>
    <m/>
    <n v="1"/>
    <m/>
    <n v="0"/>
    <n v="0"/>
    <n v="1"/>
    <n v="0"/>
    <n v="0"/>
    <n v="0"/>
    <n v="0"/>
    <n v="1"/>
    <x v="0"/>
    <n v="1"/>
    <n v="0"/>
    <n v="0"/>
    <n v="0"/>
    <n v="0"/>
    <n v="0"/>
    <n v="0"/>
    <x v="0"/>
    <n v="0"/>
    <n v="0"/>
    <n v="0"/>
    <n v="0"/>
    <n v="0"/>
    <x v="0"/>
    <m/>
    <x v="0"/>
    <x v="0"/>
    <x v="0"/>
  </r>
  <r>
    <s v="14/4842/FUL"/>
    <x v="3"/>
    <x v="0"/>
    <s v="Queens House_x000d_2 Holly Road_x000d_Twickenham"/>
    <s v="Conversion, elevational alterations and infill extension of the existing Queens House building from office (B1) to residential use comprising 10 x 1 bed and 22 x 2 bed flats (100% affordable housing). Demolition of existing 2 storey extension to Queens H"/>
    <d v="2016-06-06T00:00:00"/>
    <d v="2018-09-04T00:00:00"/>
    <x v="0"/>
    <x v="2"/>
    <n v="516146"/>
    <n v="173335"/>
    <m/>
    <n v="0"/>
    <n v="0"/>
    <n v="0"/>
    <n v="0"/>
    <m/>
    <m/>
    <m/>
    <n v="0"/>
    <m/>
    <n v="11"/>
    <n v="18"/>
    <n v="0"/>
    <n v="0"/>
    <m/>
    <m/>
    <m/>
    <n v="29"/>
    <m/>
    <n v="11"/>
    <n v="18"/>
    <n v="0"/>
    <n v="0"/>
    <n v="0"/>
    <n v="0"/>
    <n v="0"/>
    <n v="29"/>
    <x v="1"/>
    <n v="29"/>
    <n v="0"/>
    <n v="0"/>
    <n v="0"/>
    <n v="0"/>
    <n v="0"/>
    <n v="0"/>
    <x v="0"/>
    <n v="0"/>
    <n v="0"/>
    <n v="0"/>
    <n v="0"/>
    <n v="0"/>
    <x v="4"/>
    <m/>
    <x v="0"/>
    <x v="1"/>
    <x v="0"/>
  </r>
  <r>
    <s v="14/4842/FUL"/>
    <x v="3"/>
    <x v="0"/>
    <s v="Queens House_x000d_2 Holly Road_x000d_Twickenham"/>
    <s v="Conversion, elevational alterations and infill extension of the existing Queens House building from office (B1) to residential use comprising 10 x 1 bed and 22 x 2 bed flats (100% affordable housing). Demolition of existing 2 storey extension to Queens H"/>
    <d v="2016-06-06T00:00:00"/>
    <d v="2018-09-04T00:00:00"/>
    <x v="0"/>
    <x v="1"/>
    <n v="516146"/>
    <n v="173335"/>
    <m/>
    <n v="0"/>
    <n v="0"/>
    <n v="0"/>
    <n v="0"/>
    <m/>
    <m/>
    <m/>
    <n v="0"/>
    <m/>
    <n v="3"/>
    <n v="13"/>
    <n v="0"/>
    <n v="0"/>
    <m/>
    <m/>
    <m/>
    <n v="16"/>
    <m/>
    <n v="3"/>
    <n v="13"/>
    <n v="0"/>
    <n v="0"/>
    <n v="0"/>
    <n v="0"/>
    <n v="0"/>
    <n v="16"/>
    <x v="1"/>
    <n v="16"/>
    <n v="0"/>
    <n v="0"/>
    <n v="0"/>
    <n v="0"/>
    <n v="0"/>
    <n v="0"/>
    <x v="0"/>
    <n v="0"/>
    <n v="0"/>
    <n v="0"/>
    <n v="0"/>
    <n v="0"/>
    <x v="4"/>
    <m/>
    <x v="0"/>
    <x v="1"/>
    <x v="0"/>
  </r>
  <r>
    <s v="14/5167/FUL"/>
    <x v="1"/>
    <x v="0"/>
    <s v="24 Denbigh Gardens_x000a_Richmond_x000a_TW10 6EL"/>
    <s v="Demolition of existing house. Erection of a new house with similar footprint and heights"/>
    <d v="2017-03-01T00:00:00"/>
    <d v="2019-03-30T00:00:00"/>
    <x v="0"/>
    <x v="0"/>
    <n v="518835"/>
    <n v="174669"/>
    <m/>
    <n v="0"/>
    <n v="0"/>
    <n v="0"/>
    <n v="1"/>
    <m/>
    <m/>
    <m/>
    <n v="1"/>
    <m/>
    <n v="0"/>
    <n v="0"/>
    <n v="0"/>
    <n v="1"/>
    <m/>
    <m/>
    <m/>
    <n v="1"/>
    <m/>
    <n v="0"/>
    <n v="0"/>
    <n v="0"/>
    <n v="0"/>
    <n v="0"/>
    <n v="0"/>
    <n v="0"/>
    <n v="0"/>
    <x v="0"/>
    <n v="0"/>
    <n v="0"/>
    <n v="0"/>
    <n v="0"/>
    <n v="0"/>
    <n v="0"/>
    <n v="0"/>
    <x v="0"/>
    <n v="0"/>
    <n v="0"/>
    <n v="0"/>
    <n v="0"/>
    <n v="0"/>
    <x v="12"/>
    <m/>
    <x v="0"/>
    <x v="0"/>
    <x v="0"/>
  </r>
  <r>
    <s v="15/0182/FUL"/>
    <x v="1"/>
    <x v="0"/>
    <s v="2 Longford Close_x000d_Hampton Hill_x000d_TW12 1AB"/>
    <s v="Extension to the side of the existing building, that will become a new 2 bedroom family dwelling."/>
    <d v="2016-03-14T00:00:00"/>
    <d v="2018-05-10T00:00:00"/>
    <x v="0"/>
    <x v="0"/>
    <n v="513256"/>
    <n v="171788"/>
    <m/>
    <n v="0"/>
    <n v="0"/>
    <n v="0"/>
    <n v="0"/>
    <m/>
    <m/>
    <m/>
    <n v="0"/>
    <m/>
    <n v="0"/>
    <n v="1"/>
    <n v="0"/>
    <n v="0"/>
    <m/>
    <m/>
    <m/>
    <n v="1"/>
    <m/>
    <n v="0"/>
    <n v="1"/>
    <n v="0"/>
    <n v="0"/>
    <n v="0"/>
    <n v="0"/>
    <n v="0"/>
    <n v="1"/>
    <x v="0"/>
    <n v="1"/>
    <n v="0"/>
    <n v="0"/>
    <n v="0"/>
    <n v="0"/>
    <n v="0"/>
    <n v="0"/>
    <x v="0"/>
    <n v="0"/>
    <n v="0"/>
    <n v="0"/>
    <n v="0"/>
    <n v="0"/>
    <x v="13"/>
    <m/>
    <x v="0"/>
    <x v="0"/>
    <x v="0"/>
  </r>
  <r>
    <s v="15/0429/FUL"/>
    <x v="2"/>
    <x v="0"/>
    <s v="1 Ham Farm Road_x000d_Ham_x000d_Richmond_x000d_TW10 5ND"/>
    <s v="Ground floor and first floor extension to rear of existing garage to create a self-contained residential unit."/>
    <m/>
    <d v="2018-09-05T00:00:00"/>
    <x v="0"/>
    <x v="0"/>
    <n v="517863"/>
    <n v="171889"/>
    <m/>
    <n v="0"/>
    <n v="0"/>
    <n v="0"/>
    <n v="0"/>
    <m/>
    <m/>
    <m/>
    <n v="0"/>
    <m/>
    <n v="0"/>
    <n v="0"/>
    <n v="1"/>
    <n v="0"/>
    <m/>
    <m/>
    <m/>
    <n v="1"/>
    <m/>
    <n v="0"/>
    <n v="0"/>
    <n v="1"/>
    <n v="0"/>
    <n v="0"/>
    <n v="0"/>
    <n v="0"/>
    <n v="1"/>
    <x v="0"/>
    <n v="1"/>
    <n v="0"/>
    <n v="0"/>
    <n v="0"/>
    <n v="0"/>
    <n v="0"/>
    <n v="0"/>
    <x v="0"/>
    <n v="0"/>
    <n v="0"/>
    <n v="0"/>
    <n v="0"/>
    <n v="0"/>
    <x v="7"/>
    <m/>
    <x v="0"/>
    <x v="0"/>
    <x v="0"/>
  </r>
  <r>
    <s v="15/0736/FUL"/>
    <x v="0"/>
    <x v="0"/>
    <s v="10A Red Lion Street Richmond TW9 1RW"/>
    <s v="Change of use from a single two bedroom flat on first and second floor to two no. one bedroom flats"/>
    <d v="2018-03-29T00:00:00"/>
    <d v="2019-03-30T00:00:00"/>
    <x v="0"/>
    <x v="0"/>
    <n v="517868"/>
    <n v="174750"/>
    <m/>
    <n v="0"/>
    <n v="1"/>
    <n v="0"/>
    <n v="0"/>
    <m/>
    <m/>
    <m/>
    <n v="1"/>
    <m/>
    <n v="2"/>
    <n v="0"/>
    <n v="0"/>
    <n v="0"/>
    <m/>
    <m/>
    <m/>
    <n v="2"/>
    <m/>
    <n v="2"/>
    <n v="-1"/>
    <n v="0"/>
    <n v="0"/>
    <n v="0"/>
    <n v="0"/>
    <n v="0"/>
    <n v="1"/>
    <x v="0"/>
    <n v="1"/>
    <n v="0"/>
    <n v="0"/>
    <n v="0"/>
    <n v="0"/>
    <n v="0"/>
    <n v="0"/>
    <x v="0"/>
    <n v="0"/>
    <n v="0"/>
    <n v="0"/>
    <n v="0"/>
    <n v="0"/>
    <x v="12"/>
    <m/>
    <x v="0"/>
    <x v="3"/>
    <x v="0"/>
  </r>
  <r>
    <s v="15/1135/PS192"/>
    <x v="3"/>
    <x v="0"/>
    <s v="Ground Floor_x000d_18 Water Lane_x000d_Richmond_x000d_TW9 1TJ"/>
    <s v="Change of use from Office (B1) to residential (C3)."/>
    <m/>
    <d v="2018-07-31T00:00:00"/>
    <x v="0"/>
    <x v="0"/>
    <n v="517679"/>
    <n v="174711"/>
    <m/>
    <n v="0"/>
    <n v="0"/>
    <n v="0"/>
    <n v="0"/>
    <m/>
    <m/>
    <m/>
    <n v="0"/>
    <m/>
    <n v="1"/>
    <n v="0"/>
    <n v="0"/>
    <n v="0"/>
    <m/>
    <m/>
    <m/>
    <n v="1"/>
    <m/>
    <n v="1"/>
    <n v="0"/>
    <n v="0"/>
    <n v="0"/>
    <n v="0"/>
    <n v="0"/>
    <n v="0"/>
    <n v="1"/>
    <x v="0"/>
    <n v="1"/>
    <n v="0"/>
    <n v="0"/>
    <n v="0"/>
    <n v="0"/>
    <n v="0"/>
    <n v="0"/>
    <x v="0"/>
    <n v="0"/>
    <n v="0"/>
    <n v="0"/>
    <n v="0"/>
    <n v="0"/>
    <x v="12"/>
    <m/>
    <x v="0"/>
    <x v="3"/>
    <x v="1"/>
  </r>
  <r>
    <s v="15/1397/P3JPA"/>
    <x v="3"/>
    <x v="1"/>
    <s v="38-42 Hampton Road_x000d_Teddington_x000d_TW11 0JE"/>
    <s v="Change of use from B1 office use to C3 residential use (17 x 1 bed units (2 person), 10 x 2 bed units (3 person), 8 x 2 bed units (4 person) units (totalling 35 residential units)."/>
    <d v="2017-10-02T00:00:00"/>
    <d v="2018-05-25T00:00:00"/>
    <x v="0"/>
    <x v="0"/>
    <n v="515085"/>
    <n v="171148"/>
    <m/>
    <n v="0"/>
    <n v="0"/>
    <n v="0"/>
    <n v="0"/>
    <m/>
    <m/>
    <m/>
    <n v="0"/>
    <m/>
    <n v="17"/>
    <n v="18"/>
    <n v="0"/>
    <n v="0"/>
    <m/>
    <m/>
    <m/>
    <n v="35"/>
    <m/>
    <n v="17"/>
    <n v="18"/>
    <n v="0"/>
    <n v="0"/>
    <n v="0"/>
    <n v="0"/>
    <n v="0"/>
    <n v="35"/>
    <x v="1"/>
    <n v="35"/>
    <n v="0"/>
    <n v="0"/>
    <n v="0"/>
    <n v="0"/>
    <n v="0"/>
    <n v="0"/>
    <x v="0"/>
    <n v="0"/>
    <n v="0"/>
    <n v="0"/>
    <n v="0"/>
    <n v="0"/>
    <x v="5"/>
    <m/>
    <x v="0"/>
    <x v="0"/>
    <x v="0"/>
  </r>
  <r>
    <s v="15/1444/FUL"/>
    <x v="3"/>
    <x v="0"/>
    <s v="3 - 5 Richmond Hill Richmond"/>
    <s v="The reversion of the interconnected Buildings of Townscape Merit from vacant office premises (Use Class B1: Business) to residential use single-family dwelling (Use Class C3: Dwelling Houses) with external alterations and associated works."/>
    <d v="2014-12-01T00:00:00"/>
    <d v="2018-04-02T00:00:00"/>
    <x v="0"/>
    <x v="0"/>
    <n v="517973"/>
    <n v="174455"/>
    <m/>
    <n v="0"/>
    <n v="0"/>
    <n v="0"/>
    <n v="0"/>
    <m/>
    <m/>
    <m/>
    <n v="0"/>
    <m/>
    <n v="0"/>
    <n v="0"/>
    <n v="0"/>
    <n v="1"/>
    <m/>
    <m/>
    <m/>
    <n v="1"/>
    <m/>
    <n v="0"/>
    <n v="0"/>
    <n v="0"/>
    <n v="1"/>
    <n v="0"/>
    <n v="0"/>
    <n v="0"/>
    <n v="1"/>
    <x v="0"/>
    <n v="1"/>
    <n v="0"/>
    <n v="0"/>
    <n v="0"/>
    <n v="0"/>
    <n v="0"/>
    <n v="0"/>
    <x v="0"/>
    <n v="0"/>
    <n v="0"/>
    <n v="0"/>
    <n v="0"/>
    <n v="0"/>
    <x v="7"/>
    <m/>
    <x v="0"/>
    <x v="3"/>
    <x v="0"/>
  </r>
  <r>
    <s v="15/1687/FUL"/>
    <x v="3"/>
    <x v="0"/>
    <s v="186 Castelnau_x000d_Barnes_x000d_London_x000d_SW13 9DH"/>
    <s v="Change of use for part of the ground floor (A1 use) shop to (C3 use) residential and single storey rear extension to create a new 1 bedroom residential dwelling."/>
    <m/>
    <d v="2018-11-20T00:00:00"/>
    <x v="0"/>
    <x v="0"/>
    <n v="522786"/>
    <n v="177761"/>
    <m/>
    <n v="0"/>
    <n v="0"/>
    <n v="0"/>
    <n v="0"/>
    <m/>
    <m/>
    <m/>
    <n v="0"/>
    <m/>
    <n v="1"/>
    <n v="0"/>
    <n v="0"/>
    <n v="0"/>
    <m/>
    <m/>
    <m/>
    <n v="1"/>
    <m/>
    <n v="1"/>
    <n v="0"/>
    <n v="0"/>
    <n v="0"/>
    <n v="0"/>
    <n v="0"/>
    <n v="0"/>
    <n v="1"/>
    <x v="0"/>
    <n v="1"/>
    <n v="0"/>
    <n v="0"/>
    <n v="0"/>
    <n v="0"/>
    <n v="0"/>
    <n v="0"/>
    <x v="0"/>
    <n v="0"/>
    <n v="0"/>
    <n v="0"/>
    <n v="0"/>
    <n v="0"/>
    <x v="14"/>
    <m/>
    <x v="2"/>
    <x v="0"/>
    <x v="0"/>
  </r>
  <r>
    <s v="15/2757/FUL"/>
    <x v="1"/>
    <x v="0"/>
    <s v="Land Adjacent To 32 Bexhill Road East Sheen"/>
    <s v="Erection of a single two-bedroom house and the demolition of three lock-up garages."/>
    <d v="2018-03-01T00:00:00"/>
    <d v="2018-11-30T00:00:00"/>
    <x v="0"/>
    <x v="0"/>
    <n v="520254"/>
    <n v="175724"/>
    <m/>
    <n v="0"/>
    <n v="0"/>
    <n v="0"/>
    <n v="0"/>
    <m/>
    <m/>
    <m/>
    <n v="0"/>
    <m/>
    <n v="0"/>
    <n v="1"/>
    <n v="0"/>
    <n v="0"/>
    <m/>
    <m/>
    <m/>
    <n v="1"/>
    <m/>
    <n v="0"/>
    <n v="1"/>
    <n v="0"/>
    <n v="0"/>
    <n v="0"/>
    <n v="0"/>
    <n v="0"/>
    <n v="1"/>
    <x v="0"/>
    <n v="1"/>
    <n v="0"/>
    <n v="0"/>
    <n v="0"/>
    <n v="0"/>
    <n v="0"/>
    <n v="0"/>
    <x v="0"/>
    <n v="0"/>
    <n v="0"/>
    <n v="0"/>
    <n v="0"/>
    <n v="0"/>
    <x v="6"/>
    <m/>
    <x v="0"/>
    <x v="0"/>
    <x v="0"/>
  </r>
  <r>
    <s v="15/3256/GPD15"/>
    <x v="3"/>
    <x v="1"/>
    <s v="1D Becketts Place_x000d_Hampton Wick"/>
    <s v="Change of use of B1 office to C3 residential use of ground and mezzanine floors (2 x 1 bed flats at ground floor level, 1 x 1 bed flat at first floor level)"/>
    <d v="2018-04-14T00:00:00"/>
    <d v="2018-09-24T00:00:00"/>
    <x v="0"/>
    <x v="0"/>
    <n v="517622"/>
    <n v="169605"/>
    <m/>
    <n v="0"/>
    <n v="0"/>
    <n v="0"/>
    <n v="0"/>
    <m/>
    <m/>
    <m/>
    <n v="0"/>
    <m/>
    <n v="3"/>
    <n v="0"/>
    <n v="0"/>
    <n v="0"/>
    <m/>
    <m/>
    <m/>
    <n v="3"/>
    <m/>
    <n v="3"/>
    <n v="0"/>
    <n v="0"/>
    <n v="0"/>
    <n v="0"/>
    <n v="0"/>
    <n v="0"/>
    <n v="3"/>
    <x v="0"/>
    <n v="3"/>
    <n v="0"/>
    <n v="0"/>
    <n v="0"/>
    <n v="0"/>
    <n v="0"/>
    <n v="0"/>
    <x v="0"/>
    <n v="0"/>
    <n v="0"/>
    <n v="0"/>
    <n v="0"/>
    <n v="0"/>
    <x v="9"/>
    <m/>
    <x v="1"/>
    <x v="0"/>
    <x v="1"/>
  </r>
  <r>
    <s v="15/4257/FUL"/>
    <x v="0"/>
    <x v="0"/>
    <s v="13 Rectory Road_x000d_Barnes_x000d_London_x000d_SW13 0DU"/>
    <s v="Re-unification of two flats into a single house."/>
    <d v="2016-02-18T00:00:00"/>
    <d v="2018-12-07T00:00:00"/>
    <x v="0"/>
    <x v="0"/>
    <n v="522332"/>
    <n v="176284"/>
    <m/>
    <n v="1"/>
    <n v="0"/>
    <n v="1"/>
    <n v="0"/>
    <m/>
    <m/>
    <m/>
    <n v="2"/>
    <m/>
    <n v="0"/>
    <n v="0"/>
    <n v="0"/>
    <n v="1"/>
    <m/>
    <m/>
    <m/>
    <n v="1"/>
    <m/>
    <n v="-1"/>
    <n v="0"/>
    <n v="-1"/>
    <n v="1"/>
    <n v="0"/>
    <n v="0"/>
    <n v="0"/>
    <n v="-1"/>
    <x v="0"/>
    <n v="-1"/>
    <n v="0"/>
    <n v="0"/>
    <n v="0"/>
    <n v="0"/>
    <n v="0"/>
    <n v="0"/>
    <x v="0"/>
    <n v="0"/>
    <n v="0"/>
    <n v="0"/>
    <n v="0"/>
    <n v="0"/>
    <x v="14"/>
    <m/>
    <x v="0"/>
    <x v="0"/>
    <x v="0"/>
  </r>
  <r>
    <s v="15/4337/FUL"/>
    <x v="1"/>
    <x v="0"/>
    <s v="27 Grove Terrace_x000d_Teddington_x000d_TW11 8AU"/>
    <s v="Construction of detached house with amenity space and off street car parking following removal of trees &amp; part removal/ replacement of boundary fence."/>
    <m/>
    <d v="2018-08-31T00:00:00"/>
    <x v="0"/>
    <x v="0"/>
    <n v="516231"/>
    <n v="171721"/>
    <m/>
    <n v="0"/>
    <n v="0"/>
    <n v="0"/>
    <n v="0"/>
    <m/>
    <m/>
    <m/>
    <n v="0"/>
    <m/>
    <n v="1"/>
    <n v="0"/>
    <n v="0"/>
    <n v="0"/>
    <m/>
    <m/>
    <m/>
    <n v="1"/>
    <m/>
    <n v="1"/>
    <n v="0"/>
    <n v="0"/>
    <n v="0"/>
    <n v="0"/>
    <n v="0"/>
    <n v="0"/>
    <n v="1"/>
    <x v="0"/>
    <n v="1"/>
    <n v="0"/>
    <n v="0"/>
    <n v="0"/>
    <n v="0"/>
    <n v="0"/>
    <n v="0"/>
    <x v="0"/>
    <n v="0"/>
    <n v="0"/>
    <n v="0"/>
    <n v="0"/>
    <n v="0"/>
    <x v="2"/>
    <m/>
    <x v="0"/>
    <x v="0"/>
    <x v="0"/>
  </r>
  <r>
    <s v="15/4691/FUL"/>
    <x v="1"/>
    <x v="0"/>
    <s v="26 Runnymede Road_x000d_Twickenham_x000d_TW2 7HF"/>
    <s v="Demolition of existing single storey dwelling and erection of three new three storey houses, with off street parking."/>
    <d v="2017-02-15T00:00:00"/>
    <d v="2018-04-25T00:00:00"/>
    <x v="0"/>
    <x v="0"/>
    <n v="513852"/>
    <n v="174314"/>
    <m/>
    <n v="0"/>
    <n v="0"/>
    <n v="0"/>
    <n v="1"/>
    <m/>
    <m/>
    <m/>
    <n v="1"/>
    <m/>
    <n v="0"/>
    <n v="0"/>
    <n v="0"/>
    <n v="3"/>
    <m/>
    <m/>
    <m/>
    <n v="3"/>
    <m/>
    <n v="0"/>
    <n v="0"/>
    <n v="0"/>
    <n v="2"/>
    <n v="0"/>
    <n v="0"/>
    <n v="0"/>
    <n v="2"/>
    <x v="0"/>
    <n v="2"/>
    <n v="0"/>
    <n v="0"/>
    <n v="0"/>
    <n v="0"/>
    <n v="0"/>
    <n v="0"/>
    <x v="0"/>
    <n v="0"/>
    <n v="0"/>
    <n v="0"/>
    <n v="0"/>
    <n v="0"/>
    <x v="15"/>
    <m/>
    <x v="0"/>
    <x v="0"/>
    <x v="0"/>
  </r>
  <r>
    <s v="15/4822/FUL"/>
    <x v="0"/>
    <x v="0"/>
    <s v="88 Church Road Barnes SW13 0DQ"/>
    <s v="Conversion of first and second floors into two self-contained flats, new external staircase with refuse storage under and conversion of existing out building for cycle storage."/>
    <d v="2018-03-01T00:00:00"/>
    <d v="2018-12-01T00:00:00"/>
    <x v="0"/>
    <x v="0"/>
    <n v="522318"/>
    <n v="176582"/>
    <m/>
    <n v="0"/>
    <n v="0"/>
    <n v="1"/>
    <n v="0"/>
    <m/>
    <m/>
    <m/>
    <n v="1"/>
    <m/>
    <n v="0"/>
    <n v="2"/>
    <n v="0"/>
    <n v="0"/>
    <m/>
    <m/>
    <m/>
    <n v="2"/>
    <m/>
    <n v="0"/>
    <n v="2"/>
    <n v="-1"/>
    <n v="0"/>
    <n v="0"/>
    <n v="0"/>
    <n v="0"/>
    <n v="1"/>
    <x v="0"/>
    <n v="1"/>
    <n v="0"/>
    <n v="0"/>
    <n v="0"/>
    <n v="0"/>
    <n v="0"/>
    <n v="0"/>
    <x v="0"/>
    <n v="0"/>
    <n v="0"/>
    <n v="0"/>
    <n v="0"/>
    <n v="0"/>
    <x v="14"/>
    <m/>
    <x v="3"/>
    <x v="0"/>
    <x v="0"/>
  </r>
  <r>
    <s v="15/4878/FUL"/>
    <x v="1"/>
    <x v="0"/>
    <s v="6 Ham Farm Road_x000a_Ham_x000a_Richmond_x000a_TW10 5LZ"/>
    <s v="Demolition of existing dwelling and detached garage and erection of a 2-storey replacement dwellinghouse and detached carport with altered driveway road access."/>
    <d v="2017-05-22T00:00:00"/>
    <d v="2018-05-18T00:00:00"/>
    <x v="0"/>
    <x v="0"/>
    <n v="518127"/>
    <n v="171610"/>
    <m/>
    <n v="0"/>
    <n v="0"/>
    <n v="0"/>
    <n v="1"/>
    <m/>
    <m/>
    <m/>
    <n v="1"/>
    <m/>
    <n v="0"/>
    <n v="0"/>
    <n v="0"/>
    <n v="1"/>
    <m/>
    <m/>
    <m/>
    <n v="1"/>
    <m/>
    <n v="0"/>
    <n v="0"/>
    <n v="0"/>
    <n v="0"/>
    <n v="0"/>
    <n v="0"/>
    <n v="0"/>
    <n v="0"/>
    <x v="0"/>
    <n v="0"/>
    <n v="0"/>
    <n v="0"/>
    <n v="0"/>
    <n v="0"/>
    <n v="0"/>
    <n v="0"/>
    <x v="0"/>
    <n v="0"/>
    <n v="0"/>
    <n v="0"/>
    <n v="0"/>
    <n v="0"/>
    <x v="7"/>
    <m/>
    <x v="0"/>
    <x v="0"/>
    <x v="0"/>
  </r>
  <r>
    <s v="16/0046/FUL"/>
    <x v="1"/>
    <x v="0"/>
    <s v="283 Lonsdale Road_x000d_Barnes_x000d_London_x000d_SW13 9QB"/>
    <s v="Demolition of the existing building and the erection of three x 2 bed dwellings with associated parking, landscaping and basement."/>
    <d v="2017-04-01T00:00:00"/>
    <d v="2019-02-19T00:00:00"/>
    <x v="0"/>
    <x v="0"/>
    <n v="521655"/>
    <n v="176613"/>
    <m/>
    <n v="0"/>
    <n v="0"/>
    <n v="1"/>
    <n v="0"/>
    <m/>
    <m/>
    <m/>
    <n v="1"/>
    <m/>
    <n v="0"/>
    <n v="3"/>
    <n v="0"/>
    <n v="0"/>
    <m/>
    <m/>
    <m/>
    <n v="3"/>
    <m/>
    <n v="0"/>
    <n v="3"/>
    <n v="-1"/>
    <n v="0"/>
    <n v="0"/>
    <n v="0"/>
    <n v="0"/>
    <n v="2"/>
    <x v="0"/>
    <n v="2"/>
    <n v="0"/>
    <n v="0"/>
    <n v="0"/>
    <n v="0"/>
    <n v="0"/>
    <n v="0"/>
    <x v="0"/>
    <n v="0"/>
    <n v="0"/>
    <n v="0"/>
    <n v="0"/>
    <n v="0"/>
    <x v="14"/>
    <m/>
    <x v="0"/>
    <x v="0"/>
    <x v="1"/>
  </r>
  <r>
    <s v="16/0279/FUL"/>
    <x v="1"/>
    <x v="0"/>
    <s v="Wild Thyme_x000a_Eel Pie Island_x000a_Twickenham_x000a_TW1 3DY"/>
    <s v="Demolition of existing single-storey dwelling and creation of new single-storey, single family residential dwelling."/>
    <d v="2017-07-01T00:00:00"/>
    <d v="2019-03-01T00:00:00"/>
    <x v="0"/>
    <x v="0"/>
    <n v="516367"/>
    <n v="173082"/>
    <m/>
    <n v="1"/>
    <n v="0"/>
    <n v="0"/>
    <n v="0"/>
    <m/>
    <m/>
    <m/>
    <n v="1"/>
    <m/>
    <n v="0"/>
    <n v="0"/>
    <n v="1"/>
    <n v="0"/>
    <m/>
    <m/>
    <m/>
    <n v="1"/>
    <m/>
    <n v="-1"/>
    <n v="0"/>
    <n v="1"/>
    <n v="0"/>
    <n v="0"/>
    <n v="0"/>
    <n v="0"/>
    <n v="0"/>
    <x v="0"/>
    <n v="0"/>
    <n v="0"/>
    <n v="0"/>
    <n v="0"/>
    <n v="0"/>
    <n v="0"/>
    <n v="0"/>
    <x v="0"/>
    <n v="0"/>
    <n v="0"/>
    <n v="0"/>
    <n v="0"/>
    <n v="0"/>
    <x v="4"/>
    <m/>
    <x v="0"/>
    <x v="0"/>
    <x v="1"/>
  </r>
  <r>
    <s v="16/0400/FUL"/>
    <x v="0"/>
    <x v="0"/>
    <s v="16A Red Lion Street_x000d_Richmond_x000d_TW9 1RW"/>
    <s v="Subdivision of existing flat to create an additional residential unit. Infill of light well on first and second floors."/>
    <d v="2017-01-19T00:00:00"/>
    <d v="2018-06-29T00:00:00"/>
    <x v="0"/>
    <x v="0"/>
    <n v="517884"/>
    <n v="174754"/>
    <m/>
    <n v="0"/>
    <n v="0"/>
    <n v="1"/>
    <n v="0"/>
    <m/>
    <m/>
    <m/>
    <n v="1"/>
    <m/>
    <n v="2"/>
    <n v="0"/>
    <n v="0"/>
    <n v="0"/>
    <m/>
    <m/>
    <m/>
    <n v="2"/>
    <m/>
    <n v="2"/>
    <n v="0"/>
    <n v="-1"/>
    <n v="0"/>
    <n v="0"/>
    <n v="0"/>
    <n v="0"/>
    <n v="1"/>
    <x v="0"/>
    <n v="1"/>
    <n v="0"/>
    <n v="0"/>
    <n v="0"/>
    <n v="0"/>
    <n v="0"/>
    <n v="0"/>
    <x v="0"/>
    <n v="0"/>
    <n v="0"/>
    <n v="0"/>
    <n v="0"/>
    <n v="0"/>
    <x v="12"/>
    <m/>
    <x v="0"/>
    <x v="3"/>
    <x v="0"/>
  </r>
  <r>
    <s v="16/0401/FUL"/>
    <x v="0"/>
    <x v="0"/>
    <s v="18A Red Lion Street_x000d_Richmond"/>
    <s v="Subdivision of existing flat to create an additional unit at same time as filling in the light well on first and second floors."/>
    <d v="2017-01-19T00:00:00"/>
    <d v="2018-06-29T00:00:00"/>
    <x v="0"/>
    <x v="0"/>
    <n v="517889"/>
    <n v="174757"/>
    <m/>
    <n v="0"/>
    <n v="0"/>
    <n v="1"/>
    <n v="0"/>
    <m/>
    <m/>
    <m/>
    <n v="1"/>
    <m/>
    <n v="2"/>
    <n v="0"/>
    <n v="0"/>
    <n v="0"/>
    <m/>
    <m/>
    <m/>
    <n v="2"/>
    <m/>
    <n v="2"/>
    <n v="0"/>
    <n v="-1"/>
    <n v="0"/>
    <n v="0"/>
    <n v="0"/>
    <n v="0"/>
    <n v="1"/>
    <x v="0"/>
    <n v="1"/>
    <n v="0"/>
    <n v="0"/>
    <n v="0"/>
    <n v="0"/>
    <n v="0"/>
    <n v="0"/>
    <x v="0"/>
    <n v="0"/>
    <n v="0"/>
    <n v="0"/>
    <n v="0"/>
    <n v="0"/>
    <x v="12"/>
    <m/>
    <x v="0"/>
    <x v="3"/>
    <x v="0"/>
  </r>
  <r>
    <s v="16/0537/FUL"/>
    <x v="1"/>
    <x v="0"/>
    <s v="51A Third Cross Road_x000d_Twickenham_x000d_TW2 5DY"/>
    <s v="Replacement of existing single storey dwelling house with new two storey dwellinghouse."/>
    <m/>
    <d v="2018-08-31T00:00:00"/>
    <x v="0"/>
    <x v="0"/>
    <n v="514973"/>
    <n v="172813"/>
    <m/>
    <n v="1"/>
    <n v="0"/>
    <n v="0"/>
    <n v="0"/>
    <m/>
    <m/>
    <m/>
    <n v="1"/>
    <m/>
    <n v="1"/>
    <n v="0"/>
    <n v="0"/>
    <n v="0"/>
    <m/>
    <m/>
    <m/>
    <n v="1"/>
    <m/>
    <n v="0"/>
    <n v="0"/>
    <n v="0"/>
    <n v="0"/>
    <n v="0"/>
    <n v="0"/>
    <n v="0"/>
    <n v="0"/>
    <x v="0"/>
    <n v="0"/>
    <n v="0"/>
    <n v="0"/>
    <n v="0"/>
    <n v="0"/>
    <n v="0"/>
    <n v="0"/>
    <x v="0"/>
    <n v="0"/>
    <n v="0"/>
    <n v="0"/>
    <n v="0"/>
    <n v="0"/>
    <x v="1"/>
    <m/>
    <x v="0"/>
    <x v="0"/>
    <x v="0"/>
  </r>
  <r>
    <s v="16/0553/FUL"/>
    <x v="0"/>
    <x v="0"/>
    <s v="56A High Street_x000a_Hampton Hill_x000a_TW12 1PD"/>
    <s v="Rear dormer and conversion of existing flat into 2x2 bedroom flats with a roof terrace and 2 roof lights and sun pipes on the outrigger."/>
    <m/>
    <d v="2018-12-01T00:00:00"/>
    <x v="0"/>
    <x v="0"/>
    <n v="514372"/>
    <n v="170959"/>
    <m/>
    <n v="0"/>
    <n v="0"/>
    <n v="0"/>
    <n v="1"/>
    <m/>
    <m/>
    <m/>
    <n v="1"/>
    <m/>
    <n v="0"/>
    <n v="2"/>
    <n v="0"/>
    <n v="0"/>
    <m/>
    <m/>
    <m/>
    <n v="2"/>
    <m/>
    <n v="0"/>
    <n v="2"/>
    <n v="0"/>
    <n v="-1"/>
    <n v="0"/>
    <n v="0"/>
    <n v="0"/>
    <n v="1"/>
    <x v="0"/>
    <n v="1"/>
    <n v="0"/>
    <n v="0"/>
    <n v="0"/>
    <n v="0"/>
    <n v="0"/>
    <n v="0"/>
    <x v="0"/>
    <n v="0"/>
    <n v="0"/>
    <n v="0"/>
    <n v="0"/>
    <n v="0"/>
    <x v="5"/>
    <m/>
    <x v="4"/>
    <x v="0"/>
    <x v="0"/>
  </r>
  <r>
    <s v="16/0602/FUL"/>
    <x v="3"/>
    <x v="0"/>
    <s v="The Idle Hour _x000d_62 Railway Side_x000d_Barnes_x000d_London_x000d_SW13 0PQ"/>
    <s v="Extension and conversion of existing pub and three-bedroom flat to create a two-bedroom house and two two-bedroom flats."/>
    <d v="2017-05-15T00:00:00"/>
    <d v="2018-05-31T00:00:00"/>
    <x v="0"/>
    <x v="0"/>
    <n v="521683"/>
    <n v="175950"/>
    <m/>
    <n v="0"/>
    <n v="0"/>
    <n v="1"/>
    <n v="0"/>
    <m/>
    <m/>
    <m/>
    <n v="1"/>
    <m/>
    <n v="0"/>
    <n v="3"/>
    <n v="0"/>
    <n v="0"/>
    <m/>
    <m/>
    <m/>
    <n v="3"/>
    <m/>
    <n v="0"/>
    <n v="3"/>
    <n v="-1"/>
    <n v="0"/>
    <n v="0"/>
    <n v="0"/>
    <n v="0"/>
    <n v="2"/>
    <x v="0"/>
    <n v="2"/>
    <n v="0"/>
    <n v="0"/>
    <n v="0"/>
    <n v="0"/>
    <n v="0"/>
    <n v="0"/>
    <x v="0"/>
    <n v="0"/>
    <n v="0"/>
    <n v="0"/>
    <n v="0"/>
    <n v="0"/>
    <x v="11"/>
    <m/>
    <x v="0"/>
    <x v="0"/>
    <x v="0"/>
  </r>
  <r>
    <s v="16/0693/FUL"/>
    <x v="0"/>
    <x v="0"/>
    <s v="25 School House Lane_x000d_Teddington_x000d_TW11 9DP"/>
    <s v="Conversion of one dwelling into two new homes. Retention of and alteration to openings in the front façade with an additional front entrance. part single, part two storey extension to the rear. Internal works throughout to create new layout"/>
    <m/>
    <d v="2018-04-18T00:00:00"/>
    <x v="0"/>
    <x v="0"/>
    <n v="517058"/>
    <n v="170060"/>
    <m/>
    <n v="0"/>
    <n v="0"/>
    <n v="0"/>
    <n v="1"/>
    <m/>
    <m/>
    <m/>
    <n v="1"/>
    <m/>
    <n v="0"/>
    <n v="2"/>
    <n v="0"/>
    <n v="0"/>
    <m/>
    <m/>
    <m/>
    <n v="2"/>
    <m/>
    <n v="0"/>
    <n v="2"/>
    <n v="0"/>
    <n v="-1"/>
    <n v="0"/>
    <n v="0"/>
    <n v="0"/>
    <n v="1"/>
    <x v="0"/>
    <n v="1"/>
    <n v="0"/>
    <n v="0"/>
    <n v="0"/>
    <n v="0"/>
    <n v="0"/>
    <n v="0"/>
    <x v="0"/>
    <n v="0"/>
    <n v="0"/>
    <n v="0"/>
    <n v="0"/>
    <n v="0"/>
    <x v="9"/>
    <m/>
    <x v="0"/>
    <x v="0"/>
    <x v="0"/>
  </r>
  <r>
    <s v="16/0726/FUL"/>
    <x v="0"/>
    <x v="0"/>
    <s v="5 St Johns Road_x000d_Richmond_x000d_TW9 2PE"/>
    <s v="Change of use from a basement flat and a maisonette to a single dwelling, with minor alterations."/>
    <m/>
    <d v="2018-06-30T00:00:00"/>
    <x v="0"/>
    <x v="0"/>
    <n v="518202"/>
    <n v="175297"/>
    <m/>
    <n v="1"/>
    <n v="0"/>
    <n v="0"/>
    <n v="1"/>
    <m/>
    <m/>
    <m/>
    <n v="2"/>
    <m/>
    <n v="0"/>
    <n v="0"/>
    <n v="0"/>
    <n v="1"/>
    <m/>
    <m/>
    <m/>
    <n v="1"/>
    <m/>
    <n v="-1"/>
    <n v="0"/>
    <n v="0"/>
    <n v="0"/>
    <n v="0"/>
    <n v="0"/>
    <n v="0"/>
    <n v="-1"/>
    <x v="0"/>
    <n v="-1"/>
    <n v="0"/>
    <n v="0"/>
    <n v="0"/>
    <n v="0"/>
    <n v="0"/>
    <n v="0"/>
    <x v="0"/>
    <n v="0"/>
    <n v="0"/>
    <n v="0"/>
    <n v="0"/>
    <n v="0"/>
    <x v="16"/>
    <m/>
    <x v="0"/>
    <x v="3"/>
    <x v="0"/>
  </r>
  <r>
    <s v="16/0775/FUL"/>
    <x v="0"/>
    <x v="0"/>
    <s v="The Chaplains House_x000a_164 Sheen Road_x000a_Richmond_x000a_TW9 1XD"/>
    <s v="Conversion of existing house to 1 x 1 bed and 1 x 3 bed flats."/>
    <m/>
    <d v="2018-04-01T00:00:00"/>
    <x v="0"/>
    <x v="0"/>
    <n v="518893"/>
    <n v="175056"/>
    <m/>
    <n v="0"/>
    <n v="0"/>
    <n v="0"/>
    <n v="1"/>
    <m/>
    <m/>
    <m/>
    <n v="1"/>
    <m/>
    <n v="1"/>
    <n v="0"/>
    <n v="1"/>
    <n v="0"/>
    <m/>
    <m/>
    <m/>
    <n v="2"/>
    <m/>
    <n v="1"/>
    <n v="0"/>
    <n v="1"/>
    <n v="-1"/>
    <n v="0"/>
    <n v="0"/>
    <n v="0"/>
    <n v="1"/>
    <x v="0"/>
    <n v="1"/>
    <n v="0"/>
    <n v="0"/>
    <n v="0"/>
    <n v="0"/>
    <n v="0"/>
    <n v="0"/>
    <x v="0"/>
    <n v="0"/>
    <n v="0"/>
    <n v="0"/>
    <n v="0"/>
    <n v="0"/>
    <x v="16"/>
    <m/>
    <x v="0"/>
    <x v="0"/>
    <x v="0"/>
  </r>
  <r>
    <s v="16/0966/GPD15"/>
    <x v="3"/>
    <x v="1"/>
    <s v="Sheen Stables Rear Of 119_x000d_Sheen Lane_x000d_East Sheen_x000d_London_x000d_SW14 8AE"/>
    <s v="Change of use from 5 no. offices (B1a use) to 2 no. residential houses (C3 use)."/>
    <d v="2017-10-01T00:00:00"/>
    <d v="2018-10-15T00:00:00"/>
    <x v="0"/>
    <x v="0"/>
    <n v="520522"/>
    <n v="175477"/>
    <m/>
    <n v="0"/>
    <n v="0"/>
    <n v="0"/>
    <n v="0"/>
    <m/>
    <m/>
    <m/>
    <n v="0"/>
    <m/>
    <n v="2"/>
    <n v="0"/>
    <n v="0"/>
    <n v="0"/>
    <m/>
    <m/>
    <m/>
    <n v="2"/>
    <m/>
    <n v="2"/>
    <n v="0"/>
    <n v="0"/>
    <n v="0"/>
    <n v="0"/>
    <n v="0"/>
    <n v="0"/>
    <n v="2"/>
    <x v="0"/>
    <n v="2"/>
    <n v="0"/>
    <n v="0"/>
    <n v="0"/>
    <n v="0"/>
    <n v="0"/>
    <n v="0"/>
    <x v="0"/>
    <n v="0"/>
    <n v="0"/>
    <n v="0"/>
    <n v="0"/>
    <n v="0"/>
    <x v="6"/>
    <m/>
    <x v="0"/>
    <x v="2"/>
    <x v="0"/>
  </r>
  <r>
    <s v="16/1344/FUL"/>
    <x v="3"/>
    <x v="0"/>
    <s v="208 - 210 Amyand Park Road_x000d_Twickenham_x000d_TW1 3HY"/>
    <s v="Conversion works to lower ground floor to provide 1No 1-bedroom flat and basement storage for use ancillary to upper ground floor minicab offices.  Conversion of first floor to 2No. 1-bedroom flats (including conversion of part upper ground floor to prov"/>
    <d v="2018-01-08T00:00:00"/>
    <d v="2018-05-01T00:00:00"/>
    <x v="0"/>
    <x v="0"/>
    <n v="516815"/>
    <n v="174220"/>
    <m/>
    <n v="0"/>
    <n v="0"/>
    <n v="0"/>
    <n v="0"/>
    <m/>
    <m/>
    <m/>
    <n v="0"/>
    <m/>
    <n v="3"/>
    <n v="0"/>
    <n v="0"/>
    <n v="0"/>
    <m/>
    <m/>
    <m/>
    <n v="3"/>
    <m/>
    <n v="3"/>
    <n v="0"/>
    <n v="0"/>
    <n v="0"/>
    <n v="0"/>
    <n v="0"/>
    <n v="0"/>
    <n v="3"/>
    <x v="0"/>
    <n v="3"/>
    <n v="0"/>
    <n v="0"/>
    <n v="0"/>
    <n v="0"/>
    <n v="0"/>
    <n v="0"/>
    <x v="0"/>
    <n v="0"/>
    <n v="0"/>
    <n v="0"/>
    <n v="0"/>
    <n v="0"/>
    <x v="3"/>
    <m/>
    <x v="5"/>
    <x v="0"/>
    <x v="0"/>
  </r>
  <r>
    <s v="16/1537/FUL"/>
    <x v="0"/>
    <x v="0"/>
    <s v="85 Station Road_x000d_Hampton_x000d_TW12 2BJ"/>
    <s v="Convert the house into two family dwellings."/>
    <m/>
    <d v="2018-08-01T00:00:00"/>
    <x v="0"/>
    <x v="0"/>
    <n v="513716"/>
    <n v="169674"/>
    <m/>
    <n v="0"/>
    <n v="0"/>
    <n v="0"/>
    <n v="1"/>
    <m/>
    <m/>
    <m/>
    <n v="1"/>
    <m/>
    <n v="0"/>
    <n v="1"/>
    <n v="1"/>
    <n v="0"/>
    <m/>
    <m/>
    <m/>
    <n v="2"/>
    <m/>
    <n v="0"/>
    <n v="1"/>
    <n v="1"/>
    <n v="-1"/>
    <n v="0"/>
    <n v="0"/>
    <n v="0"/>
    <n v="1"/>
    <x v="0"/>
    <n v="1"/>
    <n v="0"/>
    <n v="0"/>
    <n v="0"/>
    <n v="0"/>
    <n v="0"/>
    <n v="0"/>
    <x v="0"/>
    <n v="0"/>
    <n v="0"/>
    <n v="0"/>
    <n v="0"/>
    <n v="0"/>
    <x v="8"/>
    <m/>
    <x v="6"/>
    <x v="0"/>
    <x v="0"/>
  </r>
  <r>
    <s v="16/1624/FUL"/>
    <x v="0"/>
    <x v="0"/>
    <s v="18 Cambrian Road_x000d_Richmond_x000d_TW10 6JQ"/>
    <s v="Conversion of the existing house into 2No. self-contained split level maisonettes. Installation of solar photovoltaic panels to the rear roofslope and storage enclosure to front garden."/>
    <d v="2017-05-01T00:00:00"/>
    <d v="2018-04-03T00:00:00"/>
    <x v="0"/>
    <x v="0"/>
    <n v="518724"/>
    <n v="174102"/>
    <m/>
    <n v="0"/>
    <n v="0"/>
    <n v="0"/>
    <n v="1"/>
    <m/>
    <m/>
    <m/>
    <n v="1"/>
    <m/>
    <n v="0"/>
    <n v="2"/>
    <n v="0"/>
    <n v="0"/>
    <m/>
    <m/>
    <m/>
    <n v="2"/>
    <m/>
    <n v="0"/>
    <n v="2"/>
    <n v="0"/>
    <n v="-1"/>
    <n v="0"/>
    <n v="0"/>
    <n v="0"/>
    <n v="1"/>
    <x v="0"/>
    <n v="1"/>
    <n v="0"/>
    <n v="0"/>
    <n v="0"/>
    <n v="0"/>
    <n v="0"/>
    <n v="0"/>
    <x v="0"/>
    <n v="0"/>
    <n v="0"/>
    <n v="0"/>
    <n v="0"/>
    <n v="0"/>
    <x v="12"/>
    <m/>
    <x v="0"/>
    <x v="0"/>
    <x v="0"/>
  </r>
  <r>
    <s v="16/1891/FUL"/>
    <x v="1"/>
    <x v="0"/>
    <s v="14A St Peters Road_x000d_Twickenham_x000d_TW1 1QX"/>
    <s v="Demolition of existing dwelling and erection of a two storey replacement dwellinghouse."/>
    <m/>
    <d v="2018-07-02T00:00:00"/>
    <x v="0"/>
    <x v="0"/>
    <n v="516971"/>
    <n v="174886"/>
    <m/>
    <n v="0"/>
    <n v="0"/>
    <n v="0"/>
    <n v="0"/>
    <n v="1"/>
    <m/>
    <m/>
    <n v="1"/>
    <m/>
    <n v="0"/>
    <n v="0"/>
    <n v="1"/>
    <n v="0"/>
    <m/>
    <m/>
    <m/>
    <n v="1"/>
    <m/>
    <n v="0"/>
    <n v="0"/>
    <n v="1"/>
    <n v="0"/>
    <n v="-1"/>
    <n v="0"/>
    <n v="0"/>
    <n v="0"/>
    <x v="0"/>
    <n v="0"/>
    <n v="0"/>
    <n v="0"/>
    <n v="0"/>
    <n v="0"/>
    <n v="0"/>
    <n v="0"/>
    <x v="0"/>
    <n v="0"/>
    <n v="0"/>
    <n v="0"/>
    <n v="0"/>
    <n v="0"/>
    <x v="3"/>
    <m/>
    <x v="0"/>
    <x v="0"/>
    <x v="1"/>
  </r>
  <r>
    <s v="16/1900/FUL"/>
    <x v="3"/>
    <x v="0"/>
    <s v="Former St Johns Hospital Amyand Park Road And Newland House Oak Lane Twickenham"/>
    <s v="Formation of two 2-bed flats through a change of use at first floor level; together with alterations to the elevations comprising the provision of two conservation-style roof lights and one inset roof terrace; and the provision of four cycle spaces and r"/>
    <d v="2018-09-03T00:00:00"/>
    <d v="2018-12-03T00:00:00"/>
    <x v="0"/>
    <x v="0"/>
    <n v="516408"/>
    <n v="173636"/>
    <m/>
    <n v="0"/>
    <n v="0"/>
    <n v="0"/>
    <n v="0"/>
    <m/>
    <m/>
    <m/>
    <n v="0"/>
    <m/>
    <n v="0"/>
    <n v="2"/>
    <n v="0"/>
    <n v="0"/>
    <m/>
    <m/>
    <m/>
    <n v="2"/>
    <m/>
    <n v="0"/>
    <n v="2"/>
    <n v="0"/>
    <n v="0"/>
    <n v="0"/>
    <n v="0"/>
    <n v="0"/>
    <n v="2"/>
    <x v="0"/>
    <n v="2"/>
    <n v="0"/>
    <n v="0"/>
    <n v="0"/>
    <n v="0"/>
    <n v="0"/>
    <n v="0"/>
    <x v="0"/>
    <n v="0"/>
    <n v="0"/>
    <n v="0"/>
    <n v="0"/>
    <n v="0"/>
    <x v="4"/>
    <m/>
    <x v="0"/>
    <x v="0"/>
    <x v="0"/>
  </r>
  <r>
    <s v="16/2006/FUL"/>
    <x v="1"/>
    <x v="0"/>
    <s v="15 High Street Hampton Hill TW12 1NB"/>
    <s v="Erection of 3 No. 3 bedroom terraced houses with associated parking and landscaping."/>
    <d v="2018-05-01T00:00:00"/>
    <d v="2019-03-30T00:00:00"/>
    <x v="0"/>
    <x v="0"/>
    <n v="514188"/>
    <n v="170597"/>
    <m/>
    <n v="0"/>
    <n v="0"/>
    <n v="0"/>
    <n v="0"/>
    <m/>
    <m/>
    <m/>
    <n v="0"/>
    <m/>
    <n v="0"/>
    <n v="0"/>
    <n v="3"/>
    <n v="0"/>
    <m/>
    <m/>
    <m/>
    <n v="3"/>
    <m/>
    <n v="0"/>
    <n v="0"/>
    <n v="3"/>
    <n v="0"/>
    <n v="0"/>
    <n v="0"/>
    <n v="0"/>
    <n v="3"/>
    <x v="0"/>
    <n v="3"/>
    <n v="0"/>
    <n v="0"/>
    <n v="0"/>
    <n v="0"/>
    <n v="0"/>
    <n v="0"/>
    <x v="0"/>
    <n v="0"/>
    <n v="0"/>
    <n v="0"/>
    <n v="0"/>
    <n v="0"/>
    <x v="5"/>
    <m/>
    <x v="4"/>
    <x v="0"/>
    <x v="0"/>
  </r>
  <r>
    <s v="16/2032/FUL"/>
    <x v="1"/>
    <x v="0"/>
    <s v="188 Amyand Park Road_x000d_Twickenham_x000d_TW1 3HY"/>
    <s v="Demolition of existing building. Erection of 2x terraced town houses (1 x 3 bed and 1 x 5 bed) with associated bin store and rear car parking area with 2x turntables. Demolition of the garage to the rear of property on Bridle Lane and the construction of"/>
    <d v="2016-06-15T00:00:00"/>
    <d v="2018-08-01T00:00:00"/>
    <x v="0"/>
    <x v="0"/>
    <n v="516738"/>
    <n v="174132"/>
    <m/>
    <n v="0"/>
    <n v="0"/>
    <n v="0"/>
    <n v="1"/>
    <m/>
    <m/>
    <m/>
    <n v="1"/>
    <m/>
    <n v="0"/>
    <n v="0"/>
    <n v="1"/>
    <n v="1"/>
    <m/>
    <m/>
    <m/>
    <n v="2"/>
    <m/>
    <n v="0"/>
    <n v="0"/>
    <n v="1"/>
    <n v="0"/>
    <n v="0"/>
    <n v="0"/>
    <n v="0"/>
    <n v="1"/>
    <x v="0"/>
    <n v="1"/>
    <n v="0"/>
    <n v="0"/>
    <n v="0"/>
    <n v="0"/>
    <n v="0"/>
    <n v="0"/>
    <x v="0"/>
    <n v="0"/>
    <n v="0"/>
    <n v="0"/>
    <n v="0"/>
    <n v="0"/>
    <x v="3"/>
    <m/>
    <x v="0"/>
    <x v="0"/>
    <x v="0"/>
  </r>
  <r>
    <s v="16/2151/FUL"/>
    <x v="3"/>
    <x v="0"/>
    <s v="Basement Flat_x000d_57 Church Road_x000d_Richmond_x000d_TW10 6LX"/>
    <s v="Change of use from current use by the Labour Party (D2) to use as a residential dwelling (C3) and rear extension."/>
    <d v="2018-02-01T00:00:00"/>
    <d v="2019-03-27T00:00:00"/>
    <x v="0"/>
    <x v="0"/>
    <n v="518356"/>
    <n v="174881"/>
    <m/>
    <n v="0"/>
    <n v="0"/>
    <n v="0"/>
    <n v="0"/>
    <m/>
    <m/>
    <m/>
    <n v="0"/>
    <m/>
    <n v="0"/>
    <n v="0"/>
    <n v="1"/>
    <n v="0"/>
    <m/>
    <m/>
    <m/>
    <n v="1"/>
    <m/>
    <n v="0"/>
    <n v="0"/>
    <n v="1"/>
    <n v="0"/>
    <n v="0"/>
    <n v="0"/>
    <n v="0"/>
    <n v="1"/>
    <x v="0"/>
    <n v="1"/>
    <n v="0"/>
    <n v="0"/>
    <n v="0"/>
    <n v="0"/>
    <n v="0"/>
    <n v="0"/>
    <x v="0"/>
    <n v="0"/>
    <n v="0"/>
    <n v="0"/>
    <n v="0"/>
    <n v="0"/>
    <x v="12"/>
    <m/>
    <x v="0"/>
    <x v="0"/>
    <x v="0"/>
  </r>
  <r>
    <s v="16/2259/FUL"/>
    <x v="3"/>
    <x v="0"/>
    <s v="1 Hill Rise Richmond"/>
    <s v="Application for change of use from C4 Residential to B1 (a) office."/>
    <m/>
    <d v="2019-02-01T00:00:00"/>
    <x v="0"/>
    <x v="0"/>
    <n v="517817"/>
    <n v="174592"/>
    <m/>
    <n v="1"/>
    <n v="0"/>
    <n v="0"/>
    <n v="0"/>
    <m/>
    <m/>
    <m/>
    <n v="1"/>
    <m/>
    <n v="0"/>
    <n v="0"/>
    <n v="0"/>
    <n v="0"/>
    <m/>
    <m/>
    <m/>
    <n v="0"/>
    <m/>
    <n v="-1"/>
    <n v="0"/>
    <n v="0"/>
    <n v="0"/>
    <n v="0"/>
    <n v="0"/>
    <n v="0"/>
    <n v="-1"/>
    <x v="0"/>
    <n v="-1"/>
    <n v="0"/>
    <n v="0"/>
    <n v="0"/>
    <n v="0"/>
    <n v="0"/>
    <n v="0"/>
    <x v="0"/>
    <n v="0"/>
    <n v="0"/>
    <n v="0"/>
    <n v="0"/>
    <n v="0"/>
    <x v="12"/>
    <m/>
    <x v="0"/>
    <x v="3"/>
    <x v="1"/>
  </r>
  <r>
    <s v="16/2489/FUL"/>
    <x v="2"/>
    <x v="0"/>
    <s v="34 - 40 The Quadrant_x000d_Richmond"/>
    <s v="Erection of an extension to the third storey of an existing residential building to provide 2 no. (2 x one-bedroom) flats including roof terrace."/>
    <d v="2017-11-01T00:00:00"/>
    <d v="2018-08-31T00:00:00"/>
    <x v="0"/>
    <x v="0"/>
    <n v="518013"/>
    <n v="175053"/>
    <m/>
    <n v="0"/>
    <n v="0"/>
    <n v="0"/>
    <n v="0"/>
    <m/>
    <m/>
    <m/>
    <n v="0"/>
    <m/>
    <n v="2"/>
    <n v="0"/>
    <n v="0"/>
    <n v="0"/>
    <m/>
    <m/>
    <m/>
    <n v="2"/>
    <m/>
    <n v="2"/>
    <n v="0"/>
    <n v="0"/>
    <n v="0"/>
    <n v="0"/>
    <n v="0"/>
    <n v="0"/>
    <n v="2"/>
    <x v="0"/>
    <n v="2"/>
    <n v="0"/>
    <n v="0"/>
    <n v="0"/>
    <n v="0"/>
    <n v="0"/>
    <n v="0"/>
    <x v="0"/>
    <n v="0"/>
    <n v="0"/>
    <n v="0"/>
    <n v="0"/>
    <n v="0"/>
    <x v="12"/>
    <m/>
    <x v="0"/>
    <x v="3"/>
    <x v="0"/>
  </r>
  <r>
    <s v="16/2642/FUL"/>
    <x v="1"/>
    <x v="0"/>
    <s v="Garages Rear Of Salliesfield_x000d_Kneller Road_x000d_Twickenham"/>
    <s v="Demolition of existing garages for development of 4 no. residential units (3 no. 1 bed and 1 no. 2 bed units) and associated parking, cycle and refuse store, hard and soft landscaping.  Resiting of existing refuse store/area serving Salliesfield developm"/>
    <m/>
    <d v="2018-06-30T00:00:00"/>
    <x v="0"/>
    <x v="0"/>
    <n v="514815"/>
    <n v="173985"/>
    <m/>
    <n v="0"/>
    <n v="0"/>
    <n v="0"/>
    <n v="0"/>
    <m/>
    <m/>
    <m/>
    <n v="0"/>
    <m/>
    <n v="3"/>
    <n v="1"/>
    <n v="0"/>
    <n v="0"/>
    <m/>
    <m/>
    <m/>
    <n v="4"/>
    <m/>
    <n v="3"/>
    <n v="1"/>
    <n v="0"/>
    <n v="0"/>
    <n v="0"/>
    <n v="0"/>
    <n v="0"/>
    <n v="4"/>
    <x v="0"/>
    <n v="4"/>
    <n v="0"/>
    <n v="0"/>
    <n v="0"/>
    <n v="0"/>
    <n v="0"/>
    <n v="0"/>
    <x v="0"/>
    <n v="0"/>
    <n v="0"/>
    <n v="0"/>
    <n v="0"/>
    <n v="0"/>
    <x v="15"/>
    <m/>
    <x v="0"/>
    <x v="0"/>
    <x v="0"/>
  </r>
  <r>
    <s v="16/2959/FUL"/>
    <x v="1"/>
    <x v="0"/>
    <s v="Prince House_x000d_116 High Street_x000d_Hampton Hill"/>
    <s v="Erection of a single storey two bedroom house, with associated parking and amenity space."/>
    <d v="2017-11-01T00:00:00"/>
    <d v="2019-02-15T00:00:00"/>
    <x v="0"/>
    <x v="0"/>
    <n v="514512"/>
    <n v="171251"/>
    <m/>
    <n v="0"/>
    <n v="0"/>
    <n v="0"/>
    <n v="0"/>
    <m/>
    <m/>
    <m/>
    <n v="0"/>
    <m/>
    <n v="0"/>
    <n v="1"/>
    <n v="0"/>
    <n v="0"/>
    <m/>
    <m/>
    <m/>
    <n v="1"/>
    <m/>
    <n v="0"/>
    <n v="1"/>
    <n v="0"/>
    <n v="0"/>
    <n v="0"/>
    <n v="0"/>
    <n v="0"/>
    <n v="1"/>
    <x v="0"/>
    <n v="1"/>
    <n v="0"/>
    <n v="0"/>
    <n v="0"/>
    <n v="0"/>
    <n v="0"/>
    <n v="0"/>
    <x v="0"/>
    <n v="0"/>
    <n v="0"/>
    <n v="0"/>
    <n v="0"/>
    <n v="0"/>
    <x v="5"/>
    <m/>
    <x v="4"/>
    <x v="0"/>
    <x v="0"/>
  </r>
  <r>
    <s v="16/3019/FUL"/>
    <x v="1"/>
    <x v="0"/>
    <s v="9 Tudor Road And_x000d_27 Milton Road_x000d_Hampton"/>
    <s v="Redevelopment of the site to provide seven houses, associated landscaping and parking following the demolition of all existing buildings."/>
    <d v="2017-10-02T00:00:00"/>
    <d v="2018-09-28T00:00:00"/>
    <x v="0"/>
    <x v="0"/>
    <n v="513405"/>
    <n v="170033"/>
    <m/>
    <n v="0"/>
    <n v="0"/>
    <n v="1"/>
    <n v="0"/>
    <m/>
    <m/>
    <m/>
    <n v="1"/>
    <m/>
    <n v="0"/>
    <n v="0"/>
    <n v="1"/>
    <n v="6"/>
    <m/>
    <m/>
    <m/>
    <n v="7"/>
    <m/>
    <n v="0"/>
    <n v="0"/>
    <n v="0"/>
    <n v="6"/>
    <n v="0"/>
    <n v="0"/>
    <n v="0"/>
    <n v="6"/>
    <x v="0"/>
    <n v="6"/>
    <n v="0"/>
    <n v="0"/>
    <n v="0"/>
    <n v="0"/>
    <n v="0"/>
    <n v="0"/>
    <x v="0"/>
    <n v="0"/>
    <n v="0"/>
    <n v="0"/>
    <n v="0"/>
    <n v="0"/>
    <x v="8"/>
    <m/>
    <x v="0"/>
    <x v="0"/>
    <x v="0"/>
  </r>
  <r>
    <s v="16/3206/FUL"/>
    <x v="2"/>
    <x v="0"/>
    <s v="349 - 351 Upper Richmond Road West_x000d_East Sheen_x000d_London"/>
    <s v="Construction of two self contained flats at second floor level and accompanying interior alterations at first floor level to allow access to the new units [revised description]."/>
    <d v="2017-11-01T00:00:00"/>
    <d v="2018-09-01T00:00:00"/>
    <x v="0"/>
    <x v="0"/>
    <n v="520568"/>
    <n v="175399"/>
    <m/>
    <n v="0"/>
    <n v="0"/>
    <n v="0"/>
    <n v="0"/>
    <m/>
    <m/>
    <m/>
    <n v="0"/>
    <m/>
    <n v="2"/>
    <n v="0"/>
    <n v="0"/>
    <n v="0"/>
    <m/>
    <m/>
    <m/>
    <n v="2"/>
    <m/>
    <n v="2"/>
    <n v="0"/>
    <n v="0"/>
    <n v="0"/>
    <n v="0"/>
    <n v="0"/>
    <n v="0"/>
    <n v="2"/>
    <x v="0"/>
    <n v="2"/>
    <n v="0"/>
    <n v="0"/>
    <n v="0"/>
    <n v="0"/>
    <n v="0"/>
    <n v="0"/>
    <x v="0"/>
    <n v="0"/>
    <n v="0"/>
    <n v="0"/>
    <n v="0"/>
    <n v="0"/>
    <x v="6"/>
    <m/>
    <x v="0"/>
    <x v="2"/>
    <x v="0"/>
  </r>
  <r>
    <s v="16/3297/FUL"/>
    <x v="3"/>
    <x v="0"/>
    <s v="36 Hampton Road Twickenham TW2 5QB"/>
    <s v="Change of use of ground floor retail unit (A1) and ground, first and second floor residential unit (C3) to create a single live/work unity (sui generis) with dedicated work area (B1a)."/>
    <m/>
    <d v="2018-04-02T00:00:00"/>
    <x v="0"/>
    <x v="0"/>
    <n v="515150"/>
    <n v="172741"/>
    <m/>
    <n v="1"/>
    <n v="0"/>
    <n v="0"/>
    <n v="0"/>
    <m/>
    <m/>
    <m/>
    <n v="1"/>
    <m/>
    <n v="0"/>
    <n v="1"/>
    <n v="0"/>
    <n v="0"/>
    <m/>
    <m/>
    <m/>
    <n v="1"/>
    <m/>
    <n v="-1"/>
    <n v="1"/>
    <n v="0"/>
    <n v="0"/>
    <n v="0"/>
    <n v="0"/>
    <n v="0"/>
    <n v="0"/>
    <x v="0"/>
    <n v="0"/>
    <n v="0"/>
    <n v="0"/>
    <n v="0"/>
    <n v="0"/>
    <n v="0"/>
    <n v="0"/>
    <x v="0"/>
    <n v="0"/>
    <n v="0"/>
    <n v="0"/>
    <n v="0"/>
    <n v="0"/>
    <x v="1"/>
    <m/>
    <x v="7"/>
    <x v="0"/>
    <x v="0"/>
  </r>
  <r>
    <s v="16/3460/FUL"/>
    <x v="0"/>
    <x v="0"/>
    <s v="19 The Hermitage Richmond"/>
    <s v="Conversion of existing building from four flats to single family dwelling. Replace existing conservatory to lower ground floor with new single storey rear extension, rear extension at upper ground floor level. All materials to match existing."/>
    <d v="2017-05-01T00:00:00"/>
    <d v="2019-02-01T00:00:00"/>
    <x v="0"/>
    <x v="0"/>
    <n v="518019"/>
    <n v="174650"/>
    <m/>
    <n v="4"/>
    <n v="0"/>
    <n v="0"/>
    <n v="0"/>
    <m/>
    <m/>
    <m/>
    <n v="4"/>
    <m/>
    <n v="0"/>
    <n v="0"/>
    <n v="1"/>
    <n v="0"/>
    <m/>
    <m/>
    <m/>
    <n v="1"/>
    <m/>
    <n v="-4"/>
    <n v="0"/>
    <n v="1"/>
    <n v="0"/>
    <n v="0"/>
    <n v="0"/>
    <n v="0"/>
    <n v="-3"/>
    <x v="0"/>
    <n v="-3"/>
    <n v="0"/>
    <n v="0"/>
    <n v="0"/>
    <n v="0"/>
    <n v="0"/>
    <n v="0"/>
    <x v="0"/>
    <n v="0"/>
    <n v="0"/>
    <n v="0"/>
    <n v="0"/>
    <n v="0"/>
    <x v="12"/>
    <m/>
    <x v="0"/>
    <x v="0"/>
    <x v="0"/>
  </r>
  <r>
    <s v="16/3605/PS192"/>
    <x v="3"/>
    <x v="0"/>
    <s v="57 - 58 George Street_x000d_Richmond_x000d_TW9 1HE"/>
    <s v="Proposed change of use from retail to mixed use. Alterations to configuration of internal walls."/>
    <m/>
    <d v="2018-11-30T00:00:00"/>
    <x v="0"/>
    <x v="0"/>
    <n v="517850"/>
    <n v="174885"/>
    <m/>
    <n v="0"/>
    <n v="0"/>
    <n v="0"/>
    <n v="0"/>
    <m/>
    <m/>
    <m/>
    <n v="0"/>
    <m/>
    <n v="2"/>
    <n v="1"/>
    <n v="0"/>
    <n v="0"/>
    <m/>
    <m/>
    <m/>
    <n v="3"/>
    <m/>
    <n v="2"/>
    <n v="1"/>
    <n v="0"/>
    <n v="0"/>
    <n v="0"/>
    <n v="0"/>
    <n v="0"/>
    <n v="3"/>
    <x v="0"/>
    <n v="3"/>
    <n v="0"/>
    <n v="0"/>
    <n v="0"/>
    <n v="0"/>
    <n v="0"/>
    <n v="0"/>
    <x v="0"/>
    <n v="0"/>
    <n v="0"/>
    <n v="0"/>
    <n v="0"/>
    <n v="0"/>
    <x v="12"/>
    <m/>
    <x v="0"/>
    <x v="3"/>
    <x v="0"/>
  </r>
  <r>
    <s v="16/3670/FUL"/>
    <x v="1"/>
    <x v="0"/>
    <s v="36 Denbigh Gardens_x000d_Richmond_x000d_TW10 6EL"/>
    <s v="Demolition of existing two storey detached four bedroom house and construction of new detached two storey five bedroom house."/>
    <d v="2017-09-01T00:00:00"/>
    <d v="2018-11-23T00:00:00"/>
    <x v="0"/>
    <x v="0"/>
    <n v="518841"/>
    <n v="174738"/>
    <m/>
    <n v="0"/>
    <n v="0"/>
    <n v="0"/>
    <n v="1"/>
    <m/>
    <m/>
    <m/>
    <n v="1"/>
    <m/>
    <n v="0"/>
    <n v="0"/>
    <n v="0"/>
    <n v="1"/>
    <m/>
    <m/>
    <m/>
    <n v="1"/>
    <m/>
    <n v="0"/>
    <n v="0"/>
    <n v="0"/>
    <n v="0"/>
    <n v="0"/>
    <n v="0"/>
    <n v="0"/>
    <n v="0"/>
    <x v="0"/>
    <n v="0"/>
    <n v="0"/>
    <n v="0"/>
    <n v="0"/>
    <n v="0"/>
    <n v="0"/>
    <n v="0"/>
    <x v="0"/>
    <n v="0"/>
    <n v="0"/>
    <n v="0"/>
    <n v="0"/>
    <n v="0"/>
    <x v="12"/>
    <m/>
    <x v="0"/>
    <x v="0"/>
    <x v="0"/>
  </r>
  <r>
    <s v="16/3791/FUL"/>
    <x v="1"/>
    <x v="0"/>
    <s v="92 - 94 Station Road_x000d_Hampton_x000d_TW12 2AX"/>
    <s v="Erection of a single-storey, two-bedroom house with accommodation at roof level and associated car parking, cycle and refuse store."/>
    <m/>
    <d v="2018-08-31T00:00:00"/>
    <x v="0"/>
    <x v="0"/>
    <n v="513648"/>
    <n v="169737"/>
    <m/>
    <n v="0"/>
    <n v="0"/>
    <n v="0"/>
    <n v="0"/>
    <m/>
    <m/>
    <m/>
    <n v="0"/>
    <m/>
    <n v="0"/>
    <n v="1"/>
    <n v="0"/>
    <n v="0"/>
    <m/>
    <m/>
    <m/>
    <n v="1"/>
    <m/>
    <n v="0"/>
    <n v="1"/>
    <n v="0"/>
    <n v="0"/>
    <n v="0"/>
    <n v="0"/>
    <n v="0"/>
    <n v="1"/>
    <x v="0"/>
    <n v="1"/>
    <n v="0"/>
    <n v="0"/>
    <n v="0"/>
    <n v="0"/>
    <n v="0"/>
    <n v="0"/>
    <x v="0"/>
    <n v="0"/>
    <n v="0"/>
    <n v="0"/>
    <n v="0"/>
    <n v="0"/>
    <x v="8"/>
    <m/>
    <x v="6"/>
    <x v="0"/>
    <x v="0"/>
  </r>
  <r>
    <s v="16/3876/FUL"/>
    <x v="1"/>
    <x v="0"/>
    <s v="26 The Terrace_x000a_Barnes_x000a_London_x000a_SW13 0NR"/>
    <s v="Demolition of remaining damaged ground floor structure and stairwell, following the collapse of the original building and subsequent demolition by the Council, and erection of a new house to be built over existing basement from ground to third floor leve"/>
    <d v="2018-03-01T00:00:00"/>
    <d v="2018-12-01T00:00:00"/>
    <x v="0"/>
    <x v="0"/>
    <n v="521327"/>
    <n v="176153"/>
    <m/>
    <n v="0"/>
    <n v="0"/>
    <n v="0"/>
    <n v="0"/>
    <m/>
    <n v="1"/>
    <m/>
    <n v="1"/>
    <m/>
    <n v="0"/>
    <n v="0"/>
    <n v="0"/>
    <n v="0"/>
    <n v="1"/>
    <m/>
    <m/>
    <n v="1"/>
    <m/>
    <n v="0"/>
    <n v="0"/>
    <n v="0"/>
    <n v="0"/>
    <n v="1"/>
    <n v="-1"/>
    <n v="0"/>
    <n v="0"/>
    <x v="0"/>
    <n v="0"/>
    <n v="0"/>
    <n v="0"/>
    <n v="0"/>
    <n v="0"/>
    <n v="0"/>
    <n v="0"/>
    <x v="0"/>
    <n v="0"/>
    <n v="0"/>
    <n v="0"/>
    <n v="0"/>
    <n v="0"/>
    <x v="11"/>
    <m/>
    <x v="0"/>
    <x v="0"/>
    <x v="1"/>
  </r>
  <r>
    <s v="16/4000/FUL"/>
    <x v="0"/>
    <x v="0"/>
    <s v="10 Stretton Road_x000d_Ham_x000d_Richmond_x000d_TW10 7QQ"/>
    <s v="Conversion of an end-of-terrace 3-bed house into 2 no. flats."/>
    <m/>
    <d v="2018-11-07T00:00:00"/>
    <x v="0"/>
    <x v="0"/>
    <n v="517154"/>
    <n v="172520"/>
    <m/>
    <n v="0"/>
    <n v="0"/>
    <n v="1"/>
    <n v="0"/>
    <m/>
    <m/>
    <m/>
    <n v="1"/>
    <m/>
    <n v="1"/>
    <n v="1"/>
    <n v="0"/>
    <n v="0"/>
    <m/>
    <m/>
    <m/>
    <n v="2"/>
    <m/>
    <n v="1"/>
    <n v="1"/>
    <n v="-1"/>
    <n v="0"/>
    <n v="0"/>
    <n v="0"/>
    <n v="0"/>
    <n v="1"/>
    <x v="0"/>
    <n v="1"/>
    <n v="0"/>
    <n v="0"/>
    <n v="0"/>
    <n v="0"/>
    <n v="0"/>
    <n v="0"/>
    <x v="0"/>
    <n v="0"/>
    <n v="0"/>
    <n v="0"/>
    <n v="0"/>
    <n v="0"/>
    <x v="7"/>
    <m/>
    <x v="0"/>
    <x v="0"/>
    <x v="0"/>
  </r>
  <r>
    <s v="16/4058/FUL"/>
    <x v="3"/>
    <x v="0"/>
    <s v="59 - 61 High Street_x000a_Hampton Wick_x000a_Kingston Upon Thames_x000a_KT1 4DG"/>
    <s v="Internal configuration of existing ancillary accommodation to create 4 self-contained flats; removal of external first floor fire escape, removal, repositioning and replacement of rear windows at first and second floor level including (including the installation one new window at each level totalling 5); replacement rooftiles to the front and rear roofslope; removal of defective chimney to the rear and raising and pitching of the front roofslope (retrospective)."/>
    <m/>
    <d v="2019-03-01T00:00:00"/>
    <x v="0"/>
    <x v="0"/>
    <n v="517463"/>
    <n v="169661"/>
    <m/>
    <n v="0"/>
    <n v="0"/>
    <n v="0"/>
    <n v="0"/>
    <n v="1"/>
    <m/>
    <m/>
    <n v="1"/>
    <m/>
    <n v="2"/>
    <n v="2"/>
    <n v="0"/>
    <n v="0"/>
    <m/>
    <m/>
    <m/>
    <n v="4"/>
    <m/>
    <n v="2"/>
    <n v="2"/>
    <n v="0"/>
    <n v="0"/>
    <n v="-1"/>
    <n v="0"/>
    <n v="0"/>
    <n v="3"/>
    <x v="0"/>
    <n v="3"/>
    <n v="0"/>
    <n v="0"/>
    <n v="0"/>
    <n v="0"/>
    <n v="0"/>
    <n v="0"/>
    <x v="0"/>
    <n v="0"/>
    <n v="0"/>
    <n v="0"/>
    <n v="0"/>
    <n v="0"/>
    <x v="9"/>
    <m/>
    <x v="1"/>
    <x v="0"/>
    <x v="0"/>
  </r>
  <r>
    <s v="16/4231/FUL"/>
    <x v="0"/>
    <x v="0"/>
    <s v="202 Upper Richmond Road West_x000d_East Sheen_x000d_London_x000d_SW14 8AN"/>
    <s v="Alterations with dormer extensions to existing first floor dwelling, conversion into 3 no. apartments incorporating a loft conversion."/>
    <m/>
    <d v="2018-07-14T00:00:00"/>
    <x v="0"/>
    <x v="0"/>
    <n v="520691"/>
    <n v="175442"/>
    <m/>
    <n v="0"/>
    <n v="1"/>
    <n v="0"/>
    <n v="0"/>
    <m/>
    <m/>
    <m/>
    <n v="1"/>
    <m/>
    <n v="1"/>
    <n v="2"/>
    <n v="0"/>
    <n v="0"/>
    <m/>
    <m/>
    <m/>
    <n v="3"/>
    <m/>
    <n v="1"/>
    <n v="1"/>
    <n v="0"/>
    <n v="0"/>
    <n v="0"/>
    <n v="0"/>
    <n v="0"/>
    <n v="2"/>
    <x v="0"/>
    <n v="2"/>
    <n v="0"/>
    <n v="0"/>
    <n v="0"/>
    <n v="0"/>
    <n v="0"/>
    <n v="0"/>
    <x v="0"/>
    <n v="0"/>
    <n v="0"/>
    <n v="0"/>
    <n v="0"/>
    <n v="0"/>
    <x v="6"/>
    <m/>
    <x v="0"/>
    <x v="2"/>
    <x v="0"/>
  </r>
  <r>
    <s v="16/4590/FUL"/>
    <x v="1"/>
    <x v="0"/>
    <s v="2A Suffolk Road_x000d_Barnes_x000d_London_x000d_SW13 9PH"/>
    <s v="Demolition of existing property and the construction of a new 4 bed house with basement with associated landscaping (bin and bike store)."/>
    <d v="2017-05-15T00:00:00"/>
    <d v="2018-07-02T00:00:00"/>
    <x v="0"/>
    <x v="0"/>
    <n v="522330"/>
    <n v="177038"/>
    <m/>
    <n v="0"/>
    <n v="2"/>
    <n v="0"/>
    <n v="0"/>
    <m/>
    <m/>
    <m/>
    <n v="2"/>
    <m/>
    <n v="0"/>
    <n v="0"/>
    <n v="0"/>
    <n v="1"/>
    <m/>
    <m/>
    <m/>
    <n v="1"/>
    <m/>
    <n v="0"/>
    <n v="-2"/>
    <n v="0"/>
    <n v="1"/>
    <n v="0"/>
    <n v="0"/>
    <n v="0"/>
    <n v="-1"/>
    <x v="0"/>
    <n v="-1"/>
    <n v="0"/>
    <n v="0"/>
    <n v="0"/>
    <n v="0"/>
    <n v="0"/>
    <n v="0"/>
    <x v="0"/>
    <n v="0"/>
    <n v="0"/>
    <n v="0"/>
    <n v="0"/>
    <n v="0"/>
    <x v="14"/>
    <m/>
    <x v="0"/>
    <x v="0"/>
    <x v="0"/>
  </r>
  <r>
    <s v="16/4669/FUL"/>
    <x v="3"/>
    <x v="0"/>
    <s v="42 George Street_x000d_Richmond_x000d_TW9 1HJ"/>
    <s v="Change of use of first and second floors from A1 ancillary to C3 residential to create 1 No. Studio apartment and 1 No. 2-bedroom apartment. First floor rear extension and alterations to fenestration."/>
    <m/>
    <d v="2018-04-18T00:00:00"/>
    <x v="0"/>
    <x v="0"/>
    <n v="517929"/>
    <n v="174954"/>
    <m/>
    <n v="0"/>
    <n v="0"/>
    <n v="0"/>
    <n v="0"/>
    <m/>
    <m/>
    <m/>
    <n v="0"/>
    <n v="1"/>
    <n v="0"/>
    <n v="1"/>
    <n v="0"/>
    <n v="0"/>
    <m/>
    <m/>
    <m/>
    <n v="2"/>
    <n v="1"/>
    <n v="0"/>
    <n v="1"/>
    <n v="0"/>
    <n v="0"/>
    <n v="0"/>
    <n v="0"/>
    <n v="0"/>
    <n v="2"/>
    <x v="0"/>
    <n v="2"/>
    <n v="0"/>
    <n v="0"/>
    <n v="0"/>
    <n v="0"/>
    <n v="0"/>
    <n v="0"/>
    <x v="0"/>
    <n v="0"/>
    <n v="0"/>
    <n v="0"/>
    <n v="0"/>
    <n v="0"/>
    <x v="12"/>
    <m/>
    <x v="0"/>
    <x v="3"/>
    <x v="0"/>
  </r>
  <r>
    <s v="16/4794/FUL"/>
    <x v="2"/>
    <x v="0"/>
    <s v="Boatrace House_x000a_63 Mortlake High Street_x000a_Mortlake_x000a_London"/>
    <s v="Erection of one additional storey to provide two residential units and alterations to the elevations of the building"/>
    <d v="2018-03-01T00:00:00"/>
    <d v="2019-03-01T00:00:00"/>
    <x v="0"/>
    <x v="0"/>
    <n v="520696"/>
    <n v="175985"/>
    <m/>
    <n v="0"/>
    <n v="0"/>
    <n v="0"/>
    <n v="0"/>
    <m/>
    <m/>
    <m/>
    <n v="0"/>
    <m/>
    <n v="0"/>
    <n v="2"/>
    <n v="0"/>
    <n v="0"/>
    <m/>
    <m/>
    <m/>
    <n v="2"/>
    <m/>
    <n v="0"/>
    <n v="2"/>
    <n v="0"/>
    <n v="0"/>
    <n v="0"/>
    <n v="0"/>
    <n v="0"/>
    <n v="2"/>
    <x v="0"/>
    <n v="2"/>
    <n v="0"/>
    <n v="0"/>
    <n v="0"/>
    <n v="0"/>
    <n v="0"/>
    <n v="0"/>
    <x v="0"/>
    <n v="0"/>
    <n v="0"/>
    <n v="0"/>
    <n v="0"/>
    <n v="0"/>
    <x v="11"/>
    <m/>
    <x v="8"/>
    <x v="0"/>
    <x v="0"/>
  </r>
  <r>
    <s v="16/4798/FUL"/>
    <x v="1"/>
    <x v="0"/>
    <s v="19 Stanley Road East Sheen SW14 7EB"/>
    <s v="Demolition of existing dwelling and the construction of a 2.5/3-storey dwelling with basement including front and rear light well with walk-over covering. Additional construction of car port/storage building to rear of site including vehicular footway cr"/>
    <d v="2017-11-01T00:00:00"/>
    <d v="2019-02-01T00:00:00"/>
    <x v="0"/>
    <x v="0"/>
    <n v="519759"/>
    <n v="175240"/>
    <m/>
    <n v="0"/>
    <n v="0"/>
    <n v="0"/>
    <n v="1"/>
    <m/>
    <m/>
    <m/>
    <n v="1"/>
    <m/>
    <n v="0"/>
    <n v="0"/>
    <n v="0"/>
    <n v="1"/>
    <m/>
    <m/>
    <m/>
    <n v="1"/>
    <m/>
    <n v="0"/>
    <n v="0"/>
    <n v="0"/>
    <n v="0"/>
    <n v="0"/>
    <n v="0"/>
    <n v="0"/>
    <n v="0"/>
    <x v="0"/>
    <n v="0"/>
    <n v="0"/>
    <n v="0"/>
    <n v="0"/>
    <n v="0"/>
    <n v="0"/>
    <n v="0"/>
    <x v="0"/>
    <n v="0"/>
    <n v="0"/>
    <n v="0"/>
    <n v="0"/>
    <n v="0"/>
    <x v="6"/>
    <m/>
    <x v="0"/>
    <x v="0"/>
    <x v="0"/>
  </r>
  <r>
    <s v="17/0259/FUL"/>
    <x v="3"/>
    <x v="0"/>
    <s v="2 Queens Road_x000d_East Sheen_x000d_London_x000d_SW14 8PJ"/>
    <s v="Demolition of building and erection of new dwelling with basement."/>
    <d v="2018-04-01T00:00:00"/>
    <d v="2019-02-15T00:00:00"/>
    <x v="0"/>
    <x v="0"/>
    <n v="520956"/>
    <n v="175694"/>
    <m/>
    <n v="1"/>
    <n v="0"/>
    <n v="0"/>
    <n v="0"/>
    <m/>
    <m/>
    <m/>
    <n v="1"/>
    <m/>
    <n v="0"/>
    <n v="0"/>
    <n v="0"/>
    <n v="1"/>
    <m/>
    <m/>
    <m/>
    <n v="1"/>
    <m/>
    <n v="-1"/>
    <n v="0"/>
    <n v="0"/>
    <n v="1"/>
    <n v="0"/>
    <n v="0"/>
    <n v="0"/>
    <n v="0"/>
    <x v="0"/>
    <n v="0"/>
    <n v="0"/>
    <n v="0"/>
    <n v="0"/>
    <n v="0"/>
    <n v="0"/>
    <n v="0"/>
    <x v="0"/>
    <n v="0"/>
    <n v="0"/>
    <n v="0"/>
    <n v="0"/>
    <n v="0"/>
    <x v="6"/>
    <m/>
    <x v="0"/>
    <x v="0"/>
    <x v="0"/>
  </r>
  <r>
    <s v="17/0908/FUL"/>
    <x v="2"/>
    <x v="0"/>
    <s v="224 - 226 Hampton Road_x000d_Twickenham"/>
    <s v="Proposed two storey side/rear extension, single storey front and rear extensions and basement level to facilitate the provision of 137.5sqm additional A1(retail) floorspace to existing ground floor A1 retail store (no. 226) and internal reconfiguration o"/>
    <d v="2018-01-15T00:00:00"/>
    <d v="2018-09-20T00:00:00"/>
    <x v="0"/>
    <x v="0"/>
    <n v="514717"/>
    <n v="172101"/>
    <m/>
    <n v="0"/>
    <n v="2"/>
    <n v="0"/>
    <n v="0"/>
    <m/>
    <m/>
    <m/>
    <n v="2"/>
    <m/>
    <n v="0"/>
    <n v="3"/>
    <n v="0"/>
    <n v="0"/>
    <m/>
    <m/>
    <m/>
    <n v="3"/>
    <m/>
    <n v="0"/>
    <n v="1"/>
    <n v="0"/>
    <n v="0"/>
    <n v="0"/>
    <n v="0"/>
    <n v="0"/>
    <n v="1"/>
    <x v="0"/>
    <n v="1"/>
    <n v="0"/>
    <n v="0"/>
    <n v="0"/>
    <n v="0"/>
    <n v="0"/>
    <n v="0"/>
    <x v="0"/>
    <n v="0"/>
    <n v="0"/>
    <n v="0"/>
    <n v="0"/>
    <n v="0"/>
    <x v="1"/>
    <m/>
    <x v="0"/>
    <x v="0"/>
    <x v="0"/>
  </r>
  <r>
    <s v="17/0968/FUL"/>
    <x v="3"/>
    <x v="0"/>
    <s v="1 Palace Gate_x000d_Hampton Court Road_x000d_Hampton_x000d_East Molesey_x000d_KT8 9BN"/>
    <s v="Change of use of part ground floor (stair access) and first floor from B1a(Office) to C3 (residential) use and change of use of part ground floor from A1(retail) to C3(residential).  Replacement door and window on ground floor side elevatio and installat"/>
    <d v="2017-11-01T00:00:00"/>
    <d v="2018-06-30T00:00:00"/>
    <x v="0"/>
    <x v="0"/>
    <n v="515409"/>
    <n v="168615"/>
    <m/>
    <n v="0"/>
    <n v="0"/>
    <n v="0"/>
    <n v="0"/>
    <m/>
    <m/>
    <m/>
    <n v="0"/>
    <m/>
    <n v="0"/>
    <n v="0"/>
    <n v="1"/>
    <n v="0"/>
    <m/>
    <m/>
    <m/>
    <n v="1"/>
    <m/>
    <n v="0"/>
    <n v="0"/>
    <n v="1"/>
    <n v="0"/>
    <n v="0"/>
    <n v="0"/>
    <n v="0"/>
    <n v="1"/>
    <x v="0"/>
    <n v="1"/>
    <n v="0"/>
    <n v="0"/>
    <n v="0"/>
    <n v="0"/>
    <n v="0"/>
    <n v="0"/>
    <x v="0"/>
    <n v="0"/>
    <n v="0"/>
    <n v="0"/>
    <n v="0"/>
    <n v="0"/>
    <x v="8"/>
    <m/>
    <x v="0"/>
    <x v="0"/>
    <x v="1"/>
  </r>
  <r>
    <s v="17/1286/VRC"/>
    <x v="1"/>
    <x v="0"/>
    <s v="Teddington Studios Broom Road Teddington"/>
    <s v="Variation of approved drawing nos attached to 14/0914/FUL to allow for the development of Block B as two blocks and an increase in the overall number of units from 220 to 238 and minor changes to the riverside walkway._x000d_To allow changes to the internal la"/>
    <d v="2017-10-05T00:00:00"/>
    <d v="2018-12-01T00:00:00"/>
    <x v="0"/>
    <x v="0"/>
    <n v="516802"/>
    <n v="171333"/>
    <m/>
    <n v="0"/>
    <n v="0"/>
    <n v="0"/>
    <n v="0"/>
    <m/>
    <m/>
    <m/>
    <n v="0"/>
    <m/>
    <n v="29"/>
    <n v="14"/>
    <n v="33"/>
    <n v="0"/>
    <m/>
    <m/>
    <m/>
    <n v="76"/>
    <m/>
    <n v="29"/>
    <n v="14"/>
    <n v="33"/>
    <n v="0"/>
    <n v="0"/>
    <n v="0"/>
    <n v="0"/>
    <n v="76"/>
    <x v="1"/>
    <n v="76"/>
    <n v="0"/>
    <n v="0"/>
    <n v="0"/>
    <n v="0"/>
    <n v="0"/>
    <n v="0"/>
    <x v="0"/>
    <n v="0"/>
    <n v="0"/>
    <n v="0"/>
    <n v="0"/>
    <n v="0"/>
    <x v="2"/>
    <m/>
    <x v="0"/>
    <x v="0"/>
    <x v="1"/>
  </r>
  <r>
    <s v="17/1331/FUL"/>
    <x v="1"/>
    <x v="0"/>
    <s v="56 Coval Road_x000d_East Sheen_x000d_London_x000d_SW14 7RL"/>
    <s v="Application for the creation of a new single three storey family dwelling."/>
    <d v="2018-04-09T00:00:00"/>
    <d v="2018-08-31T00:00:00"/>
    <x v="0"/>
    <x v="0"/>
    <n v="520049"/>
    <n v="175295"/>
    <m/>
    <n v="0"/>
    <n v="0"/>
    <n v="0"/>
    <n v="0"/>
    <m/>
    <m/>
    <m/>
    <n v="0"/>
    <m/>
    <n v="0"/>
    <n v="0"/>
    <n v="1"/>
    <n v="0"/>
    <m/>
    <m/>
    <m/>
    <n v="1"/>
    <m/>
    <n v="0"/>
    <n v="0"/>
    <n v="1"/>
    <n v="0"/>
    <n v="0"/>
    <n v="0"/>
    <n v="0"/>
    <n v="1"/>
    <x v="0"/>
    <n v="1"/>
    <n v="0"/>
    <n v="0"/>
    <n v="0"/>
    <n v="0"/>
    <n v="0"/>
    <n v="0"/>
    <x v="0"/>
    <n v="0"/>
    <n v="0"/>
    <n v="0"/>
    <n v="0"/>
    <n v="0"/>
    <x v="6"/>
    <m/>
    <x v="0"/>
    <x v="2"/>
    <x v="0"/>
  </r>
  <r>
    <s v="17/1971/FUL"/>
    <x v="1"/>
    <x v="0"/>
    <s v="59 Ham Street Ham TW10 7HR"/>
    <s v="Demolition of the existing bungalow (C3) and the erection of a pair of semi-detached dwellings with associated landscaping and off-street parking."/>
    <d v="2018-03-01T00:00:00"/>
    <s v="31/11/2018"/>
    <x v="0"/>
    <x v="0"/>
    <n v="517346"/>
    <n v="172308"/>
    <m/>
    <n v="0"/>
    <n v="1"/>
    <n v="0"/>
    <n v="0"/>
    <m/>
    <m/>
    <m/>
    <n v="1"/>
    <m/>
    <n v="0"/>
    <n v="0"/>
    <n v="0"/>
    <n v="2"/>
    <m/>
    <m/>
    <m/>
    <n v="2"/>
    <m/>
    <n v="0"/>
    <n v="-1"/>
    <n v="0"/>
    <n v="2"/>
    <n v="0"/>
    <n v="0"/>
    <n v="0"/>
    <n v="1"/>
    <x v="0"/>
    <n v="1"/>
    <n v="0"/>
    <n v="0"/>
    <n v="0"/>
    <n v="0"/>
    <n v="0"/>
    <n v="0"/>
    <x v="0"/>
    <n v="0"/>
    <n v="0"/>
    <n v="0"/>
    <n v="0"/>
    <n v="0"/>
    <x v="7"/>
    <m/>
    <x v="0"/>
    <x v="0"/>
    <x v="0"/>
  </r>
  <r>
    <s v="17/2181/GPD15"/>
    <x v="3"/>
    <x v="1"/>
    <s v="Claridge House 29 Barnes High Street Barnes SW13 9LW"/>
    <s v="Change from B1 office use into C3 residential use comprising 2 no. 2 bedroom flats."/>
    <m/>
    <d v="2018-09-27T00:00:00"/>
    <x v="0"/>
    <x v="0"/>
    <n v="521610"/>
    <n v="176396"/>
    <m/>
    <n v="0"/>
    <n v="0"/>
    <n v="0"/>
    <n v="0"/>
    <m/>
    <m/>
    <m/>
    <n v="0"/>
    <m/>
    <n v="0"/>
    <n v="2"/>
    <n v="0"/>
    <n v="0"/>
    <m/>
    <m/>
    <m/>
    <n v="2"/>
    <m/>
    <n v="0"/>
    <n v="2"/>
    <n v="0"/>
    <n v="0"/>
    <n v="0"/>
    <n v="0"/>
    <n v="0"/>
    <n v="2"/>
    <x v="0"/>
    <n v="2"/>
    <n v="0"/>
    <n v="0"/>
    <n v="0"/>
    <n v="0"/>
    <n v="0"/>
    <n v="0"/>
    <x v="0"/>
    <n v="0"/>
    <n v="0"/>
    <n v="0"/>
    <n v="0"/>
    <n v="0"/>
    <x v="11"/>
    <m/>
    <x v="4"/>
    <x v="0"/>
    <x v="0"/>
  </r>
  <r>
    <s v="17/2507/FUL"/>
    <x v="1"/>
    <x v="0"/>
    <s v="31 Conway Road Whitton TW4 5LW"/>
    <s v="Construction of a new 1No. 2-bedroom dwelling house (following demolition of the existing side extension); subdivision of the rear of no.31 Conway Road; and associated refuse, recycling, cycle storage and car parking facilities."/>
    <m/>
    <d v="2019-02-01T00:00:00"/>
    <x v="0"/>
    <x v="0"/>
    <n v="513080"/>
    <n v="173974"/>
    <m/>
    <n v="0"/>
    <n v="0"/>
    <n v="0"/>
    <n v="0"/>
    <m/>
    <m/>
    <m/>
    <n v="0"/>
    <m/>
    <n v="0"/>
    <n v="1"/>
    <n v="0"/>
    <n v="0"/>
    <m/>
    <m/>
    <m/>
    <n v="1"/>
    <m/>
    <n v="0"/>
    <n v="1"/>
    <n v="0"/>
    <n v="0"/>
    <n v="0"/>
    <n v="0"/>
    <n v="0"/>
    <n v="1"/>
    <x v="0"/>
    <n v="1"/>
    <n v="0"/>
    <n v="0"/>
    <n v="0"/>
    <n v="0"/>
    <n v="0"/>
    <n v="0"/>
    <x v="0"/>
    <n v="0"/>
    <n v="0"/>
    <n v="0"/>
    <n v="0"/>
    <n v="0"/>
    <x v="0"/>
    <m/>
    <x v="0"/>
    <x v="0"/>
    <x v="0"/>
  </r>
  <r>
    <s v="17/2523/FUL"/>
    <x v="0"/>
    <x v="0"/>
    <s v="Railway Cottage _x000d_White Hart Lane_x000d_Barnes_x000d_London_x000d_SW13 0PZ"/>
    <s v="Conversion of existing dwelling house to 5 no. self-contained flats, comprising 3no. 1 bedroom units, 1no. 2 bedroom unit and 1no. 3 bedroom unit, and external alterations to existing fenestration."/>
    <d v="2018-02-01T00:00:00"/>
    <d v="2019-01-18T00:00:00"/>
    <x v="0"/>
    <x v="0"/>
    <n v="521341"/>
    <n v="175789"/>
    <m/>
    <n v="0"/>
    <n v="0"/>
    <n v="0"/>
    <n v="0"/>
    <m/>
    <m/>
    <n v="1"/>
    <n v="1"/>
    <m/>
    <n v="3"/>
    <n v="1"/>
    <n v="1"/>
    <n v="0"/>
    <m/>
    <m/>
    <m/>
    <n v="5"/>
    <m/>
    <n v="3"/>
    <n v="1"/>
    <n v="1"/>
    <n v="0"/>
    <n v="0"/>
    <n v="0"/>
    <n v="-1"/>
    <n v="4"/>
    <x v="0"/>
    <n v="4"/>
    <n v="0"/>
    <n v="0"/>
    <n v="0"/>
    <n v="0"/>
    <n v="0"/>
    <n v="0"/>
    <x v="0"/>
    <n v="0"/>
    <n v="0"/>
    <n v="0"/>
    <n v="0"/>
    <n v="0"/>
    <x v="11"/>
    <m/>
    <x v="0"/>
    <x v="0"/>
    <x v="0"/>
  </r>
  <r>
    <s v="17/2656/FUL"/>
    <x v="3"/>
    <x v="0"/>
    <s v="15 - 17 Paved Court_x000d_Richmond_x000d_TW9 1LZ"/>
    <s v="Conversion of upper floors and part ground floor of property from A1 retail use (ground floor level) and storage ancillary to the retail use (first and second floors) to C3 residential comprising 1 no. 1 bedroom flat, incorporating associated internal al"/>
    <d v="2017-12-01T00:00:00"/>
    <d v="2019-02-19T00:00:00"/>
    <x v="0"/>
    <x v="0"/>
    <n v="517721"/>
    <n v="174827"/>
    <m/>
    <n v="0"/>
    <n v="0"/>
    <n v="0"/>
    <n v="0"/>
    <m/>
    <m/>
    <m/>
    <n v="0"/>
    <m/>
    <n v="1"/>
    <n v="0"/>
    <n v="0"/>
    <n v="0"/>
    <m/>
    <m/>
    <m/>
    <n v="1"/>
    <m/>
    <n v="1"/>
    <n v="0"/>
    <n v="0"/>
    <n v="0"/>
    <n v="0"/>
    <n v="0"/>
    <n v="0"/>
    <n v="1"/>
    <x v="0"/>
    <n v="1"/>
    <n v="0"/>
    <n v="0"/>
    <n v="0"/>
    <n v="0"/>
    <n v="0"/>
    <n v="0"/>
    <x v="0"/>
    <n v="0"/>
    <n v="0"/>
    <n v="0"/>
    <n v="0"/>
    <n v="0"/>
    <x v="12"/>
    <m/>
    <x v="0"/>
    <x v="3"/>
    <x v="0"/>
  </r>
  <r>
    <s v="17/2779/NMA"/>
    <x v="1"/>
    <x v="0"/>
    <s v="HMP Latchmere House Church Road Ham TW10 5HH"/>
    <s v="Non Material Amendment to Planning Permission 17/2779/VRC  (Removal of condition U05665 - NS09 (Formally condition 9 - Lifetime Homes Standards) of Planning Permission 16/0523/VRC) Amendments to include internal amendments to revise housing mix in Latchm"/>
    <d v="2016-05-02T00:00:00"/>
    <d v="2019-03-01T00:00:00"/>
    <x v="0"/>
    <x v="0"/>
    <n v="518534"/>
    <n v="171320"/>
    <m/>
    <n v="0"/>
    <n v="0"/>
    <n v="0"/>
    <n v="0"/>
    <m/>
    <m/>
    <m/>
    <n v="0"/>
    <m/>
    <n v="0"/>
    <n v="0"/>
    <n v="5"/>
    <n v="5"/>
    <n v="2"/>
    <m/>
    <m/>
    <n v="12"/>
    <m/>
    <n v="0"/>
    <n v="0"/>
    <n v="5"/>
    <n v="5"/>
    <n v="2"/>
    <n v="0"/>
    <n v="0"/>
    <n v="12"/>
    <x v="1"/>
    <n v="12"/>
    <n v="0"/>
    <n v="0"/>
    <n v="0"/>
    <n v="0"/>
    <n v="0"/>
    <n v="0"/>
    <x v="0"/>
    <n v="0"/>
    <n v="0"/>
    <n v="0"/>
    <n v="0"/>
    <n v="0"/>
    <x v="7"/>
    <m/>
    <x v="0"/>
    <x v="0"/>
    <x v="0"/>
  </r>
  <r>
    <s v="17/2919/FUL"/>
    <x v="0"/>
    <x v="0"/>
    <s v="2 Brookwood Avenue_x000a_Barnes_x000a_London_x000a_SW13 0LR"/>
    <s v="Reversion from 2 no. self-contained flats to a single dwelling house."/>
    <m/>
    <d v="2018-09-01T00:00:00"/>
    <x v="0"/>
    <x v="0"/>
    <n v="521888"/>
    <n v="176163"/>
    <m/>
    <n v="1"/>
    <n v="0"/>
    <n v="0"/>
    <n v="1"/>
    <m/>
    <m/>
    <m/>
    <n v="2"/>
    <m/>
    <n v="0"/>
    <n v="0"/>
    <n v="0"/>
    <n v="0"/>
    <m/>
    <n v="1"/>
    <m/>
    <n v="1"/>
    <m/>
    <n v="-1"/>
    <n v="0"/>
    <n v="0"/>
    <n v="-1"/>
    <n v="0"/>
    <n v="1"/>
    <n v="0"/>
    <n v="-1"/>
    <x v="0"/>
    <n v="-1"/>
    <n v="0"/>
    <n v="0"/>
    <n v="0"/>
    <n v="0"/>
    <n v="0"/>
    <n v="0"/>
    <x v="0"/>
    <n v="0"/>
    <n v="0"/>
    <n v="0"/>
    <n v="0"/>
    <n v="0"/>
    <x v="11"/>
    <m/>
    <x v="0"/>
    <x v="0"/>
    <x v="0"/>
  </r>
  <r>
    <s v="17/3061/FUL"/>
    <x v="0"/>
    <x v="0"/>
    <s v="19 - 19A Warwick Road_x000a_Hampton Wick"/>
    <s v="Conversion of flats 19 and 19a Warwick Road into a single family dwelling. Replacement window on ground floor front elevation."/>
    <d v="2018-08-03T00:00:00"/>
    <d v="2018-11-01T00:00:00"/>
    <x v="0"/>
    <x v="0"/>
    <n v="517294"/>
    <n v="169887"/>
    <m/>
    <n v="0"/>
    <n v="1"/>
    <n v="1"/>
    <n v="0"/>
    <m/>
    <m/>
    <m/>
    <n v="2"/>
    <m/>
    <n v="0"/>
    <n v="0"/>
    <n v="0"/>
    <n v="0"/>
    <n v="1"/>
    <m/>
    <m/>
    <n v="1"/>
    <m/>
    <n v="0"/>
    <n v="-1"/>
    <n v="-1"/>
    <n v="0"/>
    <n v="1"/>
    <n v="0"/>
    <n v="0"/>
    <n v="-1"/>
    <x v="0"/>
    <n v="-1"/>
    <n v="0"/>
    <n v="0"/>
    <n v="0"/>
    <n v="0"/>
    <n v="0"/>
    <n v="0"/>
    <x v="0"/>
    <n v="0"/>
    <n v="0"/>
    <n v="0"/>
    <n v="0"/>
    <n v="0"/>
    <x v="9"/>
    <m/>
    <x v="1"/>
    <x v="0"/>
    <x v="0"/>
  </r>
  <r>
    <s v="17/3504/FUL"/>
    <x v="4"/>
    <x v="0"/>
    <s v="Second Floor_x000d_57 - 58 George Street_x000d_Richmond"/>
    <s v="Erection of second floor rear extension to create a 2 bedroom, 3 person residential unit (use class C3)."/>
    <d v="2018-02-01T00:00:00"/>
    <d v="2018-11-09T00:00:00"/>
    <x v="0"/>
    <x v="0"/>
    <n v="517851"/>
    <n v="174887"/>
    <m/>
    <n v="0"/>
    <n v="0"/>
    <n v="0"/>
    <n v="0"/>
    <m/>
    <m/>
    <m/>
    <n v="0"/>
    <m/>
    <n v="0"/>
    <n v="1"/>
    <n v="0"/>
    <n v="0"/>
    <m/>
    <m/>
    <m/>
    <n v="1"/>
    <m/>
    <n v="0"/>
    <n v="1"/>
    <n v="0"/>
    <n v="0"/>
    <n v="0"/>
    <n v="0"/>
    <n v="0"/>
    <n v="1"/>
    <x v="0"/>
    <n v="1"/>
    <n v="0"/>
    <n v="0"/>
    <n v="0"/>
    <n v="0"/>
    <n v="0"/>
    <n v="0"/>
    <x v="0"/>
    <n v="0"/>
    <n v="0"/>
    <n v="0"/>
    <n v="0"/>
    <n v="0"/>
    <x v="12"/>
    <m/>
    <x v="0"/>
    <x v="3"/>
    <x v="0"/>
  </r>
  <r>
    <s v="17/3531/FUL"/>
    <x v="1"/>
    <x v="0"/>
    <s v="8 Sutherland Grove_x000a_Teddington_x000a_TW11 8RW"/>
    <s v="Alterations and extensions to no. 8 comprising hip to gable roof extension, demolition of existing shed/workshop to rear and erection of cycle and refuse stores to front garden.  _x000d_Erection of a two storey, three bedroom dwellinghouse. with associated har"/>
    <m/>
    <d v="2018-11-01T00:00:00"/>
    <x v="0"/>
    <x v="0"/>
    <n v="515465"/>
    <n v="171212"/>
    <m/>
    <n v="0"/>
    <n v="0"/>
    <n v="0"/>
    <n v="0"/>
    <m/>
    <m/>
    <m/>
    <n v="0"/>
    <m/>
    <n v="0"/>
    <n v="0"/>
    <n v="1"/>
    <n v="0"/>
    <m/>
    <m/>
    <m/>
    <n v="1"/>
    <m/>
    <n v="0"/>
    <n v="0"/>
    <n v="1"/>
    <n v="0"/>
    <n v="0"/>
    <n v="0"/>
    <n v="0"/>
    <n v="1"/>
    <x v="0"/>
    <n v="1"/>
    <n v="0"/>
    <n v="0"/>
    <n v="0"/>
    <n v="0"/>
    <n v="0"/>
    <n v="0"/>
    <x v="0"/>
    <n v="0"/>
    <n v="0"/>
    <n v="0"/>
    <n v="0"/>
    <n v="0"/>
    <x v="2"/>
    <m/>
    <x v="0"/>
    <x v="0"/>
    <x v="0"/>
  </r>
  <r>
    <s v="17/3651/ES191"/>
    <x v="3"/>
    <x v="0"/>
    <s v="11A St Johns Road_x000d_Hampton Wick_x000d_Kingston Upon Thames_x000d_KT1 4AN"/>
    <s v="Application to establish the use as C3."/>
    <m/>
    <d v="2018-08-01T00:00:00"/>
    <x v="0"/>
    <x v="0"/>
    <n v="517496"/>
    <n v="169480"/>
    <m/>
    <n v="0"/>
    <n v="1"/>
    <n v="0"/>
    <n v="0"/>
    <m/>
    <m/>
    <m/>
    <n v="1"/>
    <m/>
    <n v="0"/>
    <n v="1"/>
    <n v="0"/>
    <n v="0"/>
    <m/>
    <m/>
    <m/>
    <n v="1"/>
    <m/>
    <n v="0"/>
    <n v="0"/>
    <n v="0"/>
    <n v="0"/>
    <n v="0"/>
    <n v="0"/>
    <n v="0"/>
    <n v="0"/>
    <x v="0"/>
    <n v="0"/>
    <n v="0"/>
    <n v="0"/>
    <n v="0"/>
    <n v="0"/>
    <n v="0"/>
    <n v="0"/>
    <x v="0"/>
    <n v="0"/>
    <n v="0"/>
    <n v="0"/>
    <n v="0"/>
    <n v="0"/>
    <x v="9"/>
    <m/>
    <x v="1"/>
    <x v="0"/>
    <x v="0"/>
  </r>
  <r>
    <s v="17/3748/FUL"/>
    <x v="2"/>
    <x v="0"/>
    <s v="101 Forsyth House_x000d_211 - 217 Lower Richmond Road_x000d_Richmond_x000d_TW9 4LN"/>
    <s v="Creation of 2 No. x 1 bedroom residential flats through a third floor extension and alterations to fenestration [revised description]."/>
    <d v="2018-04-17T00:00:00"/>
    <d v="2018-04-17T00:00:00"/>
    <x v="0"/>
    <x v="0"/>
    <n v="519626"/>
    <n v="175791"/>
    <m/>
    <n v="0"/>
    <n v="0"/>
    <n v="0"/>
    <n v="0"/>
    <m/>
    <m/>
    <m/>
    <n v="0"/>
    <m/>
    <n v="2"/>
    <n v="0"/>
    <n v="0"/>
    <n v="0"/>
    <m/>
    <m/>
    <m/>
    <n v="2"/>
    <m/>
    <n v="2"/>
    <n v="0"/>
    <n v="0"/>
    <n v="0"/>
    <n v="0"/>
    <n v="0"/>
    <n v="0"/>
    <n v="2"/>
    <x v="0"/>
    <n v="2"/>
    <n v="0"/>
    <n v="0"/>
    <n v="0"/>
    <n v="0"/>
    <n v="0"/>
    <n v="0"/>
    <x v="0"/>
    <n v="0"/>
    <n v="0"/>
    <n v="0"/>
    <n v="0"/>
    <n v="0"/>
    <x v="16"/>
    <m/>
    <x v="0"/>
    <x v="0"/>
    <x v="0"/>
  </r>
  <r>
    <s v="17/4002/FUL"/>
    <x v="0"/>
    <x v="0"/>
    <s v="228 Kingston Road_x000d_Teddington"/>
    <s v="Reversion of the existing premises (2 flats) back into a single family dwelling house involving construction of a new two storey rear extension, rear loft extension and alterations to the existing front dormer."/>
    <d v="2018-04-30T00:00:00"/>
    <d v="2018-10-01T00:00:00"/>
    <x v="0"/>
    <x v="0"/>
    <n v="517027"/>
    <n v="170370"/>
    <m/>
    <n v="1"/>
    <n v="1"/>
    <n v="0"/>
    <n v="0"/>
    <m/>
    <m/>
    <m/>
    <n v="2"/>
    <m/>
    <n v="0"/>
    <n v="0"/>
    <n v="0"/>
    <n v="1"/>
    <m/>
    <m/>
    <m/>
    <n v="1"/>
    <m/>
    <n v="-1"/>
    <n v="-1"/>
    <n v="0"/>
    <n v="1"/>
    <n v="0"/>
    <n v="0"/>
    <n v="0"/>
    <n v="-1"/>
    <x v="0"/>
    <n v="-1"/>
    <n v="0"/>
    <n v="0"/>
    <n v="0"/>
    <n v="0"/>
    <n v="0"/>
    <n v="0"/>
    <x v="0"/>
    <n v="0"/>
    <n v="0"/>
    <n v="0"/>
    <n v="0"/>
    <n v="0"/>
    <x v="9"/>
    <m/>
    <x v="0"/>
    <x v="0"/>
    <x v="0"/>
  </r>
  <r>
    <s v="17/4166/FUL"/>
    <x v="1"/>
    <x v="0"/>
    <s v="37 Ferry Road_x000d_Barnes_x000d_London_x000d_SW13 9PP"/>
    <s v="Retrospective application for the retention of the dwelling in situ comprising a new single family dwelling including a basement level."/>
    <m/>
    <d v="2018-05-16T00:00:00"/>
    <x v="0"/>
    <x v="0"/>
    <n v="522177"/>
    <n v="177100"/>
    <m/>
    <n v="0"/>
    <n v="0"/>
    <n v="0"/>
    <n v="0"/>
    <n v="1"/>
    <m/>
    <m/>
    <n v="1"/>
    <m/>
    <n v="0"/>
    <n v="0"/>
    <n v="0"/>
    <n v="0"/>
    <n v="1"/>
    <m/>
    <m/>
    <n v="1"/>
    <m/>
    <n v="0"/>
    <n v="0"/>
    <n v="0"/>
    <n v="0"/>
    <n v="0"/>
    <n v="0"/>
    <n v="0"/>
    <n v="0"/>
    <x v="0"/>
    <n v="0"/>
    <n v="0"/>
    <n v="0"/>
    <n v="0"/>
    <n v="0"/>
    <n v="0"/>
    <n v="0"/>
    <x v="0"/>
    <n v="0"/>
    <n v="0"/>
    <n v="0"/>
    <n v="0"/>
    <n v="0"/>
    <x v="14"/>
    <m/>
    <x v="0"/>
    <x v="0"/>
    <x v="0"/>
  </r>
  <r>
    <s v="17/4605/GPD15"/>
    <x v="3"/>
    <x v="1"/>
    <s v="10 Church Lane_x000d_Teddington_x000d_TW11 8PA"/>
    <s v="Change of use from offices (B1a) to residential (C3) to provide 1 x 3 bed dwellinghouse."/>
    <m/>
    <d v="2018-08-22T00:00:00"/>
    <x v="0"/>
    <x v="0"/>
    <n v="515785"/>
    <n v="171101"/>
    <m/>
    <n v="0"/>
    <n v="0"/>
    <n v="0"/>
    <n v="0"/>
    <m/>
    <m/>
    <m/>
    <n v="0"/>
    <m/>
    <n v="0"/>
    <n v="0"/>
    <n v="1"/>
    <n v="0"/>
    <m/>
    <m/>
    <m/>
    <n v="1"/>
    <m/>
    <n v="0"/>
    <n v="0"/>
    <n v="1"/>
    <n v="0"/>
    <n v="0"/>
    <n v="0"/>
    <n v="0"/>
    <n v="1"/>
    <x v="0"/>
    <n v="1"/>
    <n v="0"/>
    <n v="0"/>
    <n v="0"/>
    <n v="0"/>
    <n v="0"/>
    <n v="0"/>
    <x v="0"/>
    <n v="0"/>
    <n v="0"/>
    <n v="0"/>
    <n v="0"/>
    <n v="0"/>
    <x v="2"/>
    <m/>
    <x v="0"/>
    <x v="4"/>
    <x v="0"/>
  </r>
  <r>
    <s v="18/0049/FUL"/>
    <x v="3"/>
    <x v="0"/>
    <s v="269 - 271 Sandycombe Road_x000d_Richmond"/>
    <s v="Change of use to Bed and Breakfast accommodation (use class C1 - Hotel/Guesthouse)."/>
    <m/>
    <d v="2018-05-01T00:00:00"/>
    <x v="0"/>
    <x v="0"/>
    <n v="519113"/>
    <n v="176398"/>
    <m/>
    <n v="0"/>
    <n v="0"/>
    <n v="0"/>
    <n v="0"/>
    <m/>
    <n v="1"/>
    <m/>
    <n v="1"/>
    <m/>
    <n v="0"/>
    <n v="0"/>
    <n v="0"/>
    <n v="0"/>
    <m/>
    <m/>
    <m/>
    <n v="0"/>
    <m/>
    <n v="0"/>
    <n v="0"/>
    <n v="0"/>
    <n v="0"/>
    <n v="0"/>
    <n v="-1"/>
    <n v="0"/>
    <n v="-1"/>
    <x v="0"/>
    <n v="-1"/>
    <n v="0"/>
    <n v="0"/>
    <n v="0"/>
    <n v="0"/>
    <n v="0"/>
    <n v="0"/>
    <x v="0"/>
    <n v="0"/>
    <n v="0"/>
    <n v="0"/>
    <n v="0"/>
    <n v="0"/>
    <x v="10"/>
    <m/>
    <x v="0"/>
    <x v="0"/>
    <x v="0"/>
  </r>
  <r>
    <s v="18/0197/FUL"/>
    <x v="0"/>
    <x v="0"/>
    <s v="32 Curtis Road_x000a_Whitton_x000a_TW4 5PT"/>
    <s v="Reversion of the property from 2 no. flats back into one single 3 bed residential dwelling."/>
    <m/>
    <d v="2019-02-20T00:00:00"/>
    <x v="0"/>
    <x v="0"/>
    <n v="512524"/>
    <n v="173600"/>
    <m/>
    <n v="2"/>
    <n v="0"/>
    <n v="0"/>
    <n v="0"/>
    <m/>
    <m/>
    <m/>
    <n v="2"/>
    <m/>
    <n v="0"/>
    <n v="0"/>
    <n v="1"/>
    <n v="0"/>
    <m/>
    <m/>
    <m/>
    <n v="1"/>
    <m/>
    <n v="-2"/>
    <n v="0"/>
    <n v="1"/>
    <n v="0"/>
    <n v="0"/>
    <n v="0"/>
    <n v="0"/>
    <n v="-1"/>
    <x v="0"/>
    <n v="-1"/>
    <n v="0"/>
    <n v="0"/>
    <n v="0"/>
    <n v="0"/>
    <n v="0"/>
    <n v="0"/>
    <x v="0"/>
    <n v="0"/>
    <n v="0"/>
    <n v="0"/>
    <n v="0"/>
    <n v="0"/>
    <x v="0"/>
    <m/>
    <x v="0"/>
    <x v="0"/>
    <x v="0"/>
  </r>
  <r>
    <s v="18/0420/FUL"/>
    <x v="0"/>
    <x v="0"/>
    <s v="43 - 43A Lonsdale Road Barnes"/>
    <s v="Demolition of a single storey side extension, erection of a single-storey link extension between main dwelling (43) and detached coach house (43A) to facilitate the creation of one single family dwelling (Use Class C3)."/>
    <m/>
    <d v="2018-11-01T00:00:00"/>
    <x v="0"/>
    <x v="0"/>
    <n v="522363"/>
    <n v="177795"/>
    <m/>
    <n v="1"/>
    <n v="0"/>
    <n v="0"/>
    <n v="0"/>
    <n v="1"/>
    <m/>
    <m/>
    <n v="2"/>
    <m/>
    <n v="0"/>
    <n v="0"/>
    <n v="0"/>
    <n v="0"/>
    <m/>
    <n v="1"/>
    <m/>
    <n v="1"/>
    <m/>
    <n v="-1"/>
    <n v="0"/>
    <n v="0"/>
    <n v="0"/>
    <n v="-1"/>
    <n v="1"/>
    <n v="0"/>
    <n v="-1"/>
    <x v="0"/>
    <n v="-1"/>
    <n v="0"/>
    <n v="0"/>
    <n v="0"/>
    <n v="0"/>
    <n v="0"/>
    <n v="0"/>
    <x v="0"/>
    <n v="0"/>
    <n v="0"/>
    <n v="0"/>
    <n v="0"/>
    <n v="0"/>
    <x v="14"/>
    <m/>
    <x v="0"/>
    <x v="0"/>
    <x v="0"/>
  </r>
  <r>
    <s v="18/0774/ES191"/>
    <x v="0"/>
    <x v="0"/>
    <s v="7A Kneller Road_x000d_Twickenham_x000d_TW2 7DF"/>
    <s v="Application to establish the use of No.7A Kneller Road as a separate self-contained dwelling unit."/>
    <d v="2018-05-14T00:00:00"/>
    <d v="2018-05-14T00:00:00"/>
    <x v="0"/>
    <x v="0"/>
    <n v="515074"/>
    <n v="174033"/>
    <m/>
    <n v="0"/>
    <n v="0"/>
    <n v="0"/>
    <n v="1"/>
    <m/>
    <m/>
    <m/>
    <n v="1"/>
    <m/>
    <n v="1"/>
    <n v="0"/>
    <n v="1"/>
    <n v="0"/>
    <m/>
    <m/>
    <m/>
    <n v="2"/>
    <m/>
    <n v="1"/>
    <n v="0"/>
    <n v="1"/>
    <n v="-1"/>
    <n v="0"/>
    <n v="0"/>
    <n v="0"/>
    <n v="1"/>
    <x v="0"/>
    <n v="1"/>
    <n v="0"/>
    <n v="0"/>
    <n v="0"/>
    <n v="0"/>
    <n v="0"/>
    <n v="0"/>
    <x v="0"/>
    <n v="0"/>
    <n v="0"/>
    <n v="0"/>
    <n v="0"/>
    <n v="0"/>
    <x v="15"/>
    <m/>
    <x v="0"/>
    <x v="0"/>
    <x v="0"/>
  </r>
  <r>
    <s v="18/1174/FUL"/>
    <x v="2"/>
    <x v="0"/>
    <s v="139 Waldegrave Road_x000a_Teddington_x000a_TW11 8LL"/>
    <s v="Enlargement of existing basement level and new windows and doors to facilitate the conversion of the basement to form an independent 1 x 1B2P self-contained flat."/>
    <m/>
    <d v="2019-03-30T00:00:00"/>
    <x v="0"/>
    <x v="0"/>
    <n v="515678"/>
    <n v="171479"/>
    <m/>
    <n v="0"/>
    <n v="0"/>
    <n v="0"/>
    <n v="0"/>
    <m/>
    <m/>
    <m/>
    <n v="0"/>
    <m/>
    <n v="1"/>
    <n v="0"/>
    <n v="0"/>
    <n v="0"/>
    <m/>
    <m/>
    <m/>
    <n v="1"/>
    <m/>
    <n v="1"/>
    <n v="0"/>
    <n v="0"/>
    <n v="0"/>
    <n v="0"/>
    <n v="0"/>
    <n v="0"/>
    <n v="1"/>
    <x v="0"/>
    <n v="1"/>
    <n v="0"/>
    <n v="0"/>
    <n v="0"/>
    <n v="0"/>
    <n v="0"/>
    <n v="0"/>
    <x v="0"/>
    <n v="0"/>
    <n v="0"/>
    <n v="0"/>
    <n v="0"/>
    <n v="0"/>
    <x v="2"/>
    <m/>
    <x v="0"/>
    <x v="0"/>
    <x v="0"/>
  </r>
  <r>
    <s v="18/1301/FUL"/>
    <x v="0"/>
    <x v="0"/>
    <s v="9 Gloucester Road Teddington TW11 0NS"/>
    <s v="Conversion of existing basement 1no. 3 bedroom flat to 2no. one bedroom flats. Demolition of existing garage. associated hard and soft landscaping, parking and cycle parking. Alterations to fenestration including the installation of roof lights. Raising"/>
    <m/>
    <d v="2019-03-30T00:00:00"/>
    <x v="0"/>
    <x v="0"/>
    <n v="515214"/>
    <n v="171265"/>
    <m/>
    <n v="0"/>
    <n v="0"/>
    <n v="1"/>
    <n v="0"/>
    <m/>
    <m/>
    <m/>
    <n v="1"/>
    <m/>
    <n v="2"/>
    <n v="0"/>
    <n v="0"/>
    <n v="0"/>
    <m/>
    <m/>
    <m/>
    <n v="2"/>
    <m/>
    <n v="2"/>
    <n v="0"/>
    <n v="-1"/>
    <n v="0"/>
    <n v="0"/>
    <n v="0"/>
    <n v="0"/>
    <n v="1"/>
    <x v="0"/>
    <n v="1"/>
    <n v="0"/>
    <n v="0"/>
    <n v="0"/>
    <n v="0"/>
    <n v="0"/>
    <n v="0"/>
    <x v="0"/>
    <n v="0"/>
    <n v="0"/>
    <n v="0"/>
    <n v="0"/>
    <n v="0"/>
    <x v="5"/>
    <m/>
    <x v="0"/>
    <x v="0"/>
    <x v="0"/>
  </r>
  <r>
    <s v="18/1374/FUL"/>
    <x v="0"/>
    <x v="0"/>
    <s v="19 - 20 Courtlands Avenue_x000d_Kew"/>
    <s v="Conversion of 2 maisonettes into 1 family dwellinghouse including associated external and internal alterations."/>
    <m/>
    <d v="2019-03-01T00:00:00"/>
    <x v="0"/>
    <x v="0"/>
    <n v="512853"/>
    <n v="170579"/>
    <m/>
    <n v="0"/>
    <n v="2"/>
    <n v="0"/>
    <n v="0"/>
    <m/>
    <m/>
    <m/>
    <n v="2"/>
    <m/>
    <n v="0"/>
    <n v="0"/>
    <n v="1"/>
    <n v="0"/>
    <m/>
    <m/>
    <m/>
    <n v="1"/>
    <m/>
    <n v="0"/>
    <n v="-2"/>
    <n v="1"/>
    <n v="0"/>
    <n v="0"/>
    <n v="0"/>
    <n v="0"/>
    <n v="-1"/>
    <x v="0"/>
    <n v="-1"/>
    <n v="0"/>
    <n v="0"/>
    <n v="0"/>
    <n v="0"/>
    <n v="0"/>
    <n v="0"/>
    <x v="0"/>
    <n v="0"/>
    <n v="0"/>
    <n v="0"/>
    <n v="0"/>
    <n v="0"/>
    <x v="13"/>
    <m/>
    <x v="0"/>
    <x v="0"/>
    <x v="0"/>
  </r>
  <r>
    <s v="18/1549/FUL"/>
    <x v="3"/>
    <x v="0"/>
    <s v="102 Oldfield Road_x000d_Hampton_x000d_TW12 2HR"/>
    <s v="Part change of use and part reversion from 1x2 bed ground floor flat and 1x3 bed (HMO) on first floor flat to a 1x4 bed (6 persons) dwellinghouse (retrospective). Proposed works would include the removal of 3 parking spaces to the front with 2 parking sp"/>
    <m/>
    <d v="2018-11-14T00:00:00"/>
    <x v="0"/>
    <x v="0"/>
    <n v="512973"/>
    <n v="169743"/>
    <m/>
    <n v="0"/>
    <n v="1"/>
    <n v="1"/>
    <n v="0"/>
    <m/>
    <m/>
    <m/>
    <n v="2"/>
    <m/>
    <n v="0"/>
    <n v="0"/>
    <n v="0"/>
    <n v="1"/>
    <m/>
    <m/>
    <m/>
    <n v="1"/>
    <m/>
    <n v="0"/>
    <n v="-1"/>
    <n v="-1"/>
    <n v="1"/>
    <n v="0"/>
    <n v="0"/>
    <n v="0"/>
    <n v="-1"/>
    <x v="0"/>
    <n v="-1"/>
    <n v="0"/>
    <n v="0"/>
    <n v="0"/>
    <n v="0"/>
    <n v="0"/>
    <n v="0"/>
    <x v="0"/>
    <n v="0"/>
    <n v="0"/>
    <n v="0"/>
    <n v="0"/>
    <n v="0"/>
    <x v="8"/>
    <m/>
    <x v="0"/>
    <x v="0"/>
    <x v="0"/>
  </r>
  <r>
    <s v="18/2847/ES191"/>
    <x v="3"/>
    <x v="0"/>
    <s v="4 Waldeck Road_x000d_Mortlake_x000d_London_x000d_SW14 7HF"/>
    <s v="Establish use as single dwellinghouse (C3 residential use)"/>
    <m/>
    <d v="2018-10-02T00:00:00"/>
    <x v="0"/>
    <x v="0"/>
    <n v="520298"/>
    <n v="175843"/>
    <m/>
    <n v="0"/>
    <n v="0"/>
    <n v="0"/>
    <n v="0"/>
    <m/>
    <m/>
    <m/>
    <n v="0"/>
    <m/>
    <n v="0"/>
    <n v="1"/>
    <n v="0"/>
    <n v="0"/>
    <m/>
    <m/>
    <m/>
    <n v="1"/>
    <m/>
    <n v="0"/>
    <n v="1"/>
    <n v="0"/>
    <n v="0"/>
    <n v="0"/>
    <n v="0"/>
    <n v="0"/>
    <n v="1"/>
    <x v="0"/>
    <n v="1"/>
    <n v="0"/>
    <n v="0"/>
    <n v="0"/>
    <n v="0"/>
    <n v="0"/>
    <n v="0"/>
    <x v="0"/>
    <n v="0"/>
    <n v="0"/>
    <n v="0"/>
    <n v="0"/>
    <n v="0"/>
    <x v="11"/>
    <m/>
    <x v="8"/>
    <x v="0"/>
    <x v="0"/>
  </r>
  <r>
    <s v="18/3117/FUL"/>
    <x v="3"/>
    <x v="0"/>
    <s v="Courtview House_x000d_Hampton Court Road_x000d_Hampton"/>
    <s v="Change of use of the basement and second floor from office (Use Class B1) to two two-bedroom residential dwellings (Use Class C3)."/>
    <m/>
    <d v="2019-01-24T00:00:00"/>
    <x v="0"/>
    <x v="0"/>
    <n v="515641"/>
    <n v="168852"/>
    <m/>
    <n v="0"/>
    <n v="0"/>
    <n v="0"/>
    <n v="0"/>
    <m/>
    <m/>
    <m/>
    <n v="0"/>
    <m/>
    <n v="0"/>
    <n v="2"/>
    <n v="0"/>
    <n v="0"/>
    <m/>
    <m/>
    <m/>
    <n v="2"/>
    <m/>
    <n v="0"/>
    <n v="2"/>
    <n v="0"/>
    <n v="0"/>
    <n v="0"/>
    <n v="0"/>
    <n v="0"/>
    <n v="2"/>
    <x v="0"/>
    <n v="2"/>
    <n v="0"/>
    <n v="0"/>
    <n v="0"/>
    <n v="0"/>
    <n v="0"/>
    <n v="0"/>
    <x v="0"/>
    <n v="0"/>
    <n v="0"/>
    <n v="0"/>
    <n v="0"/>
    <n v="0"/>
    <x v="8"/>
    <m/>
    <x v="0"/>
    <x v="0"/>
    <x v="0"/>
  </r>
  <r>
    <s v="18/3940/GPD13"/>
    <x v="3"/>
    <x v="1"/>
    <s v="138 Kneller Road_x000d_Twickenham_x000d_TW2 7DX"/>
    <s v="Change of use from betting shop (sui generis) to C3 (residential) use to provide 2 x 1 bedroom flats."/>
    <m/>
    <d v="2019-02-22T00:00:00"/>
    <x v="0"/>
    <x v="0"/>
    <n v="514454"/>
    <n v="174275"/>
    <m/>
    <n v="0"/>
    <n v="0"/>
    <n v="0"/>
    <n v="0"/>
    <m/>
    <m/>
    <m/>
    <n v="0"/>
    <m/>
    <n v="2"/>
    <n v="0"/>
    <n v="0"/>
    <n v="0"/>
    <m/>
    <m/>
    <m/>
    <n v="2"/>
    <m/>
    <n v="2"/>
    <n v="0"/>
    <n v="0"/>
    <n v="0"/>
    <n v="0"/>
    <n v="0"/>
    <n v="0"/>
    <n v="2"/>
    <x v="0"/>
    <n v="2"/>
    <n v="0"/>
    <n v="0"/>
    <n v="0"/>
    <n v="0"/>
    <n v="0"/>
    <n v="0"/>
    <x v="0"/>
    <n v="0"/>
    <n v="0"/>
    <n v="0"/>
    <n v="0"/>
    <n v="0"/>
    <x v="15"/>
    <m/>
    <x v="0"/>
    <x v="0"/>
    <x v="0"/>
  </r>
  <r>
    <s v="18/4092/FUL"/>
    <x v="3"/>
    <x v="0"/>
    <s v="Third Floor_x000d_49 - 53 York Street_x000d_Twickenham_x000d_TW1 3LP"/>
    <s v="Change of use of the third floor from residential (use class C3) to office (B1a), the provision of cycle parking, car parking alterations and associated works."/>
    <m/>
    <d v="2019-03-29T00:00:00"/>
    <x v="0"/>
    <x v="0"/>
    <n v="516416"/>
    <n v="173450"/>
    <m/>
    <n v="1"/>
    <n v="1"/>
    <n v="0"/>
    <n v="0"/>
    <m/>
    <m/>
    <m/>
    <n v="2"/>
    <m/>
    <n v="0"/>
    <n v="0"/>
    <n v="0"/>
    <n v="0"/>
    <m/>
    <m/>
    <m/>
    <n v="0"/>
    <m/>
    <n v="-1"/>
    <n v="-1"/>
    <n v="0"/>
    <n v="0"/>
    <n v="0"/>
    <n v="0"/>
    <n v="0"/>
    <n v="-2"/>
    <x v="0"/>
    <n v="-2"/>
    <n v="0"/>
    <n v="0"/>
    <n v="0"/>
    <n v="0"/>
    <n v="0"/>
    <n v="0"/>
    <x v="0"/>
    <n v="0"/>
    <n v="0"/>
    <n v="0"/>
    <n v="0"/>
    <n v="0"/>
    <x v="4"/>
    <m/>
    <x v="0"/>
    <x v="1"/>
    <x v="0"/>
  </r>
  <r>
    <s v="19/0079/FUL"/>
    <x v="3"/>
    <x v="0"/>
    <s v="35A Westmoreland Road_x000d_Barnes_x000d_London_x000d_SW13 9RZ"/>
    <s v="Retrospective change of use from dwellinghouse (C3 use) to mixed dwellinghouse (C3 use) and children's day care (D1 use)."/>
    <m/>
    <d v="2019-03-07T00:00:00"/>
    <x v="0"/>
    <x v="0"/>
    <n v="522111"/>
    <n v="176797"/>
    <m/>
    <n v="0"/>
    <n v="0"/>
    <n v="0"/>
    <n v="0"/>
    <n v="1"/>
    <m/>
    <m/>
    <n v="1"/>
    <m/>
    <n v="1"/>
    <n v="0"/>
    <n v="0"/>
    <n v="0"/>
    <m/>
    <m/>
    <m/>
    <n v="1"/>
    <m/>
    <n v="1"/>
    <n v="0"/>
    <n v="0"/>
    <n v="0"/>
    <n v="-1"/>
    <n v="0"/>
    <n v="0"/>
    <n v="0"/>
    <x v="0"/>
    <n v="0"/>
    <n v="0"/>
    <n v="0"/>
    <n v="0"/>
    <n v="0"/>
    <n v="0"/>
    <n v="0"/>
    <x v="0"/>
    <n v="0"/>
    <n v="0"/>
    <n v="0"/>
    <n v="0"/>
    <n v="0"/>
    <x v="14"/>
    <m/>
    <x v="0"/>
    <x v="0"/>
    <x v="0"/>
  </r>
  <r>
    <s v="07/3348/FUL"/>
    <x v="1"/>
    <x v="0"/>
    <s v="289 Petersham Road_x000a_Richmond_x000a_Surrey_x000a_TW10 7DA"/>
    <s v="Demolition of existing house and outbuildings, construction of 3 houses."/>
    <d v="2012-08-17T00:00:00"/>
    <m/>
    <x v="1"/>
    <x v="0"/>
    <n v="517856"/>
    <n v="172364"/>
    <m/>
    <n v="0"/>
    <n v="0"/>
    <n v="0"/>
    <n v="1"/>
    <m/>
    <m/>
    <m/>
    <n v="1"/>
    <m/>
    <n v="1"/>
    <n v="0"/>
    <n v="0"/>
    <n v="2"/>
    <m/>
    <m/>
    <m/>
    <n v="3"/>
    <m/>
    <n v="1"/>
    <n v="0"/>
    <n v="0"/>
    <n v="1"/>
    <n v="0"/>
    <n v="0"/>
    <n v="0"/>
    <n v="2"/>
    <x v="0"/>
    <n v="0"/>
    <n v="0"/>
    <n v="0"/>
    <n v="0"/>
    <n v="0"/>
    <n v="0"/>
    <n v="0"/>
    <x v="0"/>
    <n v="0"/>
    <n v="0"/>
    <n v="0"/>
    <n v="0"/>
    <n v="0"/>
    <x v="7"/>
    <m/>
    <x v="0"/>
    <x v="0"/>
    <x v="0"/>
  </r>
  <r>
    <s v="07/3512/FUL"/>
    <x v="1"/>
    <x v="0"/>
    <s v="64 Ormond Avenue Hampton TW12 2RX"/>
    <s v="Demolition of an existing bungalow and construction of two new residential units. Separate entrance will be provided to both dwellings. The developments two main levels: above lower ground and a built out roof area underneath a pitch roof."/>
    <d v="2011-01-25T00:00:00"/>
    <m/>
    <x v="1"/>
    <x v="0"/>
    <n v="513713"/>
    <n v="169858"/>
    <m/>
    <n v="0"/>
    <n v="0"/>
    <n v="1"/>
    <n v="0"/>
    <m/>
    <m/>
    <m/>
    <n v="1"/>
    <m/>
    <n v="1"/>
    <n v="0"/>
    <n v="0"/>
    <n v="1"/>
    <m/>
    <m/>
    <m/>
    <n v="2"/>
    <m/>
    <n v="1"/>
    <n v="0"/>
    <n v="-1"/>
    <n v="1"/>
    <n v="0"/>
    <n v="0"/>
    <n v="0"/>
    <n v="1"/>
    <x v="0"/>
    <n v="0"/>
    <n v="0"/>
    <n v="0"/>
    <n v="0"/>
    <n v="0"/>
    <n v="0"/>
    <n v="0"/>
    <x v="0"/>
    <n v="0"/>
    <n v="0"/>
    <n v="0"/>
    <n v="0"/>
    <n v="0"/>
    <x v="8"/>
    <m/>
    <x v="0"/>
    <x v="0"/>
    <x v="0"/>
  </r>
  <r>
    <s v="08/1760/EXT"/>
    <x v="1"/>
    <x v="0"/>
    <s v="St Pauls School_x000a_Lonsdale Road_x000a_Barnes_x000a_London_x000a_SW13 9JT"/>
    <s v="Application for a new planning permission to replace the extant planning permission 08/1760/OUT: 'Demolition of most of existing School buildings. Outline permission for the refurbishment of the sports hall and construction of a maximum of 36,090m2 floor"/>
    <d v="2011-10-01T00:00:00"/>
    <m/>
    <x v="1"/>
    <x v="0"/>
    <n v="522437"/>
    <n v="178040"/>
    <n v="2"/>
    <n v="6"/>
    <n v="2"/>
    <n v="4"/>
    <n v="2"/>
    <m/>
    <m/>
    <m/>
    <n v="16"/>
    <n v="4"/>
    <n v="3"/>
    <n v="5"/>
    <n v="6"/>
    <n v="0"/>
    <m/>
    <m/>
    <m/>
    <n v="18"/>
    <n v="2"/>
    <n v="-3"/>
    <n v="3"/>
    <n v="2"/>
    <n v="-2"/>
    <n v="0"/>
    <n v="0"/>
    <n v="0"/>
    <n v="2"/>
    <x v="0"/>
    <n v="0"/>
    <n v="2"/>
    <n v="0"/>
    <n v="0"/>
    <n v="0"/>
    <n v="0"/>
    <n v="0"/>
    <x v="0"/>
    <n v="0"/>
    <n v="0"/>
    <n v="0"/>
    <n v="0"/>
    <n v="0"/>
    <x v="14"/>
    <m/>
    <x v="0"/>
    <x v="0"/>
    <x v="1"/>
  </r>
  <r>
    <s v="10/0312/FUL"/>
    <x v="1"/>
    <x v="0"/>
    <s v="72 Stanley Road_x000d_Teddington"/>
    <s v="Construction of three bedroom house and associated landscaping"/>
    <d v="2013-06-15T00:00:00"/>
    <m/>
    <x v="1"/>
    <x v="0"/>
    <n v="515372"/>
    <n v="171266"/>
    <m/>
    <n v="0"/>
    <n v="0"/>
    <n v="0"/>
    <n v="0"/>
    <m/>
    <m/>
    <m/>
    <n v="0"/>
    <m/>
    <n v="0"/>
    <n v="0"/>
    <n v="1"/>
    <n v="0"/>
    <m/>
    <m/>
    <m/>
    <n v="1"/>
    <m/>
    <n v="0"/>
    <n v="0"/>
    <n v="1"/>
    <n v="0"/>
    <n v="0"/>
    <n v="0"/>
    <n v="0"/>
    <n v="1"/>
    <x v="0"/>
    <n v="0"/>
    <n v="1"/>
    <n v="0"/>
    <n v="0"/>
    <n v="0"/>
    <n v="0"/>
    <n v="0"/>
    <x v="0"/>
    <n v="0"/>
    <n v="0"/>
    <n v="0"/>
    <n v="0"/>
    <n v="0"/>
    <x v="2"/>
    <m/>
    <x v="0"/>
    <x v="0"/>
    <x v="0"/>
  </r>
  <r>
    <s v="11/0468/PS192"/>
    <x v="1"/>
    <x v="0"/>
    <s v="Becketts Wharf And Osbourne House_x000a_Becketts Place_x000a_Hampton Wick"/>
    <s v="Continuing construction of block of 11 flats on site of Osbourne House under permission 07/2991/FUL after 28/02/2011 (when the permission would otherwise have expired) will be lawful."/>
    <d v="2011-03-07T00:00:00"/>
    <m/>
    <x v="1"/>
    <x v="0"/>
    <n v="517650"/>
    <n v="169624"/>
    <m/>
    <n v="0"/>
    <n v="0"/>
    <n v="0"/>
    <n v="0"/>
    <m/>
    <m/>
    <m/>
    <n v="0"/>
    <m/>
    <n v="4"/>
    <n v="7"/>
    <n v="0"/>
    <n v="0"/>
    <m/>
    <m/>
    <m/>
    <n v="11"/>
    <m/>
    <n v="4"/>
    <n v="7"/>
    <n v="0"/>
    <n v="0"/>
    <n v="0"/>
    <n v="0"/>
    <n v="0"/>
    <n v="11"/>
    <x v="0"/>
    <n v="0"/>
    <n v="0"/>
    <n v="11"/>
    <n v="0"/>
    <n v="0"/>
    <n v="0"/>
    <n v="0"/>
    <x v="1"/>
    <n v="0"/>
    <n v="0"/>
    <n v="0"/>
    <n v="0"/>
    <n v="0"/>
    <x v="9"/>
    <m/>
    <x v="1"/>
    <x v="0"/>
    <x v="1"/>
  </r>
  <r>
    <s v="11/1443/FUL"/>
    <x v="1"/>
    <x v="0"/>
    <s v="Twickenham Railway Station London Road Twickenham TW1 1BD"/>
    <s v="Demolition of existing station building and access gantries to the platforms and a phased redevelopment to provide; _x000d_1. Removal of existing footbridge structures, adjustment of existing platform canopies and rebuilding of a section of the London Road wal"/>
    <d v="2015-03-14T00:00:00"/>
    <m/>
    <x v="1"/>
    <x v="0"/>
    <n v="516095"/>
    <n v="173690"/>
    <m/>
    <n v="0"/>
    <n v="0"/>
    <n v="0"/>
    <n v="0"/>
    <m/>
    <m/>
    <m/>
    <n v="0"/>
    <m/>
    <n v="24"/>
    <n v="79"/>
    <n v="12"/>
    <n v="0"/>
    <m/>
    <m/>
    <m/>
    <n v="115"/>
    <m/>
    <n v="24"/>
    <n v="79"/>
    <n v="12"/>
    <n v="0"/>
    <n v="0"/>
    <n v="0"/>
    <n v="0"/>
    <n v="115"/>
    <x v="0"/>
    <n v="0"/>
    <n v="101"/>
    <n v="24"/>
    <n v="0"/>
    <n v="0"/>
    <n v="0"/>
    <n v="0"/>
    <x v="1"/>
    <n v="0"/>
    <n v="0"/>
    <n v="0"/>
    <n v="0"/>
    <n v="0"/>
    <x v="3"/>
    <m/>
    <x v="0"/>
    <x v="1"/>
    <x v="0"/>
  </r>
  <r>
    <s v="13/1327/FUL"/>
    <x v="3"/>
    <x v="0"/>
    <s v="Doughty House And Doughty Cottage_x000a_142 - 142A Richmond Hill_x000a_Richmond"/>
    <s v="Reversion of Doughty House and Doughty Cottage, change of use from D1 gallery to a single family dwelling. New conservatory with basement below; underground car parking beneath the upper garden and linked to Doughty House; part re-construction of rear el"/>
    <d v="2016-08-19T00:00:00"/>
    <m/>
    <x v="1"/>
    <x v="0"/>
    <n v="518397"/>
    <n v="173968"/>
    <m/>
    <n v="0"/>
    <n v="0"/>
    <n v="0"/>
    <n v="2"/>
    <m/>
    <m/>
    <m/>
    <n v="2"/>
    <m/>
    <n v="0"/>
    <n v="0"/>
    <n v="0"/>
    <n v="1"/>
    <m/>
    <m/>
    <m/>
    <n v="1"/>
    <m/>
    <n v="0"/>
    <n v="0"/>
    <n v="0"/>
    <n v="-1"/>
    <n v="0"/>
    <n v="0"/>
    <n v="0"/>
    <n v="-1"/>
    <x v="0"/>
    <n v="0"/>
    <n v="0"/>
    <n v="0"/>
    <n v="0"/>
    <n v="0"/>
    <n v="0"/>
    <n v="0"/>
    <x v="0"/>
    <n v="0"/>
    <n v="0"/>
    <n v="0"/>
    <n v="0"/>
    <n v="0"/>
    <x v="7"/>
    <m/>
    <x v="0"/>
    <x v="0"/>
    <x v="1"/>
  </r>
  <r>
    <s v="13/3913/P3JPA"/>
    <x v="3"/>
    <x v="1"/>
    <s v="28 Barnes Avenue Barnes SW13 9AB"/>
    <s v="Change of use from B1(a) office to C3 residential."/>
    <d v="2015-07-01T00:00:00"/>
    <m/>
    <x v="1"/>
    <x v="0"/>
    <n v="522336"/>
    <n v="177503"/>
    <m/>
    <n v="0"/>
    <n v="0"/>
    <n v="0"/>
    <n v="0"/>
    <m/>
    <m/>
    <m/>
    <n v="0"/>
    <m/>
    <n v="0"/>
    <n v="0"/>
    <n v="1"/>
    <n v="0"/>
    <m/>
    <m/>
    <m/>
    <n v="1"/>
    <m/>
    <n v="0"/>
    <n v="0"/>
    <n v="1"/>
    <n v="0"/>
    <n v="0"/>
    <n v="0"/>
    <n v="0"/>
    <n v="1"/>
    <x v="0"/>
    <n v="0"/>
    <n v="1"/>
    <n v="0"/>
    <n v="0"/>
    <n v="0"/>
    <n v="0"/>
    <n v="0"/>
    <x v="0"/>
    <n v="0"/>
    <n v="0"/>
    <n v="0"/>
    <n v="0"/>
    <n v="0"/>
    <x v="14"/>
    <m/>
    <x v="0"/>
    <x v="0"/>
    <x v="0"/>
  </r>
  <r>
    <s v="14/1683/FUL"/>
    <x v="1"/>
    <x v="0"/>
    <s v="14 St Leonards Road East Sheen SW14 7LY"/>
    <s v="Demolition of mechanic workshop and construction of a new two storey building comprising a two bedroom maisonette at first floor and roof level and ground floor office (revised description)."/>
    <d v="2018-09-01T00:00:00"/>
    <m/>
    <x v="1"/>
    <x v="0"/>
    <n v="520452"/>
    <n v="175621"/>
    <m/>
    <n v="0"/>
    <n v="0"/>
    <n v="0"/>
    <n v="0"/>
    <m/>
    <m/>
    <m/>
    <n v="0"/>
    <m/>
    <n v="0"/>
    <n v="1"/>
    <n v="0"/>
    <n v="0"/>
    <m/>
    <m/>
    <m/>
    <n v="1"/>
    <m/>
    <n v="0"/>
    <n v="1"/>
    <n v="0"/>
    <n v="0"/>
    <n v="0"/>
    <n v="0"/>
    <n v="0"/>
    <n v="1"/>
    <x v="0"/>
    <n v="0"/>
    <n v="0"/>
    <n v="1"/>
    <n v="0"/>
    <n v="0"/>
    <n v="0"/>
    <n v="0"/>
    <x v="1"/>
    <n v="0"/>
    <n v="0"/>
    <n v="0"/>
    <n v="0"/>
    <n v="0"/>
    <x v="6"/>
    <m/>
    <x v="0"/>
    <x v="0"/>
    <x v="0"/>
  </r>
  <r>
    <s v="14/2118/FUL"/>
    <x v="0"/>
    <x v="0"/>
    <s v="14 Sheen Gate Gardens_x000d_East Sheen_x000d_London"/>
    <s v="Conversion of existing block of 3 flats, back into onedwellinghouse. Demolition of existing part 2 storey, part single storey rear addition and erection of part 2 storey and part single storey rear extension. Erection of basement extension, part under ex"/>
    <d v="2017-10-01T00:00:00"/>
    <m/>
    <x v="1"/>
    <x v="0"/>
    <n v="520243"/>
    <n v="175216"/>
    <m/>
    <n v="1"/>
    <n v="1"/>
    <n v="1"/>
    <n v="0"/>
    <m/>
    <m/>
    <m/>
    <n v="3"/>
    <m/>
    <n v="0"/>
    <n v="0"/>
    <n v="0"/>
    <n v="1"/>
    <m/>
    <m/>
    <m/>
    <n v="1"/>
    <m/>
    <n v="-1"/>
    <n v="-1"/>
    <n v="-1"/>
    <n v="1"/>
    <n v="0"/>
    <n v="0"/>
    <n v="0"/>
    <n v="-2"/>
    <x v="0"/>
    <n v="0"/>
    <n v="-2"/>
    <n v="0"/>
    <n v="0"/>
    <n v="0"/>
    <n v="0"/>
    <n v="0"/>
    <x v="0"/>
    <n v="0"/>
    <n v="0"/>
    <n v="0"/>
    <n v="0"/>
    <n v="0"/>
    <x v="6"/>
    <m/>
    <x v="0"/>
    <x v="0"/>
    <x v="0"/>
  </r>
  <r>
    <s v="14/2257/FUL"/>
    <x v="4"/>
    <x v="0"/>
    <s v="310 Nelson Road Twickenham TW2 7AJ"/>
    <s v="Partial rebuild and refurbishment of existing building and erection of two-storey side / rear extension with 3No. rear dormers to facilitate the formation of a mixed use building comprising a ground floor retail shop unit (A1 Use Class) and 4 No. 1-bedro"/>
    <d v="2016-06-01T00:00:00"/>
    <m/>
    <x v="1"/>
    <x v="0"/>
    <n v="513482"/>
    <n v="173963"/>
    <m/>
    <n v="0"/>
    <n v="1"/>
    <n v="0"/>
    <n v="0"/>
    <m/>
    <m/>
    <m/>
    <n v="1"/>
    <m/>
    <n v="4"/>
    <n v="0"/>
    <n v="0"/>
    <n v="0"/>
    <m/>
    <m/>
    <m/>
    <n v="4"/>
    <m/>
    <n v="4"/>
    <n v="-1"/>
    <n v="0"/>
    <n v="0"/>
    <n v="0"/>
    <n v="0"/>
    <n v="0"/>
    <n v="3"/>
    <x v="0"/>
    <n v="0"/>
    <n v="3"/>
    <n v="0"/>
    <n v="0"/>
    <n v="0"/>
    <n v="0"/>
    <n v="0"/>
    <x v="0"/>
    <n v="0"/>
    <n v="0"/>
    <n v="0"/>
    <n v="0"/>
    <n v="0"/>
    <x v="0"/>
    <m/>
    <x v="0"/>
    <x v="0"/>
    <x v="0"/>
  </r>
  <r>
    <s v="14/2797/P3JPA"/>
    <x v="3"/>
    <x v="1"/>
    <s v="Crane Mews 32 Gould Road Twickenham"/>
    <s v="Proposed change of use of part of an existing two storey office block (B1a Use Class) to Residential (C3 Use Class) creating 6 No.flats (comprising 1 x 1-bed unit and 5 x 2-bed units)."/>
    <d v="2017-06-30T00:00:00"/>
    <m/>
    <x v="1"/>
    <x v="0"/>
    <n v="515206"/>
    <n v="173341"/>
    <m/>
    <n v="0"/>
    <n v="0"/>
    <n v="0"/>
    <n v="0"/>
    <m/>
    <m/>
    <m/>
    <n v="0"/>
    <m/>
    <n v="1"/>
    <n v="5"/>
    <n v="0"/>
    <n v="0"/>
    <m/>
    <m/>
    <m/>
    <n v="6"/>
    <m/>
    <n v="1"/>
    <n v="5"/>
    <n v="0"/>
    <n v="0"/>
    <n v="0"/>
    <n v="0"/>
    <n v="0"/>
    <n v="6"/>
    <x v="0"/>
    <n v="0"/>
    <n v="6"/>
    <n v="0"/>
    <n v="0"/>
    <n v="0"/>
    <n v="0"/>
    <n v="0"/>
    <x v="0"/>
    <n v="0"/>
    <n v="0"/>
    <n v="0"/>
    <n v="0"/>
    <n v="0"/>
    <x v="17"/>
    <m/>
    <x v="0"/>
    <x v="0"/>
    <x v="0"/>
  </r>
  <r>
    <s v="14/3011/FUL"/>
    <x v="3"/>
    <x v="0"/>
    <s v="2 Broad Street_x000a_Teddington_x000a_TW11 8RF"/>
    <s v="Refurbishment and remodelling of the existing dry cleaners (Use Class A1: Shops)  and workshop (Use Class B1c: light industrial) including infill extensions and alterations, conversion of seven x one self-contained flats to six residential flats (compris"/>
    <d v="2018-04-04T00:00:00"/>
    <m/>
    <x v="1"/>
    <x v="0"/>
    <n v="515537"/>
    <n v="170973"/>
    <m/>
    <n v="1"/>
    <n v="0"/>
    <n v="0"/>
    <n v="0"/>
    <m/>
    <m/>
    <m/>
    <n v="1"/>
    <m/>
    <n v="2"/>
    <n v="4"/>
    <n v="0"/>
    <n v="0"/>
    <m/>
    <m/>
    <m/>
    <n v="6"/>
    <m/>
    <n v="1"/>
    <n v="4"/>
    <n v="0"/>
    <n v="0"/>
    <n v="0"/>
    <n v="0"/>
    <n v="0"/>
    <n v="5"/>
    <x v="0"/>
    <n v="0"/>
    <n v="0"/>
    <n v="5"/>
    <n v="0"/>
    <n v="0"/>
    <n v="0"/>
    <n v="0"/>
    <x v="1"/>
    <n v="0"/>
    <n v="0"/>
    <n v="0"/>
    <n v="0"/>
    <n v="0"/>
    <x v="2"/>
    <m/>
    <x v="0"/>
    <x v="4"/>
    <x v="0"/>
  </r>
  <r>
    <s v="14/3780/FUL"/>
    <x v="4"/>
    <x v="0"/>
    <s v="Richmond Film Services_x000d_Park Lane_x000d_Richmond_x000d_TW9 2RA"/>
    <s v="The conversion and restoration of the Old School building to form 5 no. residential apartments, and 90 square metres of B1a Office space, and the erection of 3no. terraced townhouses with basement accommodation at the rear, with car parking, landscaping,"/>
    <d v="2016-07-01T00:00:00"/>
    <m/>
    <x v="1"/>
    <x v="0"/>
    <n v="517917"/>
    <n v="175196"/>
    <m/>
    <n v="0"/>
    <n v="0"/>
    <n v="0"/>
    <n v="0"/>
    <m/>
    <m/>
    <m/>
    <n v="0"/>
    <m/>
    <n v="0"/>
    <n v="5"/>
    <n v="3"/>
    <n v="0"/>
    <m/>
    <m/>
    <m/>
    <n v="8"/>
    <m/>
    <n v="0"/>
    <n v="5"/>
    <n v="3"/>
    <n v="0"/>
    <n v="0"/>
    <n v="0"/>
    <n v="0"/>
    <n v="8"/>
    <x v="0"/>
    <n v="0"/>
    <n v="8"/>
    <n v="0"/>
    <n v="0"/>
    <n v="0"/>
    <n v="0"/>
    <n v="0"/>
    <x v="0"/>
    <n v="0"/>
    <n v="0"/>
    <n v="0"/>
    <n v="0"/>
    <n v="0"/>
    <x v="12"/>
    <m/>
    <x v="0"/>
    <x v="3"/>
    <x v="0"/>
  </r>
  <r>
    <s v="14/3983/FUL"/>
    <x v="1"/>
    <x v="0"/>
    <s v="Kings Road Garage Kings Road Richmond TW10 6EG"/>
    <s v="Demolition of existing buildings and erection of 2 pairs of two storey four bedroom townhouses, with basements, roofspace accomodation, associated landscaping and 4 car parking spaces."/>
    <d v="2017-04-14T00:00:00"/>
    <m/>
    <x v="1"/>
    <x v="0"/>
    <n v="518627"/>
    <n v="175012"/>
    <m/>
    <n v="0"/>
    <n v="0"/>
    <n v="0"/>
    <n v="0"/>
    <m/>
    <m/>
    <m/>
    <n v="0"/>
    <m/>
    <n v="0"/>
    <n v="0"/>
    <n v="0"/>
    <n v="4"/>
    <m/>
    <m/>
    <m/>
    <n v="4"/>
    <m/>
    <n v="0"/>
    <n v="0"/>
    <n v="0"/>
    <n v="4"/>
    <n v="0"/>
    <n v="0"/>
    <n v="0"/>
    <n v="4"/>
    <x v="0"/>
    <n v="0"/>
    <n v="4"/>
    <n v="0"/>
    <n v="0"/>
    <n v="0"/>
    <n v="0"/>
    <n v="0"/>
    <x v="0"/>
    <n v="0"/>
    <n v="0"/>
    <n v="0"/>
    <n v="0"/>
    <n v="0"/>
    <x v="12"/>
    <m/>
    <x v="0"/>
    <x v="0"/>
    <x v="0"/>
  </r>
  <r>
    <s v="14/4464/P3JPA"/>
    <x v="3"/>
    <x v="1"/>
    <s v="111 Heath Road Twickenham TW1 4AH"/>
    <s v="Change of use of part of the ground floor and first floor offices (B1a) to residential (C3) comprising 6 one bed  residential units."/>
    <d v="2018-02-01T00:00:00"/>
    <m/>
    <x v="1"/>
    <x v="0"/>
    <n v="515764"/>
    <n v="173105"/>
    <m/>
    <n v="0"/>
    <n v="0"/>
    <n v="0"/>
    <n v="0"/>
    <m/>
    <m/>
    <m/>
    <n v="0"/>
    <m/>
    <n v="6"/>
    <n v="0"/>
    <n v="0"/>
    <n v="0"/>
    <m/>
    <m/>
    <m/>
    <n v="6"/>
    <m/>
    <n v="6"/>
    <n v="0"/>
    <n v="0"/>
    <n v="0"/>
    <n v="0"/>
    <n v="0"/>
    <n v="0"/>
    <n v="6"/>
    <x v="0"/>
    <n v="0"/>
    <n v="6"/>
    <n v="0"/>
    <n v="0"/>
    <n v="0"/>
    <n v="0"/>
    <n v="0"/>
    <x v="0"/>
    <n v="0"/>
    <n v="0"/>
    <n v="0"/>
    <n v="0"/>
    <n v="0"/>
    <x v="17"/>
    <m/>
    <x v="0"/>
    <x v="1"/>
    <x v="0"/>
  </r>
  <r>
    <s v="14/4721/FUL"/>
    <x v="1"/>
    <x v="0"/>
    <s v="97A White Hart Lane Barnes SW13 0JL"/>
    <s v="Demolition of the existing buildings and erection of a mixed-use residential-led redevelopment of two storeys over basement with roof accommodation and balconies and roof terraces comprising eight apartments; 401m2 of B1(a) floorspace; twelve car parking"/>
    <d v="2018-06-25T00:00:00"/>
    <m/>
    <x v="1"/>
    <x v="0"/>
    <n v="521414"/>
    <n v="175749"/>
    <m/>
    <n v="0"/>
    <n v="0"/>
    <n v="0"/>
    <n v="0"/>
    <m/>
    <m/>
    <m/>
    <n v="0"/>
    <m/>
    <n v="2"/>
    <n v="6"/>
    <n v="0"/>
    <n v="0"/>
    <m/>
    <m/>
    <m/>
    <n v="8"/>
    <m/>
    <n v="2"/>
    <n v="6"/>
    <n v="0"/>
    <n v="0"/>
    <n v="0"/>
    <n v="0"/>
    <n v="0"/>
    <n v="8"/>
    <x v="0"/>
    <n v="0"/>
    <n v="0"/>
    <n v="8"/>
    <n v="0"/>
    <n v="0"/>
    <n v="0"/>
    <n v="0"/>
    <x v="1"/>
    <n v="0"/>
    <n v="0"/>
    <n v="0"/>
    <n v="0"/>
    <n v="0"/>
    <x v="11"/>
    <m/>
    <x v="9"/>
    <x v="0"/>
    <x v="0"/>
  </r>
  <r>
    <s v="14/4793/FUL"/>
    <x v="4"/>
    <x v="0"/>
    <s v="42 Sheen Lane East Sheen SW14 8LP"/>
    <s v="Refurbishment of existing shop and refurbishment and part extension of existing 1st floor flat to provide 2 new 1 and 2 bed flats. Refurbishment and part demolition of existing 2 storey barn to provide new 2 bed 2 storey dwelling."/>
    <d v="2018-01-14T00:00:00"/>
    <d v="2019-08-31T00:00:00"/>
    <x v="1"/>
    <x v="0"/>
    <n v="520471"/>
    <n v="175586"/>
    <m/>
    <n v="0"/>
    <n v="0"/>
    <n v="0"/>
    <n v="1"/>
    <m/>
    <m/>
    <m/>
    <n v="1"/>
    <m/>
    <n v="1"/>
    <n v="2"/>
    <n v="0"/>
    <n v="0"/>
    <m/>
    <m/>
    <m/>
    <n v="3"/>
    <m/>
    <n v="1"/>
    <n v="2"/>
    <n v="0"/>
    <n v="-1"/>
    <n v="0"/>
    <n v="0"/>
    <n v="0"/>
    <n v="2"/>
    <x v="0"/>
    <n v="0"/>
    <n v="2"/>
    <n v="0"/>
    <n v="0"/>
    <n v="0"/>
    <n v="0"/>
    <n v="0"/>
    <x v="0"/>
    <n v="0"/>
    <n v="0"/>
    <n v="0"/>
    <n v="0"/>
    <n v="0"/>
    <x v="6"/>
    <m/>
    <x v="0"/>
    <x v="2"/>
    <x v="0"/>
  </r>
  <r>
    <s v="14/5306/FUL"/>
    <x v="3"/>
    <x v="0"/>
    <s v="21 - 21A St Johns Road Richmond"/>
    <s v="Change of use from B1 to residential (Number 21) and demolition of existing 2-storey dwelling (21A) with erection of back extension with basement"/>
    <d v="2017-05-01T00:00:00"/>
    <m/>
    <x v="1"/>
    <x v="0"/>
    <n v="518248"/>
    <n v="175334"/>
    <m/>
    <n v="0"/>
    <n v="1"/>
    <n v="0"/>
    <n v="0"/>
    <m/>
    <m/>
    <m/>
    <n v="1"/>
    <m/>
    <n v="0"/>
    <n v="0"/>
    <n v="0"/>
    <n v="1"/>
    <m/>
    <m/>
    <m/>
    <n v="1"/>
    <m/>
    <n v="0"/>
    <n v="-1"/>
    <n v="0"/>
    <n v="1"/>
    <n v="0"/>
    <n v="0"/>
    <n v="0"/>
    <n v="0"/>
    <x v="0"/>
    <n v="0"/>
    <n v="0"/>
    <n v="0"/>
    <n v="0"/>
    <n v="0"/>
    <n v="0"/>
    <n v="0"/>
    <x v="0"/>
    <n v="0"/>
    <n v="0"/>
    <n v="0"/>
    <n v="0"/>
    <n v="0"/>
    <x v="16"/>
    <m/>
    <x v="0"/>
    <x v="3"/>
    <x v="0"/>
  </r>
  <r>
    <s v="14/5364/P3JPA"/>
    <x v="3"/>
    <x v="1"/>
    <s v="22 Linden Road Hampton TW12 2JB"/>
    <s v="change of use from B1 office use to C3 residential use"/>
    <d v="2016-03-01T00:00:00"/>
    <m/>
    <x v="1"/>
    <x v="0"/>
    <n v="513125"/>
    <n v="169836"/>
    <m/>
    <n v="0"/>
    <n v="0"/>
    <n v="0"/>
    <n v="0"/>
    <m/>
    <m/>
    <m/>
    <n v="0"/>
    <m/>
    <n v="0"/>
    <n v="0"/>
    <n v="1"/>
    <n v="0"/>
    <m/>
    <m/>
    <m/>
    <n v="1"/>
    <m/>
    <n v="0"/>
    <n v="0"/>
    <n v="1"/>
    <n v="0"/>
    <n v="0"/>
    <n v="0"/>
    <n v="0"/>
    <n v="1"/>
    <x v="0"/>
    <n v="0"/>
    <n v="1"/>
    <n v="0"/>
    <n v="0"/>
    <n v="0"/>
    <n v="0"/>
    <n v="0"/>
    <x v="0"/>
    <n v="0"/>
    <n v="0"/>
    <n v="0"/>
    <n v="0"/>
    <n v="0"/>
    <x v="8"/>
    <m/>
    <x v="0"/>
    <x v="0"/>
    <x v="0"/>
  </r>
  <r>
    <s v="15/0160/FUL"/>
    <x v="1"/>
    <x v="0"/>
    <s v="1 Latimer Road_x000a_Teddington_x000a_TW11 8QA"/>
    <s v="Demolition of existing dwelling and erection of two buildings containing  1No. two bedroom house, 1No. two bedroom apartment and 1No. three bedroom apartment."/>
    <d v="2017-10-02T00:00:00"/>
    <m/>
    <x v="1"/>
    <x v="0"/>
    <n v="515646"/>
    <n v="171303"/>
    <m/>
    <n v="0"/>
    <n v="0"/>
    <n v="1"/>
    <n v="0"/>
    <m/>
    <m/>
    <m/>
    <n v="1"/>
    <m/>
    <n v="0"/>
    <n v="2"/>
    <n v="1"/>
    <n v="0"/>
    <m/>
    <m/>
    <m/>
    <n v="3"/>
    <m/>
    <n v="0"/>
    <n v="2"/>
    <n v="0"/>
    <n v="0"/>
    <n v="0"/>
    <n v="0"/>
    <n v="0"/>
    <n v="2"/>
    <x v="0"/>
    <n v="0"/>
    <n v="0"/>
    <n v="2"/>
    <n v="0"/>
    <n v="0"/>
    <n v="0"/>
    <n v="0"/>
    <x v="1"/>
    <n v="0"/>
    <n v="0"/>
    <n v="0"/>
    <n v="0"/>
    <n v="0"/>
    <x v="2"/>
    <m/>
    <x v="0"/>
    <x v="0"/>
    <x v="0"/>
  </r>
  <r>
    <s v="15/0421/FUL"/>
    <x v="0"/>
    <x v="0"/>
    <s v="17 Kings Road_x000a_Richmond"/>
    <s v="Reversion of a Building of Townscape Merit from four self-contained flats (3x2 and 1x1 beds) to a single-family dwelling (Use Class C3: Dwelling Houses) with lower and upper ground rear extensions, external alterations to dormers, fenestration, and stair"/>
    <d v="2018-03-01T00:00:00"/>
    <d v="2019-11-30T00:00:00"/>
    <x v="1"/>
    <x v="0"/>
    <n v="518586"/>
    <n v="174575"/>
    <m/>
    <n v="1"/>
    <n v="3"/>
    <n v="0"/>
    <n v="0"/>
    <m/>
    <m/>
    <m/>
    <n v="4"/>
    <m/>
    <n v="0"/>
    <n v="0"/>
    <n v="0"/>
    <n v="1"/>
    <m/>
    <m/>
    <m/>
    <n v="1"/>
    <m/>
    <n v="-1"/>
    <n v="-3"/>
    <n v="0"/>
    <n v="1"/>
    <n v="0"/>
    <n v="0"/>
    <n v="0"/>
    <n v="-3"/>
    <x v="0"/>
    <n v="0"/>
    <n v="-3"/>
    <n v="0"/>
    <n v="0"/>
    <n v="0"/>
    <n v="0"/>
    <n v="0"/>
    <x v="0"/>
    <n v="0"/>
    <n v="0"/>
    <n v="0"/>
    <n v="0"/>
    <n v="0"/>
    <x v="12"/>
    <m/>
    <x v="0"/>
    <x v="0"/>
    <x v="0"/>
  </r>
  <r>
    <s v="15/1440/FUL"/>
    <x v="1"/>
    <x v="0"/>
    <s v="6 Second Cross Road Twickenham TW2 5RF"/>
    <s v="Demolition of existing single storey structure to allow the construction of a two-storey (1x1bed 2person) dwellinghouse including a study room; provision of one off-street parking space; hard and soft landscaping; boundary treatment and associated refuse"/>
    <d v="2019-02-01T00:00:00"/>
    <m/>
    <x v="1"/>
    <x v="0"/>
    <n v="515114"/>
    <n v="172749"/>
    <m/>
    <n v="0"/>
    <n v="0"/>
    <n v="0"/>
    <n v="0"/>
    <m/>
    <m/>
    <m/>
    <n v="0"/>
    <m/>
    <n v="1"/>
    <n v="0"/>
    <n v="0"/>
    <n v="0"/>
    <m/>
    <m/>
    <m/>
    <n v="1"/>
    <m/>
    <n v="1"/>
    <n v="0"/>
    <n v="0"/>
    <n v="0"/>
    <n v="0"/>
    <n v="0"/>
    <n v="0"/>
    <n v="1"/>
    <x v="0"/>
    <n v="0"/>
    <n v="1"/>
    <n v="0"/>
    <n v="0"/>
    <n v="0"/>
    <n v="0"/>
    <n v="0"/>
    <x v="0"/>
    <n v="0"/>
    <n v="0"/>
    <n v="0"/>
    <n v="0"/>
    <n v="0"/>
    <x v="1"/>
    <m/>
    <x v="7"/>
    <x v="0"/>
    <x v="0"/>
  </r>
  <r>
    <s v="15/1486/FUL"/>
    <x v="1"/>
    <x v="0"/>
    <s v="8 Heathside_x000a_Whitton_x000a_Hounslow_x000a_TW4 5NN"/>
    <s v="Demolition of existing dwelling and erection of 2 No.4 bed semi-detached dwellings with associated parking and landscaping."/>
    <d v="2018-06-04T00:00:00"/>
    <m/>
    <x v="1"/>
    <x v="0"/>
    <n v="512819"/>
    <n v="173657"/>
    <m/>
    <n v="0"/>
    <n v="1"/>
    <n v="0"/>
    <n v="0"/>
    <m/>
    <m/>
    <m/>
    <n v="1"/>
    <m/>
    <n v="0"/>
    <n v="0"/>
    <n v="0"/>
    <n v="2"/>
    <m/>
    <m/>
    <m/>
    <n v="2"/>
    <m/>
    <n v="0"/>
    <n v="-1"/>
    <n v="0"/>
    <n v="2"/>
    <n v="0"/>
    <n v="0"/>
    <n v="0"/>
    <n v="1"/>
    <x v="0"/>
    <n v="0"/>
    <n v="0"/>
    <n v="1"/>
    <n v="0"/>
    <n v="0"/>
    <n v="0"/>
    <n v="0"/>
    <x v="1"/>
    <n v="0"/>
    <n v="0"/>
    <n v="0"/>
    <n v="0"/>
    <n v="0"/>
    <x v="0"/>
    <m/>
    <x v="0"/>
    <x v="0"/>
    <x v="0"/>
  </r>
  <r>
    <s v="15/1638/FUL"/>
    <x v="1"/>
    <x v="0"/>
    <s v="53 Cole Park Road Twickenham TW1 1HT"/>
    <s v="Demolition of the existing dwelling and erection of 2 No.semi-detached dwellings and associated hard and soft landscaping."/>
    <d v="2018-02-01T00:00:00"/>
    <m/>
    <x v="1"/>
    <x v="0"/>
    <n v="516222"/>
    <n v="174079"/>
    <m/>
    <n v="0"/>
    <n v="0"/>
    <n v="0"/>
    <n v="0"/>
    <n v="1"/>
    <m/>
    <m/>
    <n v="1"/>
    <m/>
    <n v="0"/>
    <n v="0"/>
    <n v="0"/>
    <n v="0"/>
    <n v="2"/>
    <m/>
    <m/>
    <n v="2"/>
    <m/>
    <n v="0"/>
    <n v="0"/>
    <n v="0"/>
    <n v="0"/>
    <n v="1"/>
    <n v="0"/>
    <n v="0"/>
    <n v="1"/>
    <x v="0"/>
    <n v="0"/>
    <n v="1"/>
    <n v="0"/>
    <n v="0"/>
    <n v="0"/>
    <n v="0"/>
    <n v="0"/>
    <x v="0"/>
    <n v="0"/>
    <n v="0"/>
    <n v="0"/>
    <n v="0"/>
    <n v="0"/>
    <x v="3"/>
    <m/>
    <x v="0"/>
    <x v="0"/>
    <x v="0"/>
  </r>
  <r>
    <s v="15/2440/VRC"/>
    <x v="1"/>
    <x v="0"/>
    <s v="11 Sandycombe Road Richmond TW9 2EP"/>
    <s v="Variation of condition 2 of application 08/4792/FUL to allow for amendments including: - Introduction of clerestory windows to eastern elevation of office building; - 2 Conservation rooflights added to front (western) elevation of residential building;"/>
    <d v="2018-04-01T00:00:00"/>
    <m/>
    <x v="1"/>
    <x v="0"/>
    <n v="519022"/>
    <n v="175824"/>
    <m/>
    <n v="0"/>
    <n v="0"/>
    <n v="0"/>
    <n v="0"/>
    <m/>
    <m/>
    <m/>
    <n v="0"/>
    <m/>
    <n v="0"/>
    <n v="4"/>
    <n v="0"/>
    <n v="0"/>
    <m/>
    <m/>
    <m/>
    <n v="4"/>
    <m/>
    <n v="0"/>
    <n v="4"/>
    <n v="0"/>
    <n v="0"/>
    <n v="0"/>
    <n v="0"/>
    <n v="0"/>
    <n v="4"/>
    <x v="0"/>
    <n v="0"/>
    <n v="4"/>
    <n v="0"/>
    <n v="0"/>
    <n v="0"/>
    <n v="0"/>
    <n v="0"/>
    <x v="0"/>
    <n v="0"/>
    <n v="0"/>
    <n v="0"/>
    <n v="0"/>
    <n v="0"/>
    <x v="10"/>
    <m/>
    <x v="0"/>
    <x v="0"/>
    <x v="0"/>
  </r>
  <r>
    <s v="15/2452/FUL"/>
    <x v="1"/>
    <x v="0"/>
    <s v="77 - 79 Richmond Road Twickenham"/>
    <s v="Refurbishment and Extension of existing dwelling - No 79 Richmond Road; Demolition of existing shop and associated office, storage - No 77 Richmond Road; Erection of new single storey B1/D1 employment unit; Erection of new detached 3 Bed Family Unit."/>
    <d v="2016-05-12T00:00:00"/>
    <m/>
    <x v="1"/>
    <x v="0"/>
    <n v="516657"/>
    <n v="173659"/>
    <m/>
    <n v="0"/>
    <n v="0"/>
    <n v="0"/>
    <n v="0"/>
    <m/>
    <m/>
    <m/>
    <n v="0"/>
    <m/>
    <n v="0"/>
    <n v="0"/>
    <n v="1"/>
    <n v="0"/>
    <m/>
    <m/>
    <m/>
    <n v="1"/>
    <m/>
    <n v="0"/>
    <n v="0"/>
    <n v="1"/>
    <n v="0"/>
    <n v="0"/>
    <n v="0"/>
    <n v="0"/>
    <n v="1"/>
    <x v="0"/>
    <n v="0"/>
    <n v="0"/>
    <n v="1"/>
    <n v="0"/>
    <n v="0"/>
    <n v="0"/>
    <n v="0"/>
    <x v="1"/>
    <n v="0"/>
    <n v="0"/>
    <n v="0"/>
    <n v="0"/>
    <n v="0"/>
    <x v="4"/>
    <m/>
    <x v="0"/>
    <x v="0"/>
    <x v="0"/>
  </r>
  <r>
    <s v="15/3072/FUL"/>
    <x v="3"/>
    <x v="0"/>
    <s v="Christ Church_x000a_Station Road_x000a_Teddington"/>
    <s v="Conversion, extension and alteration of the existing church building to provide for 6 x 2 bedroom flats over four levels together with 6 off-street car parking spaces, motorcycle parking, garden amenity areas and refuse, recycling and cycle parking areas"/>
    <d v="2018-03-01T00:00:00"/>
    <m/>
    <x v="1"/>
    <x v="0"/>
    <n v="516013"/>
    <n v="171023"/>
    <m/>
    <n v="0"/>
    <n v="0"/>
    <n v="0"/>
    <n v="0"/>
    <m/>
    <m/>
    <m/>
    <n v="0"/>
    <m/>
    <n v="0"/>
    <n v="6"/>
    <n v="0"/>
    <n v="0"/>
    <m/>
    <m/>
    <m/>
    <n v="6"/>
    <m/>
    <n v="0"/>
    <n v="6"/>
    <n v="0"/>
    <n v="0"/>
    <n v="0"/>
    <n v="0"/>
    <n v="0"/>
    <n v="6"/>
    <x v="0"/>
    <n v="0"/>
    <n v="0"/>
    <n v="6"/>
    <n v="0"/>
    <n v="0"/>
    <n v="0"/>
    <n v="0"/>
    <x v="1"/>
    <n v="0"/>
    <n v="0"/>
    <n v="0"/>
    <n v="0"/>
    <n v="0"/>
    <x v="2"/>
    <m/>
    <x v="0"/>
    <x v="0"/>
    <x v="0"/>
  </r>
  <r>
    <s v="15/3183/FUL"/>
    <x v="0"/>
    <x v="0"/>
    <s v="5A And 5B Upper Lodge Mews Bushy Park Hampton Hill"/>
    <s v="Conversion of existing lower ground floor property and existing upper first floor property (5a and 5b) into one dwelling space and single storey rear extension"/>
    <m/>
    <m/>
    <x v="1"/>
    <x v="0"/>
    <n v="514482"/>
    <n v="170638"/>
    <m/>
    <n v="1"/>
    <n v="0"/>
    <n v="1"/>
    <n v="0"/>
    <m/>
    <m/>
    <m/>
    <n v="2"/>
    <m/>
    <n v="0"/>
    <n v="0"/>
    <n v="0"/>
    <n v="1"/>
    <m/>
    <m/>
    <m/>
    <n v="1"/>
    <m/>
    <n v="-1"/>
    <n v="0"/>
    <n v="-1"/>
    <n v="1"/>
    <n v="0"/>
    <n v="0"/>
    <n v="0"/>
    <n v="-1"/>
    <x v="0"/>
    <n v="0"/>
    <n v="0"/>
    <n v="0"/>
    <n v="0"/>
    <n v="0"/>
    <n v="0"/>
    <n v="0"/>
    <x v="0"/>
    <n v="0"/>
    <n v="0"/>
    <n v="0"/>
    <n v="0"/>
    <n v="0"/>
    <x v="5"/>
    <m/>
    <x v="0"/>
    <x v="0"/>
    <x v="0"/>
  </r>
  <r>
    <s v="15/3522/FUL"/>
    <x v="1"/>
    <x v="0"/>
    <s v="20 Sixth Cross Road_x000a_Twickenham_x000a_TW2 5PB"/>
    <s v="Demolition of existing garage and conservatory to rear of No. 20.  Erection of a part 2 storey, part single storey 2 bedroom dwelling house adjoining No. 20 . Construction of a single storey rear extension, roof alterations and installation of 2 dormer w"/>
    <d v="2018-10-01T00:00:00"/>
    <m/>
    <x v="1"/>
    <x v="1"/>
    <n v="514619"/>
    <n v="172123"/>
    <m/>
    <n v="0"/>
    <n v="0"/>
    <n v="0"/>
    <n v="0"/>
    <m/>
    <m/>
    <m/>
    <n v="0"/>
    <m/>
    <n v="0"/>
    <n v="1"/>
    <n v="0"/>
    <n v="0"/>
    <m/>
    <m/>
    <m/>
    <n v="1"/>
    <m/>
    <n v="0"/>
    <n v="1"/>
    <n v="0"/>
    <n v="0"/>
    <n v="0"/>
    <n v="0"/>
    <n v="0"/>
    <n v="1"/>
    <x v="0"/>
    <n v="0"/>
    <n v="1"/>
    <n v="0"/>
    <n v="0"/>
    <n v="0"/>
    <n v="0"/>
    <n v="0"/>
    <x v="0"/>
    <n v="0"/>
    <n v="0"/>
    <n v="0"/>
    <n v="0"/>
    <n v="0"/>
    <x v="1"/>
    <m/>
    <x v="0"/>
    <x v="0"/>
    <x v="0"/>
  </r>
  <r>
    <s v="15/4230/FUL"/>
    <x v="2"/>
    <x v="0"/>
    <s v="The Bungalow Beresford Court Park Road Twickenham TW1 2PU"/>
    <s v="Extension to existing Bungalow to convert into 1No. Studio Flat &amp; 1No. 1 Bedroom Flat."/>
    <d v="2017-06-05T00:00:00"/>
    <m/>
    <x v="1"/>
    <x v="0"/>
    <n v="517353"/>
    <n v="174325"/>
    <m/>
    <n v="0"/>
    <n v="1"/>
    <n v="0"/>
    <n v="0"/>
    <m/>
    <m/>
    <m/>
    <n v="1"/>
    <n v="1"/>
    <n v="1"/>
    <n v="0"/>
    <n v="0"/>
    <n v="0"/>
    <m/>
    <m/>
    <m/>
    <n v="2"/>
    <n v="1"/>
    <n v="1"/>
    <n v="-1"/>
    <n v="0"/>
    <n v="0"/>
    <n v="0"/>
    <n v="0"/>
    <n v="0"/>
    <n v="1"/>
    <x v="0"/>
    <n v="0"/>
    <n v="1"/>
    <n v="0"/>
    <n v="0"/>
    <n v="0"/>
    <n v="0"/>
    <n v="0"/>
    <x v="0"/>
    <n v="0"/>
    <n v="0"/>
    <n v="0"/>
    <n v="0"/>
    <n v="0"/>
    <x v="4"/>
    <m/>
    <x v="0"/>
    <x v="0"/>
    <x v="0"/>
  </r>
  <r>
    <s v="15/4835/FUL"/>
    <x v="1"/>
    <x v="0"/>
    <s v="9 Gloucester Road Teddington TW11 0NS"/>
    <s v="Erection of a three bedroom chalet bungalow on land to the rear of 9 Gloucester Road."/>
    <m/>
    <m/>
    <x v="1"/>
    <x v="0"/>
    <n v="515214"/>
    <n v="171265"/>
    <m/>
    <n v="0"/>
    <n v="0"/>
    <n v="0"/>
    <n v="0"/>
    <m/>
    <m/>
    <m/>
    <n v="0"/>
    <m/>
    <n v="0"/>
    <n v="0"/>
    <n v="1"/>
    <n v="0"/>
    <m/>
    <m/>
    <m/>
    <n v="1"/>
    <m/>
    <n v="0"/>
    <n v="0"/>
    <n v="1"/>
    <n v="0"/>
    <n v="0"/>
    <n v="0"/>
    <n v="0"/>
    <n v="1"/>
    <x v="0"/>
    <n v="0"/>
    <n v="1"/>
    <n v="0"/>
    <n v="0"/>
    <n v="0"/>
    <n v="0"/>
    <n v="0"/>
    <x v="0"/>
    <n v="0"/>
    <n v="0"/>
    <n v="0"/>
    <n v="0"/>
    <n v="0"/>
    <x v="5"/>
    <m/>
    <x v="0"/>
    <x v="0"/>
    <x v="0"/>
  </r>
  <r>
    <s v="15/5216/FUL"/>
    <x v="1"/>
    <x v="0"/>
    <s v="The Avenue Centre 1 Normansfield Avenue Hampton Wick Teddington TW11 9RP"/>
    <s v="Redevelopment of the site to provide a care home, 4 supported living units and 15 affordable housing units, with associated onsite parking and external works. (This scheme is linked to application 15/5217/FUL - whereby the existing care home at Silver Bi"/>
    <d v="2017-11-01T00:00:00"/>
    <d v="2019-06-30T00:00:00"/>
    <x v="1"/>
    <x v="1"/>
    <n v="517536"/>
    <n v="170257"/>
    <m/>
    <n v="0"/>
    <n v="0"/>
    <n v="0"/>
    <n v="0"/>
    <m/>
    <m/>
    <m/>
    <n v="0"/>
    <m/>
    <n v="2"/>
    <n v="8"/>
    <n v="5"/>
    <n v="0"/>
    <m/>
    <m/>
    <m/>
    <n v="15"/>
    <m/>
    <n v="2"/>
    <n v="8"/>
    <n v="5"/>
    <n v="0"/>
    <n v="0"/>
    <n v="0"/>
    <n v="0"/>
    <n v="15"/>
    <x v="0"/>
    <n v="0"/>
    <n v="15"/>
    <n v="0"/>
    <n v="0"/>
    <n v="0"/>
    <n v="0"/>
    <n v="0"/>
    <x v="0"/>
    <n v="0"/>
    <n v="0"/>
    <n v="0"/>
    <n v="0"/>
    <n v="0"/>
    <x v="9"/>
    <m/>
    <x v="0"/>
    <x v="0"/>
    <x v="0"/>
  </r>
  <r>
    <s v="15/5369/FUL"/>
    <x v="1"/>
    <x v="0"/>
    <s v="65 Wensleydale Road Hampton TW12 2LP"/>
    <s v="Demolition of existing bungalow and replacement dwelling house (Class C3) comprising ground and lower ground floor."/>
    <m/>
    <m/>
    <x v="1"/>
    <x v="0"/>
    <n v="513492"/>
    <n v="170250"/>
    <m/>
    <n v="0"/>
    <n v="0"/>
    <n v="1"/>
    <n v="0"/>
    <m/>
    <m/>
    <m/>
    <n v="1"/>
    <m/>
    <n v="0"/>
    <n v="0"/>
    <n v="1"/>
    <n v="0"/>
    <m/>
    <m/>
    <m/>
    <n v="1"/>
    <m/>
    <n v="0"/>
    <n v="0"/>
    <n v="0"/>
    <n v="0"/>
    <n v="0"/>
    <n v="0"/>
    <n v="0"/>
    <n v="0"/>
    <x v="0"/>
    <n v="0"/>
    <n v="0"/>
    <n v="0"/>
    <n v="0"/>
    <n v="0"/>
    <n v="0"/>
    <n v="0"/>
    <x v="0"/>
    <n v="0"/>
    <n v="0"/>
    <n v="0"/>
    <n v="0"/>
    <n v="0"/>
    <x v="8"/>
    <m/>
    <x v="0"/>
    <x v="0"/>
    <x v="0"/>
  </r>
  <r>
    <s v="15/5376/FUL"/>
    <x v="1"/>
    <x v="0"/>
    <s v="1 - 9 Sandycombe Road Richmond"/>
    <s v="Redevelopment of site to provide for a mixed use development of 535m2 of commercial space (B1(a) offices, B1(b) research and development, B1(c) light industrial and B8 storage Use Class) and 20 residential units, together with car parking and landscaping"/>
    <d v="2019-03-30T00:00:00"/>
    <m/>
    <x v="1"/>
    <x v="0"/>
    <n v="519012"/>
    <n v="175761"/>
    <m/>
    <n v="0"/>
    <n v="0"/>
    <n v="0"/>
    <n v="0"/>
    <m/>
    <m/>
    <m/>
    <n v="0"/>
    <n v="2"/>
    <n v="7"/>
    <n v="7"/>
    <n v="4"/>
    <n v="0"/>
    <m/>
    <m/>
    <m/>
    <n v="20"/>
    <n v="2"/>
    <n v="7"/>
    <n v="7"/>
    <n v="4"/>
    <n v="0"/>
    <n v="0"/>
    <n v="0"/>
    <n v="0"/>
    <n v="20"/>
    <x v="0"/>
    <n v="0"/>
    <n v="0"/>
    <n v="10"/>
    <n v="10"/>
    <n v="0"/>
    <n v="0"/>
    <n v="0"/>
    <x v="1"/>
    <n v="0"/>
    <n v="0"/>
    <n v="0"/>
    <n v="0"/>
    <n v="0"/>
    <x v="10"/>
    <m/>
    <x v="0"/>
    <x v="0"/>
    <x v="0"/>
  </r>
  <r>
    <s v="16/0234/FUL"/>
    <x v="1"/>
    <x v="0"/>
    <s v="31 Poulett Gardens Twickenham TW1 4QS"/>
    <s v="Demolition of existing garage and construction of a two storey terraced house with associated landscaping, cycle store, rear car parking and access thereto."/>
    <d v="2017-12-01T00:00:00"/>
    <m/>
    <x v="1"/>
    <x v="0"/>
    <n v="515988"/>
    <n v="173004"/>
    <m/>
    <n v="0"/>
    <n v="0"/>
    <n v="0"/>
    <n v="0"/>
    <m/>
    <m/>
    <m/>
    <n v="0"/>
    <m/>
    <n v="0"/>
    <n v="0"/>
    <n v="0"/>
    <n v="1"/>
    <m/>
    <m/>
    <m/>
    <n v="1"/>
    <m/>
    <n v="0"/>
    <n v="0"/>
    <n v="0"/>
    <n v="1"/>
    <n v="0"/>
    <n v="0"/>
    <n v="0"/>
    <n v="1"/>
    <x v="0"/>
    <n v="0"/>
    <n v="1"/>
    <n v="0"/>
    <n v="0"/>
    <n v="0"/>
    <n v="0"/>
    <n v="0"/>
    <x v="0"/>
    <n v="0"/>
    <n v="0"/>
    <n v="0"/>
    <n v="0"/>
    <n v="0"/>
    <x v="17"/>
    <m/>
    <x v="0"/>
    <x v="0"/>
    <x v="0"/>
  </r>
  <r>
    <s v="16/0432/FUL"/>
    <x v="1"/>
    <x v="0"/>
    <s v="48 Glentham Road_x000a_Barnes_x000a_London_x000a_SW13 9JJ"/>
    <s v="Demolition of existing building and erection of three storey building plus basement to provide B1 use at basement, ground floor and first floor, and one 2 bedroom apartment above at second floor level."/>
    <d v="2017-05-09T00:00:00"/>
    <d v="2019-07-31T00:00:00"/>
    <x v="1"/>
    <x v="0"/>
    <n v="522622"/>
    <n v="177876"/>
    <m/>
    <n v="0"/>
    <n v="0"/>
    <n v="0"/>
    <n v="0"/>
    <m/>
    <m/>
    <m/>
    <n v="0"/>
    <m/>
    <n v="0"/>
    <n v="1"/>
    <n v="0"/>
    <n v="0"/>
    <m/>
    <m/>
    <m/>
    <n v="1"/>
    <m/>
    <n v="0"/>
    <n v="1"/>
    <n v="0"/>
    <n v="0"/>
    <n v="0"/>
    <n v="0"/>
    <n v="0"/>
    <n v="1"/>
    <x v="0"/>
    <n v="0"/>
    <n v="1"/>
    <n v="0"/>
    <n v="0"/>
    <n v="0"/>
    <n v="0"/>
    <n v="0"/>
    <x v="0"/>
    <n v="0"/>
    <n v="0"/>
    <n v="0"/>
    <n v="0"/>
    <n v="0"/>
    <x v="14"/>
    <m/>
    <x v="0"/>
    <x v="0"/>
    <x v="0"/>
  </r>
  <r>
    <s v="16/0680/FUL"/>
    <x v="2"/>
    <x v="0"/>
    <s v="2 Firs Avenue East Sheen SW14 7NZ"/>
    <s v="Part demolition of single dwelling house and formation of two semi-detached houses."/>
    <d v="2016-07-01T00:00:00"/>
    <m/>
    <x v="1"/>
    <x v="0"/>
    <n v="520343"/>
    <n v="175141"/>
    <m/>
    <n v="0"/>
    <n v="0"/>
    <n v="0"/>
    <n v="1"/>
    <m/>
    <m/>
    <m/>
    <n v="1"/>
    <m/>
    <n v="0"/>
    <n v="0"/>
    <n v="0"/>
    <n v="2"/>
    <m/>
    <m/>
    <m/>
    <n v="2"/>
    <m/>
    <n v="0"/>
    <n v="0"/>
    <n v="0"/>
    <n v="1"/>
    <n v="0"/>
    <n v="0"/>
    <n v="0"/>
    <n v="1"/>
    <x v="0"/>
    <n v="0"/>
    <n v="1"/>
    <n v="0"/>
    <n v="0"/>
    <n v="0"/>
    <n v="0"/>
    <n v="0"/>
    <x v="0"/>
    <n v="0"/>
    <n v="0"/>
    <n v="0"/>
    <n v="0"/>
    <n v="0"/>
    <x v="6"/>
    <m/>
    <x v="0"/>
    <x v="0"/>
    <x v="0"/>
  </r>
  <r>
    <s v="16/1145/FUL"/>
    <x v="0"/>
    <x v="0"/>
    <s v="19 - 21 Lower Teddington Road_x000a_Hampton Wick"/>
    <s v="Conversion of part lower ground floor to form 1 x 1 bed self contained flat. New external staircase to match existing"/>
    <d v="2019-02-01T00:00:00"/>
    <m/>
    <x v="1"/>
    <x v="0"/>
    <n v="517615"/>
    <n v="169709"/>
    <m/>
    <n v="0"/>
    <n v="0"/>
    <n v="0"/>
    <n v="0"/>
    <m/>
    <m/>
    <m/>
    <n v="0"/>
    <m/>
    <n v="1"/>
    <n v="0"/>
    <n v="0"/>
    <n v="0"/>
    <m/>
    <m/>
    <m/>
    <n v="1"/>
    <m/>
    <n v="1"/>
    <n v="0"/>
    <n v="0"/>
    <n v="0"/>
    <n v="0"/>
    <n v="0"/>
    <n v="0"/>
    <n v="1"/>
    <x v="0"/>
    <n v="0"/>
    <n v="0"/>
    <n v="1"/>
    <n v="0"/>
    <n v="0"/>
    <n v="0"/>
    <n v="0"/>
    <x v="1"/>
    <n v="0"/>
    <n v="0"/>
    <n v="0"/>
    <n v="0"/>
    <n v="0"/>
    <x v="9"/>
    <m/>
    <x v="0"/>
    <x v="0"/>
    <x v="0"/>
  </r>
  <r>
    <s v="16/1293/FUL"/>
    <x v="2"/>
    <x v="0"/>
    <s v="111 Heath Road Twickenham TW1 4AH"/>
    <s v="Creation of an additional floor to create 4 'car free' residential units (2 No.2 bed and 2 No.1 bed flats) and incorporate external extensions and alterations to fenestration of the building.  Provision of 6 cycle parking spaces, refuse storage for comme"/>
    <d v="2018-02-01T00:00:00"/>
    <m/>
    <x v="1"/>
    <x v="0"/>
    <n v="515764"/>
    <n v="173105"/>
    <m/>
    <n v="0"/>
    <n v="0"/>
    <n v="0"/>
    <n v="0"/>
    <m/>
    <m/>
    <m/>
    <n v="0"/>
    <m/>
    <n v="2"/>
    <n v="2"/>
    <n v="0"/>
    <n v="0"/>
    <m/>
    <m/>
    <m/>
    <n v="4"/>
    <m/>
    <n v="2"/>
    <n v="2"/>
    <n v="0"/>
    <n v="0"/>
    <n v="0"/>
    <n v="0"/>
    <n v="0"/>
    <n v="4"/>
    <x v="0"/>
    <n v="0"/>
    <n v="4"/>
    <n v="0"/>
    <n v="0"/>
    <n v="0"/>
    <n v="0"/>
    <n v="0"/>
    <x v="0"/>
    <n v="0"/>
    <n v="0"/>
    <n v="0"/>
    <n v="0"/>
    <n v="0"/>
    <x v="17"/>
    <m/>
    <x v="0"/>
    <x v="1"/>
    <x v="0"/>
  </r>
  <r>
    <s v="16/1373/FUL"/>
    <x v="3"/>
    <x v="0"/>
    <s v="17 The Green Richmond TW9 1PX"/>
    <s v="Alterations and refurbishment to provide a single family dwelling house."/>
    <d v="2017-11-24T00:00:00"/>
    <m/>
    <x v="1"/>
    <x v="0"/>
    <n v="517807"/>
    <n v="174892"/>
    <m/>
    <n v="0"/>
    <n v="0"/>
    <n v="0"/>
    <n v="0"/>
    <m/>
    <m/>
    <m/>
    <n v="0"/>
    <m/>
    <n v="0"/>
    <n v="0"/>
    <n v="0"/>
    <n v="0"/>
    <n v="1"/>
    <m/>
    <m/>
    <n v="1"/>
    <m/>
    <n v="0"/>
    <n v="0"/>
    <n v="0"/>
    <n v="0"/>
    <n v="1"/>
    <n v="0"/>
    <n v="0"/>
    <n v="1"/>
    <x v="0"/>
    <n v="0"/>
    <n v="1"/>
    <n v="0"/>
    <n v="0"/>
    <n v="0"/>
    <n v="0"/>
    <n v="0"/>
    <x v="0"/>
    <n v="0"/>
    <n v="0"/>
    <n v="0"/>
    <n v="0"/>
    <n v="0"/>
    <x v="12"/>
    <m/>
    <x v="0"/>
    <x v="3"/>
    <x v="0"/>
  </r>
  <r>
    <s v="16/1882/FUL"/>
    <x v="1"/>
    <x v="0"/>
    <s v="9 Charlotte Road_x000a_Barnes_x000a_London_x000a_SW13 9QJ"/>
    <s v="Demolition of existing single dwelling and erection of a new single dwelling."/>
    <d v="2019-04-01T00:00:00"/>
    <m/>
    <x v="1"/>
    <x v="0"/>
    <n v="521779"/>
    <n v="176827"/>
    <m/>
    <n v="1"/>
    <n v="0"/>
    <n v="0"/>
    <n v="0"/>
    <m/>
    <m/>
    <m/>
    <n v="1"/>
    <m/>
    <n v="0"/>
    <n v="0"/>
    <n v="1"/>
    <n v="0"/>
    <m/>
    <m/>
    <m/>
    <n v="1"/>
    <m/>
    <n v="-1"/>
    <n v="0"/>
    <n v="1"/>
    <n v="0"/>
    <n v="0"/>
    <n v="0"/>
    <n v="0"/>
    <n v="0"/>
    <x v="0"/>
    <n v="0"/>
    <n v="0"/>
    <n v="0"/>
    <n v="0"/>
    <n v="0"/>
    <n v="0"/>
    <n v="0"/>
    <x v="0"/>
    <n v="0"/>
    <n v="0"/>
    <n v="0"/>
    <n v="0"/>
    <n v="0"/>
    <x v="14"/>
    <m/>
    <x v="0"/>
    <x v="0"/>
    <x v="0"/>
  </r>
  <r>
    <s v="16/1903/FUL"/>
    <x v="3"/>
    <x v="0"/>
    <s v="63 Kew Green Kew"/>
    <s v="Change of use from office (B1) to residential (C3), demolition and rebuild of the existing single storey rear building, basement extension to Grade II listed building in the Kew Green Conservation Area."/>
    <d v="2019-01-14T00:00:00"/>
    <m/>
    <x v="1"/>
    <x v="0"/>
    <n v="518846"/>
    <n v="177650"/>
    <m/>
    <n v="0"/>
    <n v="0"/>
    <n v="0"/>
    <n v="0"/>
    <m/>
    <m/>
    <m/>
    <n v="0"/>
    <m/>
    <n v="0"/>
    <n v="1"/>
    <n v="0"/>
    <n v="0"/>
    <m/>
    <m/>
    <m/>
    <n v="1"/>
    <m/>
    <n v="0"/>
    <n v="1"/>
    <n v="0"/>
    <n v="0"/>
    <n v="0"/>
    <n v="0"/>
    <n v="0"/>
    <n v="1"/>
    <x v="0"/>
    <n v="0"/>
    <n v="1"/>
    <n v="0"/>
    <n v="0"/>
    <n v="0"/>
    <n v="0"/>
    <n v="0"/>
    <x v="0"/>
    <n v="0"/>
    <n v="0"/>
    <n v="0"/>
    <n v="0"/>
    <n v="0"/>
    <x v="10"/>
    <m/>
    <x v="0"/>
    <x v="0"/>
    <x v="1"/>
  </r>
  <r>
    <s v="16/1935/GPD15"/>
    <x v="3"/>
    <x v="0"/>
    <s v="Garrick House 161 - 163 High Street Hampton Hill TW12 1NL"/>
    <s v="Change of use of ground, first and second floors from B1 (a) offices - C3 residential (21 flats together with 21 off-street parking spaces, 21 cycle spaces and two bin and recycling store area)"/>
    <d v="2018-03-31T00:00:00"/>
    <m/>
    <x v="1"/>
    <x v="0"/>
    <n v="514411"/>
    <n v="171129"/>
    <m/>
    <n v="0"/>
    <n v="0"/>
    <n v="0"/>
    <n v="0"/>
    <m/>
    <m/>
    <m/>
    <n v="0"/>
    <m/>
    <n v="12"/>
    <n v="9"/>
    <n v="0"/>
    <n v="0"/>
    <m/>
    <m/>
    <m/>
    <n v="21"/>
    <m/>
    <n v="12"/>
    <n v="9"/>
    <n v="0"/>
    <n v="0"/>
    <n v="0"/>
    <n v="0"/>
    <n v="0"/>
    <n v="21"/>
    <x v="0"/>
    <n v="0"/>
    <n v="10.5"/>
    <n v="10.5"/>
    <n v="0"/>
    <n v="0"/>
    <n v="0"/>
    <n v="0"/>
    <x v="1"/>
    <n v="0"/>
    <n v="0"/>
    <n v="0"/>
    <n v="0"/>
    <n v="0"/>
    <x v="5"/>
    <m/>
    <x v="4"/>
    <x v="0"/>
    <x v="0"/>
  </r>
  <r>
    <s v="16/2042/FUL"/>
    <x v="0"/>
    <x v="0"/>
    <s v="216 London Road_x000a_Twickenham_x000a_TW1 1EU"/>
    <s v="Part two storey part single storey rear extension; insertion of 3 rooflights to side roofslope and alterations to fenestration arrangement on all elevations to facilitate the conversion of existing dwellinghouse into four self-contained flats (2x1 bed, 2"/>
    <d v="2019-03-01T00:00:00"/>
    <m/>
    <x v="1"/>
    <x v="0"/>
    <n v="516100"/>
    <n v="174435"/>
    <m/>
    <n v="0"/>
    <n v="0"/>
    <n v="0"/>
    <n v="1"/>
    <m/>
    <m/>
    <m/>
    <n v="1"/>
    <m/>
    <n v="2"/>
    <n v="2"/>
    <n v="0"/>
    <n v="0"/>
    <m/>
    <m/>
    <m/>
    <n v="4"/>
    <m/>
    <n v="2"/>
    <n v="2"/>
    <n v="0"/>
    <n v="-1"/>
    <n v="0"/>
    <n v="0"/>
    <n v="0"/>
    <n v="3"/>
    <x v="0"/>
    <n v="0"/>
    <n v="3"/>
    <n v="0"/>
    <n v="0"/>
    <n v="0"/>
    <n v="0"/>
    <n v="0"/>
    <x v="0"/>
    <n v="0"/>
    <n v="0"/>
    <n v="0"/>
    <n v="0"/>
    <n v="0"/>
    <x v="3"/>
    <m/>
    <x v="0"/>
    <x v="0"/>
    <x v="0"/>
  </r>
  <r>
    <s v="16/2158/FUL"/>
    <x v="0"/>
    <x v="0"/>
    <s v="Ormonde Lodge 2A St Peters Road Twickenham TW1 1QX"/>
    <s v="Reversion of 2 No. dwellinghouses into a single family dwellinghouse."/>
    <d v="2016-09-29T00:00:00"/>
    <m/>
    <x v="1"/>
    <x v="0"/>
    <n v="516878"/>
    <n v="174968"/>
    <m/>
    <n v="0"/>
    <n v="0"/>
    <n v="0"/>
    <n v="2"/>
    <m/>
    <m/>
    <m/>
    <n v="2"/>
    <m/>
    <n v="0"/>
    <n v="0"/>
    <n v="0"/>
    <n v="1"/>
    <m/>
    <m/>
    <m/>
    <n v="1"/>
    <m/>
    <n v="0"/>
    <n v="0"/>
    <n v="0"/>
    <n v="-1"/>
    <n v="0"/>
    <n v="0"/>
    <n v="0"/>
    <n v="-1"/>
    <x v="0"/>
    <n v="0"/>
    <n v="-1"/>
    <n v="0"/>
    <n v="0"/>
    <n v="0"/>
    <n v="0"/>
    <n v="0"/>
    <x v="0"/>
    <n v="0"/>
    <n v="0"/>
    <n v="0"/>
    <n v="0"/>
    <n v="0"/>
    <x v="3"/>
    <m/>
    <x v="0"/>
    <x v="0"/>
    <x v="1"/>
  </r>
  <r>
    <s v="16/2306/FUL"/>
    <x v="0"/>
    <x v="0"/>
    <s v="112 Richmond Hill Richmond"/>
    <s v="Conversion of the building into one family house, plus an additional apartment at basement level to the front."/>
    <d v="2019-01-14T00:00:00"/>
    <m/>
    <x v="1"/>
    <x v="0"/>
    <n v="518294"/>
    <n v="174078"/>
    <m/>
    <n v="2"/>
    <n v="2"/>
    <n v="1"/>
    <n v="0"/>
    <m/>
    <m/>
    <m/>
    <n v="5"/>
    <m/>
    <n v="1"/>
    <n v="0"/>
    <n v="0"/>
    <n v="1"/>
    <m/>
    <m/>
    <m/>
    <n v="2"/>
    <m/>
    <n v="-1"/>
    <n v="-2"/>
    <n v="-1"/>
    <n v="1"/>
    <n v="0"/>
    <n v="0"/>
    <n v="0"/>
    <n v="-3"/>
    <x v="0"/>
    <n v="0"/>
    <n v="-3"/>
    <n v="0"/>
    <n v="0"/>
    <n v="0"/>
    <n v="0"/>
    <n v="0"/>
    <x v="0"/>
    <n v="0"/>
    <n v="0"/>
    <n v="0"/>
    <n v="0"/>
    <n v="0"/>
    <x v="7"/>
    <m/>
    <x v="0"/>
    <x v="0"/>
    <x v="1"/>
  </r>
  <r>
    <s v="16/2348/FUL"/>
    <x v="1"/>
    <x v="0"/>
    <s v="38A Pagoda Avenue Richmond TW9 2HF"/>
    <s v="Demolition of existing sheds and construction of a single storey one bedroom dwelling."/>
    <d v="2018-04-25T00:00:00"/>
    <m/>
    <x v="1"/>
    <x v="0"/>
    <n v="518622"/>
    <n v="175641"/>
    <m/>
    <n v="0"/>
    <n v="0"/>
    <n v="0"/>
    <n v="0"/>
    <m/>
    <m/>
    <m/>
    <n v="0"/>
    <m/>
    <n v="1"/>
    <n v="0"/>
    <n v="0"/>
    <n v="0"/>
    <m/>
    <m/>
    <m/>
    <n v="1"/>
    <m/>
    <n v="1"/>
    <n v="0"/>
    <n v="0"/>
    <n v="0"/>
    <n v="0"/>
    <n v="0"/>
    <n v="0"/>
    <n v="1"/>
    <x v="0"/>
    <n v="0"/>
    <n v="1"/>
    <n v="0"/>
    <n v="0"/>
    <n v="0"/>
    <n v="0"/>
    <n v="0"/>
    <x v="0"/>
    <n v="0"/>
    <n v="0"/>
    <n v="0"/>
    <n v="0"/>
    <n v="0"/>
    <x v="16"/>
    <m/>
    <x v="0"/>
    <x v="0"/>
    <x v="0"/>
  </r>
  <r>
    <s v="16/2502/FUL"/>
    <x v="1"/>
    <x v="0"/>
    <s v="43 Strawberry Vale Twickenham TW1 4RX"/>
    <s v="Demolition of existing dwelling and erection of a new six bedroom house with basement."/>
    <d v="2018-02-01T00:00:00"/>
    <m/>
    <x v="1"/>
    <x v="0"/>
    <n v="516098"/>
    <n v="172295"/>
    <m/>
    <n v="0"/>
    <n v="0"/>
    <n v="0"/>
    <n v="1"/>
    <m/>
    <m/>
    <m/>
    <n v="1"/>
    <m/>
    <n v="0"/>
    <n v="0"/>
    <n v="0"/>
    <n v="0"/>
    <m/>
    <n v="1"/>
    <m/>
    <n v="1"/>
    <m/>
    <n v="0"/>
    <n v="0"/>
    <n v="0"/>
    <n v="-1"/>
    <n v="0"/>
    <n v="1"/>
    <n v="0"/>
    <n v="0"/>
    <x v="0"/>
    <n v="0"/>
    <n v="0"/>
    <n v="0"/>
    <n v="0"/>
    <n v="0"/>
    <n v="0"/>
    <n v="0"/>
    <x v="0"/>
    <n v="0"/>
    <n v="0"/>
    <n v="0"/>
    <n v="0"/>
    <n v="0"/>
    <x v="17"/>
    <m/>
    <x v="0"/>
    <x v="0"/>
    <x v="1"/>
  </r>
  <r>
    <s v="16/2637/FUL"/>
    <x v="1"/>
    <x v="0"/>
    <s v="9 Belgrave Road_x000a_Barnes_x000a_London_x000a_SW13 9NS"/>
    <s v="Demolition of the existing building and the erection of new two-storey house, with a basement and front and rear light wells and a rear dormer."/>
    <d v="2017-05-10T00:00:00"/>
    <m/>
    <x v="1"/>
    <x v="0"/>
    <n v="521872"/>
    <n v="177181"/>
    <m/>
    <n v="0"/>
    <n v="0"/>
    <n v="0"/>
    <n v="1"/>
    <m/>
    <m/>
    <m/>
    <n v="1"/>
    <m/>
    <n v="0"/>
    <n v="0"/>
    <n v="0"/>
    <n v="1"/>
    <m/>
    <m/>
    <m/>
    <n v="1"/>
    <m/>
    <n v="0"/>
    <n v="0"/>
    <n v="0"/>
    <n v="0"/>
    <n v="0"/>
    <n v="0"/>
    <n v="0"/>
    <n v="0"/>
    <x v="0"/>
    <n v="0"/>
    <n v="0"/>
    <n v="0"/>
    <n v="0"/>
    <n v="0"/>
    <n v="0"/>
    <n v="0"/>
    <x v="0"/>
    <n v="0"/>
    <n v="0"/>
    <n v="0"/>
    <n v="0"/>
    <n v="0"/>
    <x v="14"/>
    <m/>
    <x v="0"/>
    <x v="0"/>
    <x v="0"/>
  </r>
  <r>
    <s v="16/2975/GPD15"/>
    <x v="3"/>
    <x v="0"/>
    <s v="First And Second Floors_x000d_46 King Street_x000d_Twickenham_x000d_TW1 3SH_x000d_"/>
    <s v="Change of use of vacant offices (B1) to residential use (C3) comprising 2 bed flat on 1st floor and 1 bed flat on second floor"/>
    <m/>
    <m/>
    <x v="1"/>
    <x v="0"/>
    <n v="516167"/>
    <n v="173210"/>
    <m/>
    <n v="0"/>
    <n v="0"/>
    <n v="0"/>
    <n v="0"/>
    <m/>
    <m/>
    <m/>
    <n v="0"/>
    <m/>
    <n v="1"/>
    <n v="1"/>
    <n v="0"/>
    <n v="0"/>
    <m/>
    <m/>
    <m/>
    <n v="2"/>
    <m/>
    <n v="1"/>
    <n v="1"/>
    <n v="0"/>
    <n v="0"/>
    <n v="0"/>
    <n v="0"/>
    <n v="0"/>
    <n v="2"/>
    <x v="0"/>
    <n v="0"/>
    <n v="2"/>
    <n v="0"/>
    <n v="0"/>
    <n v="0"/>
    <n v="0"/>
    <n v="0"/>
    <x v="0"/>
    <n v="0"/>
    <n v="0"/>
    <n v="0"/>
    <n v="0"/>
    <n v="0"/>
    <x v="4"/>
    <m/>
    <x v="0"/>
    <x v="1"/>
    <x v="0"/>
  </r>
  <r>
    <s v="16/3210/GPD15"/>
    <x v="3"/>
    <x v="0"/>
    <s v="123 High Street_x000d_Whitton_x000d_Twickenham_x000d_TW2 7LQ_x000d_"/>
    <s v="Change of use from B1 (Office) to C3 (Residential) comprising 4 x 1 bedroom flats."/>
    <d v="2019-04-02T00:00:00"/>
    <m/>
    <x v="1"/>
    <x v="0"/>
    <n v="514223"/>
    <n v="173584"/>
    <m/>
    <n v="0"/>
    <n v="0"/>
    <n v="0"/>
    <n v="0"/>
    <m/>
    <m/>
    <m/>
    <n v="0"/>
    <m/>
    <n v="4"/>
    <n v="0"/>
    <n v="0"/>
    <n v="0"/>
    <m/>
    <m/>
    <m/>
    <n v="4"/>
    <m/>
    <n v="4"/>
    <n v="0"/>
    <n v="0"/>
    <n v="0"/>
    <n v="0"/>
    <n v="0"/>
    <n v="0"/>
    <n v="4"/>
    <x v="0"/>
    <n v="0"/>
    <n v="4"/>
    <n v="0"/>
    <n v="0"/>
    <n v="0"/>
    <n v="0"/>
    <n v="0"/>
    <x v="0"/>
    <n v="0"/>
    <n v="0"/>
    <n v="0"/>
    <n v="0"/>
    <n v="0"/>
    <x v="15"/>
    <m/>
    <x v="0"/>
    <x v="5"/>
    <x v="0"/>
  </r>
  <r>
    <s v="16/3247/FUL"/>
    <x v="1"/>
    <x v="0"/>
    <s v="738 Hanworth Road Whitton TW4 5NT"/>
    <s v="Demolition of the existing detached bungalow, garage, shed and greenhouse to allow for construction of 2x two storey 4 bedroom semi-detached houses with accommodation in the roof with associated boundary treatment, cycle and car parking and hard and soft"/>
    <m/>
    <m/>
    <x v="1"/>
    <x v="0"/>
    <n v="512538"/>
    <n v="173280"/>
    <m/>
    <n v="0"/>
    <n v="0"/>
    <n v="1"/>
    <n v="0"/>
    <m/>
    <m/>
    <m/>
    <n v="1"/>
    <m/>
    <n v="0"/>
    <n v="0"/>
    <n v="0"/>
    <n v="2"/>
    <m/>
    <m/>
    <m/>
    <n v="2"/>
    <m/>
    <n v="0"/>
    <n v="0"/>
    <n v="-1"/>
    <n v="2"/>
    <n v="0"/>
    <n v="0"/>
    <n v="0"/>
    <n v="1"/>
    <x v="0"/>
    <n v="0"/>
    <n v="1"/>
    <n v="0"/>
    <n v="0"/>
    <n v="0"/>
    <n v="0"/>
    <n v="0"/>
    <x v="0"/>
    <n v="0"/>
    <n v="0"/>
    <n v="0"/>
    <n v="0"/>
    <n v="0"/>
    <x v="0"/>
    <m/>
    <x v="0"/>
    <x v="0"/>
    <x v="0"/>
  </r>
  <r>
    <s v="16/3293/RES"/>
    <x v="1"/>
    <x v="0"/>
    <s v="Land At Junction Of A316 And Langhorn Drive And Richmond College Site Egerton Road Twickenham"/>
    <s v="Detailed Reserved Matters application including Appearance, Landscaping, Layout and Scale for the Schools Development Zone pursuant to Conditions U08026 and U08031 of Outline Planning Permission 15/3038/OUT dated 16.08.16 (Outline application for the dem"/>
    <d v="2017-03-13T00:00:00"/>
    <m/>
    <x v="1"/>
    <x v="1"/>
    <n v="515304"/>
    <n v="173889"/>
    <m/>
    <n v="0"/>
    <n v="0"/>
    <n v="0"/>
    <n v="0"/>
    <m/>
    <m/>
    <m/>
    <n v="0"/>
    <m/>
    <n v="1"/>
    <n v="20"/>
    <n v="5"/>
    <m/>
    <m/>
    <m/>
    <m/>
    <n v="26"/>
    <m/>
    <n v="1"/>
    <n v="20"/>
    <n v="5"/>
    <n v="0"/>
    <n v="0"/>
    <n v="0"/>
    <n v="0"/>
    <n v="26"/>
    <x v="0"/>
    <n v="0"/>
    <n v="0"/>
    <n v="0"/>
    <n v="8.6666666666666661"/>
    <n v="8.6666666666666661"/>
    <n v="8.6666666666666661"/>
    <n v="0"/>
    <x v="1"/>
    <n v="0"/>
    <n v="0"/>
    <n v="0"/>
    <n v="0"/>
    <n v="0"/>
    <x v="3"/>
    <m/>
    <x v="0"/>
    <x v="0"/>
    <x v="0"/>
  </r>
  <r>
    <s v="16/3293/RES"/>
    <x v="1"/>
    <x v="0"/>
    <s v="Land At Junction Of A316 And Langhorn Drive And Richmond College Site Egerton Road Twickenham"/>
    <s v="Detailed Reserved Matters application including Appearance, Landscaping, Layout and Scale for the Schools Development Zone pursuant to Conditions U08026 and U08031 of Outline Planning Permission 15/3038/OUT dated 16.08.16 (Outline application for the dem"/>
    <d v="2017-03-13T00:00:00"/>
    <m/>
    <x v="1"/>
    <x v="0"/>
    <n v="515304"/>
    <n v="173889"/>
    <m/>
    <n v="0"/>
    <n v="0"/>
    <n v="0"/>
    <n v="0"/>
    <m/>
    <m/>
    <m/>
    <n v="0"/>
    <m/>
    <n v="38"/>
    <n v="59"/>
    <n v="31"/>
    <n v="18"/>
    <m/>
    <m/>
    <m/>
    <n v="146"/>
    <m/>
    <n v="38"/>
    <n v="59"/>
    <n v="31"/>
    <n v="18"/>
    <n v="0"/>
    <n v="0"/>
    <n v="0"/>
    <n v="146"/>
    <x v="0"/>
    <n v="0"/>
    <n v="0"/>
    <n v="0"/>
    <n v="48.666666666666664"/>
    <n v="48.666666666666664"/>
    <n v="48.666666666666664"/>
    <n v="0"/>
    <x v="1"/>
    <n v="0"/>
    <n v="0"/>
    <n v="0"/>
    <n v="0"/>
    <n v="0"/>
    <x v="3"/>
    <m/>
    <x v="0"/>
    <x v="0"/>
    <x v="0"/>
  </r>
  <r>
    <s v="16/3293/RES"/>
    <x v="1"/>
    <x v="0"/>
    <s v="Land At Junction Of A316 And Langhorn Drive And Richmond College Site Egerton Road Twickenham"/>
    <s v="Detailed Reserved Matters application including Appearance, Landscaping, Layout and Scale for the Schools Development Zone pursuant to Conditions U08026 and U08031 of Outline Planning Permission 15/3038/OUT dated 16.08.16 (Outline application for the dem"/>
    <d v="2017-03-13T00:00:00"/>
    <m/>
    <x v="1"/>
    <x v="2"/>
    <n v="515304"/>
    <n v="173889"/>
    <m/>
    <n v="0"/>
    <n v="0"/>
    <n v="0"/>
    <n v="0"/>
    <m/>
    <m/>
    <m/>
    <n v="0"/>
    <m/>
    <n v="6"/>
    <n v="2"/>
    <m/>
    <m/>
    <m/>
    <m/>
    <m/>
    <n v="8"/>
    <m/>
    <n v="6"/>
    <n v="2"/>
    <n v="0"/>
    <n v="0"/>
    <n v="0"/>
    <n v="0"/>
    <n v="0"/>
    <n v="8"/>
    <x v="0"/>
    <n v="0"/>
    <n v="0"/>
    <n v="0"/>
    <n v="2.6666666666666665"/>
    <n v="2.6666666666666665"/>
    <n v="2.6666666666666665"/>
    <n v="0"/>
    <x v="1"/>
    <n v="0"/>
    <n v="0"/>
    <n v="0"/>
    <n v="0"/>
    <n v="0"/>
    <x v="3"/>
    <m/>
    <x v="0"/>
    <x v="0"/>
    <x v="0"/>
  </r>
  <r>
    <s v="16/3450/FUL"/>
    <x v="1"/>
    <x v="0"/>
    <s v="Land At 149 - 151 Heath Road Twickenham"/>
    <s v="Demolition of existing buildings and removal of advertising hoardings. Resiting of existing recycling bins. Erection of a part 3 storey part 4 storey building with commercial use (Flexible Use Class A1, A2 and/or B1a) on the ground floor with 9 flats (4"/>
    <d v="2018-09-03T00:00:00"/>
    <m/>
    <x v="1"/>
    <x v="0"/>
    <n v="515669"/>
    <n v="173102"/>
    <m/>
    <n v="0"/>
    <n v="0"/>
    <n v="0"/>
    <n v="0"/>
    <m/>
    <m/>
    <m/>
    <n v="0"/>
    <m/>
    <n v="8"/>
    <n v="1"/>
    <n v="0"/>
    <n v="0"/>
    <m/>
    <m/>
    <m/>
    <n v="9"/>
    <m/>
    <n v="8"/>
    <n v="1"/>
    <n v="0"/>
    <n v="0"/>
    <n v="0"/>
    <n v="0"/>
    <n v="0"/>
    <n v="9"/>
    <x v="0"/>
    <n v="0"/>
    <n v="4.5"/>
    <n v="4.5"/>
    <n v="0"/>
    <n v="0"/>
    <n v="0"/>
    <n v="0"/>
    <x v="1"/>
    <n v="0"/>
    <n v="0"/>
    <n v="0"/>
    <n v="0"/>
    <n v="0"/>
    <x v="17"/>
    <m/>
    <x v="0"/>
    <x v="1"/>
    <x v="0"/>
  </r>
  <r>
    <s v="16/3485/FUL"/>
    <x v="0"/>
    <x v="0"/>
    <s v="11 And 12 Upper Lodge Mews_x000a_Bushy Park_x000a_Hampton Hill"/>
    <s v="Conversion of number 11 Upper Lodge Mews and number 12 Upper Lodge Mews into one dwelling house with internal refurbishment."/>
    <m/>
    <m/>
    <x v="1"/>
    <x v="0"/>
    <n v="514501"/>
    <n v="170687"/>
    <m/>
    <n v="0"/>
    <n v="0"/>
    <n v="2"/>
    <n v="0"/>
    <m/>
    <m/>
    <m/>
    <n v="2"/>
    <m/>
    <n v="0"/>
    <n v="0"/>
    <n v="0"/>
    <n v="1"/>
    <m/>
    <m/>
    <m/>
    <n v="1"/>
    <m/>
    <n v="0"/>
    <n v="0"/>
    <n v="-2"/>
    <n v="1"/>
    <n v="0"/>
    <n v="0"/>
    <n v="0"/>
    <n v="-1"/>
    <x v="0"/>
    <n v="0"/>
    <n v="0"/>
    <n v="0"/>
    <n v="0"/>
    <n v="0"/>
    <n v="0"/>
    <n v="0"/>
    <x v="0"/>
    <n v="0"/>
    <n v="0"/>
    <n v="0"/>
    <n v="0"/>
    <n v="0"/>
    <x v="5"/>
    <m/>
    <x v="0"/>
    <x v="0"/>
    <x v="0"/>
  </r>
  <r>
    <s v="16/3552/FUL"/>
    <x v="4"/>
    <x v="0"/>
    <s v="St Michaels Convent 56 Ham Common Ham TW10 7JH"/>
    <s v="Conversion and extension of the existing convent buildings (following demolition of some mid-20th century extensions), together with new build apartments and houses, to provide a total of 23 residential retirement units, an estate managers office and mee"/>
    <d v="2018-04-25T00:00:00"/>
    <m/>
    <x v="1"/>
    <x v="0"/>
    <n v="517752"/>
    <n v="172177"/>
    <m/>
    <n v="0"/>
    <n v="0"/>
    <n v="0"/>
    <n v="0"/>
    <m/>
    <m/>
    <m/>
    <n v="0"/>
    <m/>
    <n v="1"/>
    <n v="20"/>
    <n v="1"/>
    <n v="1"/>
    <m/>
    <m/>
    <m/>
    <n v="23"/>
    <m/>
    <n v="1"/>
    <n v="20"/>
    <n v="1"/>
    <n v="1"/>
    <n v="0"/>
    <n v="0"/>
    <n v="0"/>
    <n v="23"/>
    <x v="0"/>
    <n v="0"/>
    <n v="23"/>
    <n v="0"/>
    <n v="0"/>
    <n v="0"/>
    <n v="0"/>
    <n v="0"/>
    <x v="0"/>
    <n v="0"/>
    <n v="0"/>
    <n v="0"/>
    <n v="0"/>
    <n v="0"/>
    <x v="7"/>
    <m/>
    <x v="0"/>
    <x v="0"/>
    <x v="0"/>
  </r>
  <r>
    <s v="16/3625/FUL"/>
    <x v="1"/>
    <x v="0"/>
    <s v="65 Holly Road Twickenham TW1 4HF"/>
    <s v="Demolition of existing car repair workshop and replacement with 1 no. ground floor B1(a) commercial unit and 1 no. 2 bed residential unit with associated landscaping, car and cycle parking."/>
    <d v="2018-09-01T00:00:00"/>
    <m/>
    <x v="1"/>
    <x v="0"/>
    <n v="516115"/>
    <n v="173199"/>
    <m/>
    <n v="0"/>
    <n v="0"/>
    <n v="0"/>
    <n v="0"/>
    <m/>
    <m/>
    <m/>
    <n v="0"/>
    <m/>
    <n v="0"/>
    <n v="1"/>
    <n v="0"/>
    <n v="0"/>
    <m/>
    <m/>
    <m/>
    <n v="1"/>
    <m/>
    <n v="0"/>
    <n v="1"/>
    <n v="0"/>
    <n v="0"/>
    <n v="0"/>
    <n v="0"/>
    <n v="0"/>
    <n v="1"/>
    <x v="0"/>
    <n v="0"/>
    <n v="1"/>
    <n v="0"/>
    <n v="0"/>
    <n v="0"/>
    <n v="0"/>
    <n v="0"/>
    <x v="0"/>
    <n v="0"/>
    <n v="0"/>
    <n v="0"/>
    <n v="0"/>
    <n v="0"/>
    <x v="4"/>
    <m/>
    <x v="0"/>
    <x v="1"/>
    <x v="0"/>
  </r>
  <r>
    <s v="16/3685/FUL"/>
    <x v="2"/>
    <x v="0"/>
    <s v="11 Tayben Avenue Twickenham TW2 7RA"/>
    <s v="Demolition of existing garage. Alterations to main entrance, installation of ramp, loft conversion comprising hip to gable roof extension to rear roof slope, dormer on side roof slope, enlargement of single storey rear extension and two storey side exten"/>
    <m/>
    <d v="2019-08-31T00:00:00"/>
    <x v="1"/>
    <x v="0"/>
    <n v="515385"/>
    <n v="174051"/>
    <m/>
    <n v="0"/>
    <n v="0"/>
    <n v="1"/>
    <n v="0"/>
    <m/>
    <m/>
    <m/>
    <n v="1"/>
    <m/>
    <n v="0"/>
    <n v="2"/>
    <n v="0"/>
    <n v="0"/>
    <m/>
    <m/>
    <m/>
    <n v="2"/>
    <m/>
    <n v="0"/>
    <n v="2"/>
    <n v="-1"/>
    <n v="0"/>
    <n v="0"/>
    <n v="0"/>
    <n v="0"/>
    <n v="1"/>
    <x v="0"/>
    <n v="0"/>
    <n v="1"/>
    <n v="0"/>
    <n v="0"/>
    <n v="0"/>
    <n v="0"/>
    <n v="0"/>
    <x v="0"/>
    <n v="0"/>
    <n v="0"/>
    <n v="0"/>
    <n v="0"/>
    <n v="0"/>
    <x v="3"/>
    <m/>
    <x v="0"/>
    <x v="0"/>
    <x v="0"/>
  </r>
  <r>
    <s v="16/3961/FUL"/>
    <x v="1"/>
    <x v="0"/>
    <s v="8 Barnes High Street_x000a_Barnes_x000a_London_x000a_SW13 9LW"/>
    <s v="Demolition of rear stock room and yard to create a 2 bedroom dwelling over 2 floors with one integral parking space at ground level."/>
    <d v="2019-01-14T00:00:00"/>
    <m/>
    <x v="1"/>
    <x v="0"/>
    <n v="521729"/>
    <n v="176400"/>
    <m/>
    <n v="0"/>
    <n v="0"/>
    <n v="0"/>
    <n v="0"/>
    <m/>
    <m/>
    <m/>
    <n v="0"/>
    <m/>
    <n v="0"/>
    <n v="1"/>
    <n v="0"/>
    <n v="0"/>
    <m/>
    <m/>
    <m/>
    <n v="1"/>
    <m/>
    <n v="0"/>
    <n v="1"/>
    <n v="0"/>
    <n v="0"/>
    <n v="0"/>
    <n v="0"/>
    <n v="0"/>
    <n v="1"/>
    <x v="0"/>
    <n v="0"/>
    <n v="1"/>
    <n v="0"/>
    <n v="0"/>
    <n v="0"/>
    <n v="0"/>
    <n v="0"/>
    <x v="0"/>
    <n v="0"/>
    <n v="0"/>
    <n v="0"/>
    <n v="0"/>
    <n v="0"/>
    <x v="11"/>
    <m/>
    <x v="4"/>
    <x v="0"/>
    <x v="0"/>
  </r>
  <r>
    <s v="16/4193/FUL"/>
    <x v="1"/>
    <x v="0"/>
    <s v="12 Broad Lane_x000a_Hampton_x000a_TW12 3AW"/>
    <s v="Demolition of existing two-storey house and erection of replacement two-storey new build house with accommodation in roof space, associated parking and landscaping."/>
    <m/>
    <m/>
    <x v="1"/>
    <x v="0"/>
    <n v="513706"/>
    <n v="170624"/>
    <m/>
    <n v="0"/>
    <n v="0"/>
    <n v="0"/>
    <n v="1"/>
    <m/>
    <m/>
    <m/>
    <n v="1"/>
    <m/>
    <n v="0"/>
    <n v="0"/>
    <n v="0"/>
    <n v="1"/>
    <m/>
    <m/>
    <m/>
    <n v="1"/>
    <m/>
    <n v="0"/>
    <n v="0"/>
    <n v="0"/>
    <n v="0"/>
    <n v="0"/>
    <n v="0"/>
    <n v="0"/>
    <n v="0"/>
    <x v="0"/>
    <n v="0"/>
    <n v="0"/>
    <n v="0"/>
    <n v="0"/>
    <n v="0"/>
    <n v="0"/>
    <n v="0"/>
    <x v="0"/>
    <n v="0"/>
    <n v="0"/>
    <n v="0"/>
    <n v="0"/>
    <n v="0"/>
    <x v="13"/>
    <m/>
    <x v="0"/>
    <x v="0"/>
    <x v="0"/>
  </r>
  <r>
    <s v="16/4405/FUL"/>
    <x v="1"/>
    <x v="0"/>
    <s v="46 Sixth Cross Road Twickenham TW2 5PB"/>
    <s v="Demolition of an existing 3 bedroom bungalow and erection of a new 4 bedroom two storey dwelling (including loft accommodation) with associated landscaping works)."/>
    <d v="2017-09-01T00:00:00"/>
    <m/>
    <x v="1"/>
    <x v="0"/>
    <n v="514468"/>
    <n v="172144"/>
    <m/>
    <n v="0"/>
    <n v="0"/>
    <n v="1"/>
    <n v="0"/>
    <m/>
    <m/>
    <m/>
    <n v="1"/>
    <m/>
    <n v="0"/>
    <n v="0"/>
    <n v="0"/>
    <n v="1"/>
    <m/>
    <m/>
    <m/>
    <n v="1"/>
    <m/>
    <n v="0"/>
    <n v="0"/>
    <n v="-1"/>
    <n v="1"/>
    <n v="0"/>
    <n v="0"/>
    <n v="0"/>
    <n v="0"/>
    <x v="0"/>
    <n v="0"/>
    <n v="0"/>
    <n v="0"/>
    <n v="0"/>
    <n v="0"/>
    <n v="0"/>
    <n v="0"/>
    <x v="0"/>
    <n v="0"/>
    <n v="0"/>
    <n v="0"/>
    <n v="0"/>
    <n v="0"/>
    <x v="1"/>
    <m/>
    <x v="0"/>
    <x v="0"/>
    <x v="0"/>
  </r>
  <r>
    <s v="17/0164/GPD15"/>
    <x v="3"/>
    <x v="0"/>
    <s v="Ground Floor_x000d_101 Holly Road_x000d_Twickenham_x000d_TW1 4HQ_x000d_"/>
    <s v="Change of use of ground floor office from B1(a) (Office) to C3 (residential) use to provide 1 no. 1 bed dwelling unit"/>
    <d v="2018-10-01T00:00:00"/>
    <d v="2019-04-24T00:00:00"/>
    <x v="1"/>
    <x v="0"/>
    <n v="516177"/>
    <n v="173221"/>
    <m/>
    <n v="0"/>
    <n v="0"/>
    <n v="0"/>
    <n v="0"/>
    <m/>
    <m/>
    <m/>
    <n v="0"/>
    <m/>
    <n v="1"/>
    <n v="0"/>
    <n v="0"/>
    <n v="0"/>
    <m/>
    <m/>
    <m/>
    <n v="1"/>
    <m/>
    <n v="1"/>
    <n v="0"/>
    <n v="0"/>
    <n v="0"/>
    <n v="0"/>
    <n v="0"/>
    <n v="0"/>
    <n v="1"/>
    <x v="0"/>
    <n v="0"/>
    <n v="1"/>
    <n v="0"/>
    <n v="0"/>
    <n v="0"/>
    <n v="0"/>
    <n v="0"/>
    <x v="0"/>
    <n v="0"/>
    <n v="0"/>
    <n v="0"/>
    <n v="0"/>
    <n v="0"/>
    <x v="4"/>
    <m/>
    <x v="0"/>
    <x v="1"/>
    <x v="0"/>
  </r>
  <r>
    <s v="17/0220/GPD15"/>
    <x v="3"/>
    <x v="1"/>
    <s v="5 King Edward Mews_x000a_Barnes_x000a_London_x000a_SW13 9HD"/>
    <s v="Change of use of ground floor office (use class B1(a)) to residential dwelling (use class C3)."/>
    <d v="2016-02-01T00:00:00"/>
    <m/>
    <x v="1"/>
    <x v="0"/>
    <n v="522197"/>
    <n v="176636"/>
    <m/>
    <n v="0"/>
    <n v="0"/>
    <n v="0"/>
    <n v="0"/>
    <m/>
    <m/>
    <m/>
    <n v="0"/>
    <m/>
    <n v="1"/>
    <n v="0"/>
    <n v="0"/>
    <n v="0"/>
    <m/>
    <m/>
    <m/>
    <n v="1"/>
    <m/>
    <n v="1"/>
    <n v="0"/>
    <n v="0"/>
    <n v="0"/>
    <n v="0"/>
    <n v="0"/>
    <n v="0"/>
    <n v="1"/>
    <x v="0"/>
    <n v="0"/>
    <n v="0"/>
    <n v="1"/>
    <n v="0"/>
    <n v="0"/>
    <n v="0"/>
    <n v="0"/>
    <x v="1"/>
    <n v="0"/>
    <n v="0"/>
    <n v="0"/>
    <n v="0"/>
    <n v="0"/>
    <x v="14"/>
    <m/>
    <x v="0"/>
    <x v="0"/>
    <x v="0"/>
  </r>
  <r>
    <s v="17/0396/FUL"/>
    <x v="1"/>
    <x v="0"/>
    <s v="Garage Site Craig Road Ham"/>
    <s v="Demolition of existing garages and creation of 3 x 1bed 2person flats and 1 x 2bed 3-person bungalow with associated parking and landscaping."/>
    <d v="2019-02-01T00:00:00"/>
    <m/>
    <x v="1"/>
    <x v="1"/>
    <n v="517438"/>
    <n v="171815"/>
    <m/>
    <n v="0"/>
    <n v="0"/>
    <n v="0"/>
    <n v="0"/>
    <m/>
    <m/>
    <m/>
    <n v="0"/>
    <m/>
    <n v="3"/>
    <n v="1"/>
    <n v="0"/>
    <n v="0"/>
    <m/>
    <m/>
    <m/>
    <n v="4"/>
    <m/>
    <n v="3"/>
    <n v="1"/>
    <n v="0"/>
    <n v="0"/>
    <n v="0"/>
    <n v="0"/>
    <n v="0"/>
    <n v="4"/>
    <x v="0"/>
    <n v="0"/>
    <n v="0"/>
    <n v="4"/>
    <n v="0"/>
    <n v="0"/>
    <n v="0"/>
    <n v="0"/>
    <x v="1"/>
    <n v="0"/>
    <n v="0"/>
    <n v="0"/>
    <n v="0"/>
    <n v="0"/>
    <x v="7"/>
    <m/>
    <x v="0"/>
    <x v="0"/>
    <x v="0"/>
  </r>
  <r>
    <s v="17/0605/FUL"/>
    <x v="2"/>
    <x v="0"/>
    <s v="114 Sheen Road Richmond TW9 1UR"/>
    <s v="Two-storey rear and basement extensions to provide additional retail and ancillary accommodation."/>
    <m/>
    <d v="2019-03-01T00:00:00"/>
    <x v="1"/>
    <x v="0"/>
    <n v="518536"/>
    <n v="175085"/>
    <m/>
    <n v="0"/>
    <n v="0"/>
    <n v="0"/>
    <n v="0"/>
    <m/>
    <m/>
    <m/>
    <n v="0"/>
    <m/>
    <n v="0"/>
    <n v="0"/>
    <n v="0"/>
    <n v="0"/>
    <m/>
    <m/>
    <m/>
    <n v="0"/>
    <m/>
    <n v="0"/>
    <n v="0"/>
    <n v="0"/>
    <n v="0"/>
    <n v="0"/>
    <n v="0"/>
    <n v="0"/>
    <n v="0"/>
    <x v="0"/>
    <n v="0"/>
    <n v="0"/>
    <n v="0"/>
    <n v="0"/>
    <n v="0"/>
    <n v="0"/>
    <n v="0"/>
    <x v="0"/>
    <n v="0"/>
    <n v="0"/>
    <n v="0"/>
    <n v="0"/>
    <n v="0"/>
    <x v="12"/>
    <m/>
    <x v="10"/>
    <x v="0"/>
    <x v="0"/>
  </r>
  <r>
    <s v="17/0956/FUL"/>
    <x v="1"/>
    <x v="0"/>
    <s v="Rear Of 74 Church Road Barnes SW13 0DQ"/>
    <s v="Proposed demolition of existing buildings and erection of residential-led mixed-use development and associated works."/>
    <d v="2019-01-15T00:00:00"/>
    <m/>
    <x v="1"/>
    <x v="0"/>
    <n v="522302"/>
    <n v="176537"/>
    <m/>
    <n v="0"/>
    <n v="0"/>
    <n v="0"/>
    <n v="0"/>
    <m/>
    <m/>
    <m/>
    <n v="0"/>
    <m/>
    <n v="2"/>
    <n v="4"/>
    <n v="0"/>
    <n v="0"/>
    <m/>
    <m/>
    <m/>
    <n v="6"/>
    <m/>
    <n v="2"/>
    <n v="4"/>
    <n v="0"/>
    <n v="0"/>
    <n v="0"/>
    <n v="0"/>
    <n v="0"/>
    <n v="6"/>
    <x v="0"/>
    <n v="0"/>
    <n v="0"/>
    <n v="6"/>
    <n v="0"/>
    <n v="0"/>
    <n v="0"/>
    <n v="0"/>
    <x v="1"/>
    <n v="0"/>
    <n v="0"/>
    <n v="0"/>
    <n v="0"/>
    <n v="0"/>
    <x v="14"/>
    <m/>
    <x v="3"/>
    <x v="0"/>
    <x v="0"/>
  </r>
  <r>
    <s v="17/1207/FUL"/>
    <x v="1"/>
    <x v="0"/>
    <s v="12 Princes Road_x000d_Kew_x000d_Richmond_x000d_TW9 3HP"/>
    <s v="Redevelopment comprising ground floor Change of Use from MOT garage (B2) to a Dental Surgery (D1) and Office (B1); and replacement (over) of 1 no. 2-bed flat with 3 no. 2-bed flats; and associated landscaping."/>
    <d v="2018-10-01T00:00:00"/>
    <m/>
    <x v="1"/>
    <x v="0"/>
    <n v="518953"/>
    <n v="176997"/>
    <m/>
    <n v="0"/>
    <n v="1"/>
    <n v="0"/>
    <n v="0"/>
    <m/>
    <m/>
    <m/>
    <n v="1"/>
    <m/>
    <n v="0"/>
    <n v="3"/>
    <n v="0"/>
    <n v="0"/>
    <m/>
    <m/>
    <m/>
    <n v="3"/>
    <m/>
    <n v="0"/>
    <n v="2"/>
    <n v="0"/>
    <n v="0"/>
    <n v="0"/>
    <n v="0"/>
    <n v="0"/>
    <n v="2"/>
    <x v="0"/>
    <n v="0"/>
    <n v="2"/>
    <n v="0"/>
    <n v="0"/>
    <n v="0"/>
    <n v="0"/>
    <n v="0"/>
    <x v="0"/>
    <n v="0"/>
    <n v="0"/>
    <n v="0"/>
    <n v="0"/>
    <n v="0"/>
    <x v="10"/>
    <m/>
    <x v="0"/>
    <x v="0"/>
    <x v="0"/>
  </r>
  <r>
    <s v="17/1286/VRC"/>
    <x v="1"/>
    <x v="0"/>
    <s v="Teddington Studios Broom Road Teddington"/>
    <s v="Variation of approved drawing nos attached to 14/0914/FUL to allow for the development of Block B as two blocks and an increase in the overall number of units from 220 to 238 and minor changes to the riverside walkway._x000d_To allow changes to the internal la"/>
    <d v="2017-10-05T00:00:00"/>
    <m/>
    <x v="1"/>
    <x v="0"/>
    <n v="516802"/>
    <n v="171333"/>
    <m/>
    <n v="0"/>
    <n v="0"/>
    <n v="0"/>
    <n v="0"/>
    <m/>
    <m/>
    <m/>
    <n v="0"/>
    <m/>
    <n v="23"/>
    <n v="65"/>
    <n v="52"/>
    <n v="6"/>
    <m/>
    <m/>
    <m/>
    <n v="146"/>
    <m/>
    <n v="23"/>
    <n v="65"/>
    <n v="52"/>
    <n v="6"/>
    <n v="0"/>
    <n v="0"/>
    <n v="0"/>
    <n v="146"/>
    <x v="0"/>
    <n v="0"/>
    <n v="0"/>
    <n v="73"/>
    <n v="73"/>
    <n v="0"/>
    <n v="0"/>
    <n v="0"/>
    <x v="1"/>
    <n v="0"/>
    <n v="0"/>
    <n v="0"/>
    <n v="0"/>
    <n v="0"/>
    <x v="2"/>
    <m/>
    <x v="0"/>
    <x v="0"/>
    <x v="1"/>
  </r>
  <r>
    <s v="17/1286/VRC"/>
    <x v="1"/>
    <x v="0"/>
    <s v="Teddington Studios Broom Road Teddington"/>
    <s v="Variation of approved drawing nos attached to 14/0914/FUL to allow for the development of Block B as two blocks and an increase in the overall number of units from 220 to 238 and minor changes to the riverside walkway._x000d_To allow changes to the internal la"/>
    <d v="2017-10-05T00:00:00"/>
    <m/>
    <x v="1"/>
    <x v="1"/>
    <n v="516802"/>
    <n v="171333"/>
    <m/>
    <n v="0"/>
    <n v="0"/>
    <n v="0"/>
    <n v="0"/>
    <m/>
    <m/>
    <m/>
    <n v="0"/>
    <m/>
    <n v="4"/>
    <n v="11"/>
    <n v="0"/>
    <n v="0"/>
    <m/>
    <m/>
    <m/>
    <n v="15"/>
    <m/>
    <n v="4"/>
    <n v="11"/>
    <n v="0"/>
    <n v="0"/>
    <n v="0"/>
    <n v="0"/>
    <n v="0"/>
    <n v="15"/>
    <x v="0"/>
    <n v="0"/>
    <n v="15"/>
    <n v="0"/>
    <n v="0"/>
    <n v="0"/>
    <n v="0"/>
    <n v="0"/>
    <x v="0"/>
    <n v="0"/>
    <n v="0"/>
    <n v="0"/>
    <n v="0"/>
    <n v="0"/>
    <x v="2"/>
    <m/>
    <x v="0"/>
    <x v="0"/>
    <x v="1"/>
  </r>
  <r>
    <s v="17/1534/FUL"/>
    <x v="3"/>
    <x v="0"/>
    <s v="The Bungalow Oldfield Centre Oldfield Road Hampton TW12 2HP"/>
    <s v="Temporary change of use from residential (use class C3) to a community centre (use class D2) (temporary use for 2 years)."/>
    <d v="2019-01-14T00:00:00"/>
    <m/>
    <x v="1"/>
    <x v="0"/>
    <n v="512735"/>
    <n v="169696"/>
    <m/>
    <n v="0"/>
    <n v="1"/>
    <n v="0"/>
    <n v="0"/>
    <m/>
    <m/>
    <m/>
    <n v="1"/>
    <m/>
    <n v="0"/>
    <n v="0"/>
    <n v="0"/>
    <n v="0"/>
    <m/>
    <m/>
    <m/>
    <n v="0"/>
    <m/>
    <n v="0"/>
    <n v="-1"/>
    <n v="0"/>
    <n v="0"/>
    <n v="0"/>
    <n v="0"/>
    <n v="0"/>
    <n v="-1"/>
    <x v="0"/>
    <n v="0"/>
    <n v="-1"/>
    <n v="0"/>
    <n v="0"/>
    <n v="0"/>
    <n v="0"/>
    <n v="0"/>
    <x v="0"/>
    <n v="0"/>
    <n v="0"/>
    <n v="0"/>
    <n v="0"/>
    <n v="0"/>
    <x v="8"/>
    <s v="Y"/>
    <x v="0"/>
    <x v="0"/>
    <x v="0"/>
  </r>
  <r>
    <s v="17/1996/FUL"/>
    <x v="1"/>
    <x v="0"/>
    <s v="49 Clifford Avenue East Sheen SW14 7BW"/>
    <s v="Demolition of existing outbuildings and construction of 2 No. detached dwellinghouses."/>
    <m/>
    <m/>
    <x v="1"/>
    <x v="0"/>
    <n v="519840"/>
    <n v="175428"/>
    <m/>
    <n v="0"/>
    <n v="0"/>
    <n v="0"/>
    <n v="0"/>
    <m/>
    <m/>
    <m/>
    <n v="0"/>
    <m/>
    <n v="0"/>
    <n v="0"/>
    <n v="0"/>
    <n v="2"/>
    <m/>
    <m/>
    <m/>
    <n v="2"/>
    <m/>
    <n v="0"/>
    <n v="0"/>
    <n v="0"/>
    <n v="2"/>
    <n v="0"/>
    <n v="0"/>
    <n v="0"/>
    <n v="2"/>
    <x v="0"/>
    <n v="0"/>
    <n v="2"/>
    <n v="0"/>
    <n v="0"/>
    <n v="0"/>
    <n v="0"/>
    <n v="0"/>
    <x v="0"/>
    <n v="0"/>
    <n v="0"/>
    <n v="0"/>
    <n v="0"/>
    <n v="0"/>
    <x v="16"/>
    <m/>
    <x v="0"/>
    <x v="0"/>
    <x v="0"/>
  </r>
  <r>
    <s v="17/2488/FUL"/>
    <x v="1"/>
    <x v="0"/>
    <s v="32 Fife Road East Sheen SW14 7EL"/>
    <s v="Replacement dwellinghouse with associated landscaping, boundary treatment and summer house."/>
    <d v="2018-12-01T00:00:00"/>
    <m/>
    <x v="1"/>
    <x v="0"/>
    <n v="520119"/>
    <n v="174521"/>
    <m/>
    <n v="0"/>
    <n v="0"/>
    <n v="0"/>
    <n v="0"/>
    <n v="1"/>
    <m/>
    <m/>
    <n v="1"/>
    <m/>
    <n v="0"/>
    <n v="0"/>
    <n v="0"/>
    <n v="0"/>
    <m/>
    <n v="1"/>
    <m/>
    <n v="1"/>
    <m/>
    <n v="0"/>
    <n v="0"/>
    <n v="0"/>
    <n v="0"/>
    <n v="-1"/>
    <n v="1"/>
    <n v="0"/>
    <n v="0"/>
    <x v="0"/>
    <n v="0"/>
    <n v="0"/>
    <n v="0"/>
    <n v="0"/>
    <n v="0"/>
    <n v="0"/>
    <n v="0"/>
    <x v="0"/>
    <n v="0"/>
    <n v="0"/>
    <n v="0"/>
    <n v="0"/>
    <n v="0"/>
    <x v="6"/>
    <m/>
    <x v="0"/>
    <x v="0"/>
    <x v="0"/>
  </r>
  <r>
    <s v="17/2534/FUL"/>
    <x v="0"/>
    <x v="0"/>
    <s v="1 Royston Road Richmond"/>
    <s v="Creation of a single storey rear and side extension and conversion of the two lower flats and upper maisonette into a single dwelling house"/>
    <d v="2019-03-01T00:00:00"/>
    <m/>
    <x v="1"/>
    <x v="0"/>
    <n v="518396"/>
    <n v="174632"/>
    <m/>
    <n v="2"/>
    <n v="1"/>
    <n v="0"/>
    <n v="0"/>
    <m/>
    <m/>
    <m/>
    <n v="3"/>
    <m/>
    <n v="0"/>
    <n v="0"/>
    <n v="0"/>
    <n v="0"/>
    <n v="1"/>
    <m/>
    <m/>
    <n v="1"/>
    <m/>
    <n v="-2"/>
    <n v="-1"/>
    <n v="0"/>
    <n v="0"/>
    <n v="1"/>
    <n v="0"/>
    <n v="0"/>
    <n v="-2"/>
    <x v="0"/>
    <n v="0"/>
    <n v="-2"/>
    <n v="0"/>
    <n v="0"/>
    <n v="0"/>
    <n v="0"/>
    <n v="0"/>
    <x v="0"/>
    <n v="0"/>
    <n v="0"/>
    <n v="0"/>
    <n v="0"/>
    <n v="0"/>
    <x v="12"/>
    <m/>
    <x v="0"/>
    <x v="0"/>
    <x v="0"/>
  </r>
  <r>
    <s v="17/2769/FUL"/>
    <x v="1"/>
    <x v="0"/>
    <s v="54 Sandy Lane_x000a_Petersham_x000a_Richmond_x000a_TW10 7EL"/>
    <s v="Demolition of existing detached dwelling and construction of a new 2 storey, 5 bedroom dwelling."/>
    <d v="2018-11-30T00:00:00"/>
    <m/>
    <x v="1"/>
    <x v="0"/>
    <n v="517655"/>
    <n v="172610"/>
    <m/>
    <n v="0"/>
    <n v="0"/>
    <n v="1"/>
    <n v="0"/>
    <m/>
    <m/>
    <m/>
    <n v="1"/>
    <m/>
    <n v="0"/>
    <n v="0"/>
    <n v="0"/>
    <n v="0"/>
    <n v="1"/>
    <m/>
    <m/>
    <n v="1"/>
    <m/>
    <n v="0"/>
    <n v="0"/>
    <n v="-1"/>
    <n v="0"/>
    <n v="1"/>
    <n v="0"/>
    <n v="0"/>
    <n v="0"/>
    <x v="0"/>
    <n v="0"/>
    <n v="0"/>
    <n v="0"/>
    <n v="0"/>
    <n v="0"/>
    <n v="0"/>
    <n v="0"/>
    <x v="0"/>
    <n v="0"/>
    <n v="0"/>
    <n v="0"/>
    <n v="0"/>
    <n v="0"/>
    <x v="7"/>
    <m/>
    <x v="0"/>
    <x v="0"/>
    <x v="0"/>
  </r>
  <r>
    <s v="17/2779/NMA"/>
    <x v="1"/>
    <x v="0"/>
    <s v="HMP Latchmere House Church Road Ham TW10 5HH"/>
    <s v="Non Material Amendment to Planning Permission 17/2779/VRC  (Removal of condition U05665 - NS09 (Formally condition 9 - Lifetime Homes Standards) of Planning Permission 16/0523/VRC) Amendments to include internal amendments to revise housing mix in Latchm"/>
    <d v="2016-05-02T00:00:00"/>
    <m/>
    <x v="1"/>
    <x v="0"/>
    <n v="518534"/>
    <n v="171320"/>
    <m/>
    <n v="0"/>
    <n v="0"/>
    <n v="0"/>
    <n v="0"/>
    <m/>
    <m/>
    <m/>
    <n v="0"/>
    <m/>
    <n v="1"/>
    <n v="4"/>
    <n v="2"/>
    <n v="6"/>
    <n v="4"/>
    <m/>
    <m/>
    <n v="17"/>
    <m/>
    <n v="1"/>
    <n v="4"/>
    <n v="2"/>
    <n v="6"/>
    <n v="4"/>
    <n v="0"/>
    <n v="0"/>
    <n v="17"/>
    <x v="0"/>
    <n v="0"/>
    <n v="0"/>
    <n v="17"/>
    <n v="0"/>
    <n v="0"/>
    <n v="0"/>
    <n v="0"/>
    <x v="1"/>
    <n v="0"/>
    <n v="0"/>
    <n v="0"/>
    <n v="0"/>
    <n v="0"/>
    <x v="7"/>
    <m/>
    <x v="0"/>
    <x v="0"/>
    <x v="0"/>
  </r>
  <r>
    <s v="17/2939/FUL"/>
    <x v="3"/>
    <x v="0"/>
    <s v="54 White Hart Lane_x000a_Barnes_x000a_London_x000a_SW13 0PZ"/>
    <s v="Part conversion of rear shop unit and single storey side/rear extension to form a studio flat."/>
    <d v="2018-09-04T00:00:00"/>
    <m/>
    <x v="1"/>
    <x v="0"/>
    <n v="521310"/>
    <n v="175864"/>
    <m/>
    <n v="0"/>
    <n v="0"/>
    <n v="0"/>
    <n v="0"/>
    <m/>
    <m/>
    <m/>
    <n v="0"/>
    <n v="1"/>
    <n v="0"/>
    <n v="0"/>
    <n v="0"/>
    <n v="0"/>
    <m/>
    <m/>
    <m/>
    <n v="1"/>
    <n v="1"/>
    <n v="0"/>
    <n v="0"/>
    <n v="0"/>
    <n v="0"/>
    <n v="0"/>
    <n v="0"/>
    <n v="0"/>
    <n v="1"/>
    <x v="0"/>
    <n v="0"/>
    <n v="1"/>
    <n v="0"/>
    <n v="0"/>
    <n v="0"/>
    <n v="0"/>
    <n v="0"/>
    <x v="0"/>
    <n v="0"/>
    <n v="0"/>
    <n v="0"/>
    <n v="0"/>
    <n v="0"/>
    <x v="11"/>
    <m/>
    <x v="9"/>
    <x v="0"/>
    <x v="0"/>
  </r>
  <r>
    <s v="17/2995/FUL"/>
    <x v="3"/>
    <x v="0"/>
    <s v="24 Larkfield Road Richmond"/>
    <s v="Change of use from a House in Multiple Occupation (Use Class C4) to create three self-contained flats (Use Class C3).  Installation of rear conservation rooflight, side ground floor window and replacement windows."/>
    <d v="2019-01-31T00:00:00"/>
    <m/>
    <x v="1"/>
    <x v="0"/>
    <n v="518267"/>
    <n v="175282"/>
    <m/>
    <n v="1"/>
    <n v="0"/>
    <n v="0"/>
    <n v="0"/>
    <n v="1"/>
    <m/>
    <m/>
    <n v="2"/>
    <m/>
    <n v="1"/>
    <n v="2"/>
    <n v="0"/>
    <n v="0"/>
    <m/>
    <m/>
    <m/>
    <n v="3"/>
    <m/>
    <n v="0"/>
    <n v="2"/>
    <n v="0"/>
    <n v="0"/>
    <n v="-1"/>
    <n v="0"/>
    <n v="0"/>
    <n v="1"/>
    <x v="0"/>
    <n v="0"/>
    <n v="1"/>
    <n v="0"/>
    <n v="0"/>
    <n v="0"/>
    <n v="0"/>
    <n v="0"/>
    <x v="0"/>
    <n v="0"/>
    <n v="0"/>
    <n v="0"/>
    <n v="0"/>
    <n v="0"/>
    <x v="16"/>
    <m/>
    <x v="0"/>
    <x v="0"/>
    <x v="0"/>
  </r>
  <r>
    <s v="17/3132/FUL"/>
    <x v="1"/>
    <x v="0"/>
    <s v="22 Vivienne Close Twickenham TW1 2JX"/>
    <s v="Demolition of existing garage and construction of a two-storey, 3-bedroom house, with accommodation in the roof space. Formation of new vehicular access and 1 off-street parking space in front on no.22."/>
    <d v="2019-02-05T00:00:00"/>
    <m/>
    <x v="1"/>
    <x v="0"/>
    <n v="517531"/>
    <n v="174067"/>
    <m/>
    <n v="0"/>
    <n v="0"/>
    <n v="0"/>
    <n v="0"/>
    <m/>
    <m/>
    <m/>
    <n v="0"/>
    <m/>
    <n v="0"/>
    <n v="0"/>
    <n v="1"/>
    <n v="0"/>
    <m/>
    <m/>
    <m/>
    <n v="1"/>
    <m/>
    <n v="0"/>
    <n v="0"/>
    <n v="1"/>
    <n v="0"/>
    <n v="0"/>
    <n v="0"/>
    <n v="0"/>
    <n v="1"/>
    <x v="0"/>
    <n v="0"/>
    <n v="1"/>
    <n v="0"/>
    <n v="0"/>
    <n v="0"/>
    <n v="0"/>
    <n v="0"/>
    <x v="0"/>
    <n v="0"/>
    <n v="0"/>
    <n v="0"/>
    <n v="0"/>
    <n v="0"/>
    <x v="4"/>
    <m/>
    <x v="0"/>
    <x v="0"/>
    <x v="0"/>
  </r>
  <r>
    <s v="17/3347/FUL"/>
    <x v="1"/>
    <x v="0"/>
    <s v="12 Westfields Avenue_x000a_Barnes_x000a_London_x000a_SW13 0AU"/>
    <s v="Erection of a pair of four-bedroom semi-detached dwellings together with landscaping, following demolition of existing hall building (use class D2)."/>
    <d v="2018-11-01T00:00:00"/>
    <m/>
    <x v="1"/>
    <x v="0"/>
    <n v="521397"/>
    <n v="175828"/>
    <m/>
    <n v="0"/>
    <n v="0"/>
    <n v="0"/>
    <n v="0"/>
    <m/>
    <m/>
    <m/>
    <n v="0"/>
    <m/>
    <n v="0"/>
    <n v="0"/>
    <n v="0"/>
    <n v="2"/>
    <m/>
    <m/>
    <m/>
    <n v="2"/>
    <m/>
    <n v="0"/>
    <n v="0"/>
    <n v="0"/>
    <n v="2"/>
    <n v="0"/>
    <n v="0"/>
    <n v="0"/>
    <n v="2"/>
    <x v="0"/>
    <n v="0"/>
    <n v="0"/>
    <n v="2"/>
    <n v="0"/>
    <n v="0"/>
    <n v="0"/>
    <n v="0"/>
    <x v="1"/>
    <n v="0"/>
    <n v="0"/>
    <n v="0"/>
    <n v="0"/>
    <n v="0"/>
    <x v="11"/>
    <m/>
    <x v="0"/>
    <x v="0"/>
    <x v="0"/>
  </r>
  <r>
    <s v="17/4238/FUL"/>
    <x v="1"/>
    <x v="0"/>
    <s v="105 Queens Road_x000a_Teddington_x000a_TW11 0LZ"/>
    <s v="Demolition of the existing bungalow and construction of a new 6 bedroom detached house, to include external hard and soft landscaping to the front and rear, to be used as a children's home."/>
    <d v="2019-02-13T00:00:00"/>
    <m/>
    <x v="1"/>
    <x v="3"/>
    <n v="515649"/>
    <n v="170638"/>
    <m/>
    <n v="0"/>
    <n v="0"/>
    <n v="1"/>
    <n v="0"/>
    <m/>
    <m/>
    <m/>
    <n v="1"/>
    <m/>
    <n v="0"/>
    <n v="0"/>
    <n v="0"/>
    <n v="0"/>
    <m/>
    <n v="1"/>
    <m/>
    <n v="1"/>
    <m/>
    <n v="0"/>
    <n v="0"/>
    <n v="-1"/>
    <n v="0"/>
    <n v="0"/>
    <n v="1"/>
    <n v="0"/>
    <n v="0"/>
    <x v="0"/>
    <n v="0"/>
    <n v="0"/>
    <n v="0"/>
    <n v="0"/>
    <n v="0"/>
    <n v="0"/>
    <n v="0"/>
    <x v="0"/>
    <n v="0"/>
    <n v="0"/>
    <n v="0"/>
    <n v="0"/>
    <n v="0"/>
    <x v="2"/>
    <m/>
    <x v="0"/>
    <x v="0"/>
    <x v="0"/>
  </r>
  <r>
    <s v="17/4268/FUL"/>
    <x v="1"/>
    <x v="0"/>
    <s v="41 Lonsdale Road Barnes"/>
    <s v="Demolition of existing garages and construction of a new part subterranean split level part two storey dwelling house, new landscaping to surrounding amenity space."/>
    <d v="2019-03-01T00:00:00"/>
    <m/>
    <x v="1"/>
    <x v="0"/>
    <n v="522397"/>
    <n v="177790"/>
    <m/>
    <n v="0"/>
    <n v="0"/>
    <n v="0"/>
    <n v="0"/>
    <m/>
    <m/>
    <m/>
    <n v="0"/>
    <m/>
    <n v="0"/>
    <n v="0"/>
    <n v="1"/>
    <n v="0"/>
    <m/>
    <m/>
    <m/>
    <n v="1"/>
    <m/>
    <n v="0"/>
    <n v="0"/>
    <n v="1"/>
    <n v="0"/>
    <n v="0"/>
    <n v="0"/>
    <n v="0"/>
    <n v="1"/>
    <x v="0"/>
    <n v="0"/>
    <n v="1"/>
    <n v="0"/>
    <n v="0"/>
    <n v="0"/>
    <n v="0"/>
    <n v="0"/>
    <x v="0"/>
    <n v="0"/>
    <n v="0"/>
    <n v="0"/>
    <n v="0"/>
    <n v="0"/>
    <x v="14"/>
    <m/>
    <x v="0"/>
    <x v="0"/>
    <x v="0"/>
  </r>
  <r>
    <s v="17/4517/VRC"/>
    <x v="1"/>
    <x v="0"/>
    <s v="66 Derby Road East Sheen SW14 7DP"/>
    <s v="Variation of condition U30401 (Approved drawings) of planning permission 17/2624/FUL (Demolition of the existing four bedroom house and erection of two semi-detached, four bedroom townhouses incorporating basements) to allow for internal alterations to l"/>
    <d v="2019-03-01T00:00:00"/>
    <m/>
    <x v="1"/>
    <x v="0"/>
    <n v="519786"/>
    <n v="175060"/>
    <m/>
    <n v="0"/>
    <n v="0"/>
    <n v="0"/>
    <n v="1"/>
    <m/>
    <m/>
    <m/>
    <n v="1"/>
    <m/>
    <n v="0"/>
    <n v="0"/>
    <n v="0"/>
    <n v="0"/>
    <n v="2"/>
    <m/>
    <m/>
    <n v="2"/>
    <m/>
    <n v="0"/>
    <n v="0"/>
    <n v="0"/>
    <n v="-1"/>
    <n v="2"/>
    <n v="0"/>
    <n v="0"/>
    <n v="1"/>
    <x v="0"/>
    <n v="0"/>
    <n v="1"/>
    <n v="0"/>
    <n v="0"/>
    <n v="0"/>
    <n v="0"/>
    <n v="0"/>
    <x v="0"/>
    <n v="0"/>
    <n v="0"/>
    <n v="0"/>
    <n v="0"/>
    <n v="0"/>
    <x v="6"/>
    <m/>
    <x v="0"/>
    <x v="0"/>
    <x v="0"/>
  </r>
  <r>
    <s v="17/4606/FUL"/>
    <x v="1"/>
    <x v="0"/>
    <s v="1 Upper Ham Road Ham TW10 5LD"/>
    <s v="Construction of 2No. 3 bed dwellinghouses (including basement accommodation) with rear plot boundary alteration."/>
    <d v="2018-03-01T00:00:00"/>
    <m/>
    <x v="1"/>
    <x v="0"/>
    <n v="517784"/>
    <n v="171703"/>
    <m/>
    <n v="0"/>
    <n v="0"/>
    <n v="1"/>
    <n v="0"/>
    <m/>
    <m/>
    <m/>
    <n v="1"/>
    <m/>
    <n v="0"/>
    <n v="0"/>
    <n v="2"/>
    <n v="0"/>
    <m/>
    <m/>
    <m/>
    <n v="2"/>
    <m/>
    <n v="0"/>
    <n v="0"/>
    <n v="1"/>
    <n v="0"/>
    <n v="0"/>
    <n v="0"/>
    <n v="0"/>
    <n v="1"/>
    <x v="0"/>
    <n v="0"/>
    <n v="1"/>
    <n v="0"/>
    <n v="0"/>
    <n v="0"/>
    <n v="0"/>
    <n v="0"/>
    <x v="0"/>
    <n v="0"/>
    <n v="0"/>
    <n v="0"/>
    <n v="0"/>
    <n v="0"/>
    <x v="7"/>
    <m/>
    <x v="0"/>
    <x v="0"/>
    <x v="0"/>
  </r>
  <r>
    <s v="18/0282/FUL"/>
    <x v="1"/>
    <x v="0"/>
    <s v="Upton House 19 - 20 Queens Ride Barnes SW13 0HX"/>
    <s v="Demolition of the existing 2 storey residential building and single storey garages and erection of a pair of semi-detached, 3 storey (plus basement) 4 bedroom dwellings with associated private gardens and off street parking.  Creation of a new crossover"/>
    <d v="2019-03-01T00:00:00"/>
    <m/>
    <x v="1"/>
    <x v="0"/>
    <n v="522357"/>
    <n v="175528"/>
    <m/>
    <n v="0"/>
    <n v="0"/>
    <n v="2"/>
    <n v="0"/>
    <m/>
    <m/>
    <m/>
    <n v="2"/>
    <m/>
    <n v="0"/>
    <n v="0"/>
    <n v="0"/>
    <n v="2"/>
    <m/>
    <m/>
    <m/>
    <n v="2"/>
    <m/>
    <n v="0"/>
    <n v="0"/>
    <n v="-2"/>
    <n v="2"/>
    <n v="0"/>
    <n v="0"/>
    <n v="0"/>
    <n v="0"/>
    <x v="0"/>
    <n v="0"/>
    <n v="0"/>
    <n v="0"/>
    <n v="0"/>
    <n v="0"/>
    <n v="0"/>
    <n v="0"/>
    <x v="0"/>
    <n v="0"/>
    <n v="0"/>
    <n v="0"/>
    <n v="0"/>
    <n v="0"/>
    <x v="11"/>
    <m/>
    <x v="0"/>
    <x v="0"/>
    <x v="0"/>
  </r>
  <r>
    <s v="18/0318/FUL"/>
    <x v="0"/>
    <x v="0"/>
    <s v="Maisonette 35 Staines Road Twickenham TW2 5BG"/>
    <s v="Change of use of existing basement area to residential (C3); part single; part two-storey rear extension (following demolition of existing rear extensions/outrigger); hip to gable and rear dormer roof extension; two rooflights to the front roofslope; dec"/>
    <m/>
    <m/>
    <x v="1"/>
    <x v="0"/>
    <n v="514998"/>
    <n v="172958"/>
    <m/>
    <n v="0"/>
    <n v="1"/>
    <n v="0"/>
    <n v="0"/>
    <m/>
    <m/>
    <m/>
    <n v="1"/>
    <m/>
    <n v="0"/>
    <n v="1"/>
    <n v="0"/>
    <n v="0"/>
    <m/>
    <m/>
    <m/>
    <n v="1"/>
    <m/>
    <n v="0"/>
    <n v="0"/>
    <n v="0"/>
    <n v="0"/>
    <n v="0"/>
    <n v="0"/>
    <n v="0"/>
    <n v="0"/>
    <x v="0"/>
    <n v="0"/>
    <n v="0"/>
    <n v="0"/>
    <n v="0"/>
    <n v="0"/>
    <n v="0"/>
    <n v="0"/>
    <x v="0"/>
    <n v="0"/>
    <n v="0"/>
    <n v="0"/>
    <n v="0"/>
    <n v="0"/>
    <x v="1"/>
    <m/>
    <x v="0"/>
    <x v="0"/>
    <x v="0"/>
  </r>
  <r>
    <s v="18/0449/FUL"/>
    <x v="0"/>
    <x v="0"/>
    <s v="1 North Cottage Hampton Court Road Hampton KT8 9BZ"/>
    <s v="Replacement window on first floor front elevation to facilitate the conversion of existing 2 bed maisonette into 2 x 1bedroom flats."/>
    <d v="2018-11-01T00:00:00"/>
    <m/>
    <x v="1"/>
    <x v="0"/>
    <n v="515991"/>
    <n v="168830"/>
    <m/>
    <n v="0"/>
    <n v="1"/>
    <n v="0"/>
    <n v="0"/>
    <m/>
    <m/>
    <m/>
    <n v="1"/>
    <m/>
    <n v="2"/>
    <n v="0"/>
    <n v="0"/>
    <n v="0"/>
    <m/>
    <m/>
    <m/>
    <n v="2"/>
    <m/>
    <n v="2"/>
    <n v="-1"/>
    <n v="0"/>
    <n v="0"/>
    <n v="0"/>
    <n v="0"/>
    <n v="0"/>
    <n v="1"/>
    <x v="0"/>
    <n v="0"/>
    <n v="1"/>
    <n v="0"/>
    <n v="0"/>
    <n v="0"/>
    <n v="0"/>
    <n v="0"/>
    <x v="0"/>
    <n v="0"/>
    <n v="0"/>
    <n v="0"/>
    <n v="0"/>
    <n v="0"/>
    <x v="8"/>
    <m/>
    <x v="0"/>
    <x v="0"/>
    <x v="0"/>
  </r>
  <r>
    <s v="18/0665/FUL"/>
    <x v="1"/>
    <x v="0"/>
    <s v="243 Stanley Road Twickenham TW2 5NL"/>
    <s v="Demolition of an existing detached bungalow, garage and outbuildings and the erection of 2No. semi-detached 3 bedroom houses with associated parking, cycle and refuse store and hard and soft landscaping. The removal of recessed entrance gates and erectio"/>
    <d v="2018-04-09T00:00:00"/>
    <m/>
    <x v="1"/>
    <x v="0"/>
    <n v="514859"/>
    <n v="172254"/>
    <m/>
    <n v="0"/>
    <n v="0"/>
    <n v="1"/>
    <n v="0"/>
    <m/>
    <m/>
    <m/>
    <n v="1"/>
    <m/>
    <n v="0"/>
    <n v="0"/>
    <n v="2"/>
    <n v="0"/>
    <m/>
    <m/>
    <m/>
    <n v="2"/>
    <m/>
    <n v="0"/>
    <n v="0"/>
    <n v="1"/>
    <n v="0"/>
    <n v="0"/>
    <n v="0"/>
    <n v="0"/>
    <n v="1"/>
    <x v="0"/>
    <n v="0"/>
    <n v="1"/>
    <n v="0"/>
    <n v="0"/>
    <n v="0"/>
    <n v="0"/>
    <n v="0"/>
    <x v="0"/>
    <n v="0"/>
    <n v="0"/>
    <n v="0"/>
    <n v="0"/>
    <n v="0"/>
    <x v="17"/>
    <m/>
    <x v="0"/>
    <x v="0"/>
    <x v="0"/>
  </r>
  <r>
    <s v="18/0737/FUL"/>
    <x v="3"/>
    <x v="0"/>
    <s v="70 White Hart Lane_x000a_Barnes_x000a_London_x000a_SW13 0PZ"/>
    <s v="Change of use of rear part of ground floor from retail use (Class A1) to residential use (Class C3) to create a 1No. one-bedroom dwelling with basement accommodation excavated."/>
    <m/>
    <m/>
    <x v="1"/>
    <x v="0"/>
    <n v="521322"/>
    <n v="175815"/>
    <m/>
    <n v="0"/>
    <n v="0"/>
    <n v="0"/>
    <n v="0"/>
    <m/>
    <m/>
    <m/>
    <n v="0"/>
    <n v="1"/>
    <n v="0"/>
    <n v="0"/>
    <n v="0"/>
    <n v="0"/>
    <m/>
    <m/>
    <m/>
    <n v="1"/>
    <m/>
    <n v="0"/>
    <n v="0"/>
    <n v="0"/>
    <n v="0"/>
    <n v="0"/>
    <n v="0"/>
    <n v="0"/>
    <n v="1"/>
    <x v="0"/>
    <n v="0"/>
    <n v="1"/>
    <n v="0"/>
    <n v="0"/>
    <n v="0"/>
    <n v="0"/>
    <n v="0"/>
    <x v="0"/>
    <n v="0"/>
    <n v="0"/>
    <n v="0"/>
    <n v="0"/>
    <n v="0"/>
    <x v="11"/>
    <m/>
    <x v="9"/>
    <x v="0"/>
    <x v="0"/>
  </r>
  <r>
    <s v="18/0743/FUL"/>
    <x v="1"/>
    <x v="0"/>
    <s v="4 Sixth Cross Road Twickenham TW2 5PB"/>
    <s v="Demolition of the existing garage and concrete slabs and erection of 1 no. single storey two bedroom dwelling with green roof to the rear of 4 Sixth Cross Road. Demolition of existing garage to the rear of number 8 Sixth Cross Road to facilitate provisio"/>
    <m/>
    <d v="2019-05-28T00:00:00"/>
    <x v="1"/>
    <x v="0"/>
    <n v="514675"/>
    <n v="172117"/>
    <m/>
    <n v="0"/>
    <n v="0"/>
    <n v="0"/>
    <n v="0"/>
    <m/>
    <m/>
    <m/>
    <n v="0"/>
    <m/>
    <n v="0"/>
    <n v="1"/>
    <n v="0"/>
    <n v="0"/>
    <m/>
    <m/>
    <m/>
    <n v="1"/>
    <m/>
    <n v="0"/>
    <n v="1"/>
    <n v="0"/>
    <n v="0"/>
    <n v="0"/>
    <n v="0"/>
    <n v="0"/>
    <n v="1"/>
    <x v="0"/>
    <n v="0"/>
    <n v="1"/>
    <n v="0"/>
    <n v="0"/>
    <n v="0"/>
    <n v="0"/>
    <n v="0"/>
    <x v="0"/>
    <n v="0"/>
    <n v="0"/>
    <n v="0"/>
    <n v="0"/>
    <n v="0"/>
    <x v="1"/>
    <m/>
    <x v="0"/>
    <x v="0"/>
    <x v="0"/>
  </r>
  <r>
    <s v="18/0745/FUL"/>
    <x v="0"/>
    <x v="0"/>
    <s v="149 High Street Teddington TW11 8HH"/>
    <s v="Part two-storey rear extension including Juliet balcony at ground floor level rear elevation; part lower ground floor side and rear extension to allow for the conversion of the existing dwellinghouse into 2x2 bed (1X 2B4P and 1x 2B3P flats); retention of"/>
    <d v="2018-10-01T00:00:00"/>
    <m/>
    <x v="1"/>
    <x v="0"/>
    <n v="516418"/>
    <n v="171190"/>
    <m/>
    <n v="0"/>
    <n v="0"/>
    <n v="0"/>
    <n v="0"/>
    <n v="1"/>
    <m/>
    <m/>
    <n v="1"/>
    <m/>
    <n v="0"/>
    <n v="2"/>
    <n v="0"/>
    <n v="0"/>
    <m/>
    <m/>
    <m/>
    <n v="2"/>
    <m/>
    <n v="0"/>
    <n v="2"/>
    <n v="0"/>
    <n v="0"/>
    <n v="-1"/>
    <n v="0"/>
    <n v="0"/>
    <n v="1"/>
    <x v="0"/>
    <n v="0"/>
    <n v="1"/>
    <n v="0"/>
    <n v="0"/>
    <n v="0"/>
    <n v="0"/>
    <n v="0"/>
    <x v="0"/>
    <n v="0"/>
    <n v="0"/>
    <n v="0"/>
    <n v="0"/>
    <n v="0"/>
    <x v="2"/>
    <m/>
    <x v="0"/>
    <x v="0"/>
    <x v="0"/>
  </r>
  <r>
    <s v="18/0771/FUL"/>
    <x v="1"/>
    <x v="0"/>
    <s v="Land Adjacent To 94 Pigeon Lane Hampton TW12 1AF"/>
    <s v="Erection of a 1B2P bungalow with associated hard and soft landscaping and cycle and refuse store.  Creation of dropped kerb to faclitate provision of 1 no. parking space."/>
    <d v="2018-12-01T00:00:00"/>
    <m/>
    <x v="1"/>
    <x v="0"/>
    <n v="513452"/>
    <n v="171614"/>
    <m/>
    <n v="0"/>
    <n v="0"/>
    <n v="0"/>
    <n v="0"/>
    <m/>
    <m/>
    <m/>
    <n v="0"/>
    <m/>
    <n v="1"/>
    <n v="0"/>
    <n v="0"/>
    <n v="0"/>
    <m/>
    <m/>
    <m/>
    <n v="1"/>
    <m/>
    <n v="1"/>
    <n v="0"/>
    <n v="0"/>
    <n v="0"/>
    <n v="0"/>
    <n v="0"/>
    <n v="0"/>
    <n v="1"/>
    <x v="0"/>
    <n v="0"/>
    <n v="0"/>
    <n v="1"/>
    <n v="0"/>
    <n v="0"/>
    <n v="0"/>
    <n v="0"/>
    <x v="1"/>
    <n v="0"/>
    <n v="0"/>
    <n v="0"/>
    <n v="0"/>
    <n v="0"/>
    <x v="13"/>
    <m/>
    <x v="0"/>
    <x v="0"/>
    <x v="0"/>
  </r>
  <r>
    <s v="18/0860/GPD15"/>
    <x v="3"/>
    <x v="1"/>
    <s v="2 Elmfield Avenue_x000a_Teddington_x000a_TW11 8BS"/>
    <s v="Change of use from B1(c) to C3 to provide seven new self-contained studio residential dwellings."/>
    <m/>
    <d v="2019-06-14T00:00:00"/>
    <x v="1"/>
    <x v="0"/>
    <n v="516011"/>
    <n v="171165"/>
    <m/>
    <n v="0"/>
    <n v="0"/>
    <n v="0"/>
    <n v="0"/>
    <m/>
    <m/>
    <m/>
    <n v="0"/>
    <n v="7"/>
    <n v="0"/>
    <n v="0"/>
    <n v="0"/>
    <n v="0"/>
    <m/>
    <m/>
    <m/>
    <n v="7"/>
    <n v="7"/>
    <n v="0"/>
    <n v="0"/>
    <n v="0"/>
    <n v="0"/>
    <n v="0"/>
    <n v="0"/>
    <n v="0"/>
    <n v="7"/>
    <x v="0"/>
    <n v="0"/>
    <n v="7"/>
    <n v="0"/>
    <n v="0"/>
    <n v="0"/>
    <n v="0"/>
    <n v="0"/>
    <x v="0"/>
    <n v="0"/>
    <n v="0"/>
    <n v="0"/>
    <n v="0"/>
    <n v="0"/>
    <x v="2"/>
    <m/>
    <x v="0"/>
    <x v="4"/>
    <x v="0"/>
  </r>
  <r>
    <s v="18/0896/FUL"/>
    <x v="3"/>
    <x v="0"/>
    <s v="1 - 2 Archer Mews Hampton Hill"/>
    <s v="Construction of additional storey, two storey front extension, replacement windows and doors on all elevations and alterations to external materials on elevations to facilitate the change of use of building and 6 no. parking spaces from offices (Class B1"/>
    <d v="2019-02-01T00:00:00"/>
    <m/>
    <x v="1"/>
    <x v="0"/>
    <n v="514280"/>
    <n v="170996"/>
    <m/>
    <n v="0"/>
    <n v="0"/>
    <n v="0"/>
    <n v="0"/>
    <m/>
    <m/>
    <m/>
    <n v="0"/>
    <m/>
    <n v="4"/>
    <n v="2"/>
    <n v="0"/>
    <n v="0"/>
    <m/>
    <m/>
    <m/>
    <n v="6"/>
    <m/>
    <n v="4"/>
    <n v="2"/>
    <n v="0"/>
    <n v="0"/>
    <n v="0"/>
    <n v="0"/>
    <n v="0"/>
    <n v="6"/>
    <x v="0"/>
    <n v="0"/>
    <n v="3"/>
    <n v="3"/>
    <n v="0"/>
    <n v="0"/>
    <n v="0"/>
    <n v="0"/>
    <x v="1"/>
    <n v="0"/>
    <n v="0"/>
    <n v="0"/>
    <n v="0"/>
    <n v="0"/>
    <x v="5"/>
    <m/>
    <x v="4"/>
    <x v="0"/>
    <x v="0"/>
  </r>
  <r>
    <s v="18/0929/FUL"/>
    <x v="4"/>
    <x v="0"/>
    <s v="195 High Street Hampton Hill TW12 1NL"/>
    <s v="Replacement shopfront and new entrance door.  New doors/windows to the side and rear elevation of the existing rear extension.   Change of use of the front part of ground floor level from restaurant (Class A3) to retail (Class A1).  First floor rear exte"/>
    <d v="2018-10-01T00:00:00"/>
    <m/>
    <x v="1"/>
    <x v="0"/>
    <n v="514485"/>
    <n v="171271"/>
    <m/>
    <n v="3"/>
    <n v="0"/>
    <n v="0"/>
    <n v="0"/>
    <m/>
    <m/>
    <m/>
    <n v="3"/>
    <m/>
    <n v="0"/>
    <n v="3"/>
    <n v="0"/>
    <n v="0"/>
    <m/>
    <m/>
    <m/>
    <n v="3"/>
    <m/>
    <n v="-3"/>
    <n v="3"/>
    <n v="0"/>
    <n v="0"/>
    <n v="0"/>
    <n v="0"/>
    <n v="0"/>
    <n v="0"/>
    <x v="0"/>
    <n v="0"/>
    <n v="0"/>
    <n v="0"/>
    <n v="0"/>
    <n v="0"/>
    <n v="0"/>
    <n v="0"/>
    <x v="0"/>
    <n v="0"/>
    <n v="0"/>
    <n v="0"/>
    <n v="0"/>
    <n v="0"/>
    <x v="5"/>
    <m/>
    <x v="4"/>
    <x v="0"/>
    <x v="0"/>
  </r>
  <r>
    <s v="18/1175/FUL"/>
    <x v="2"/>
    <x v="0"/>
    <s v="17 - 20 Tersha Street_x000a_Richmond"/>
    <s v="Construction of 3 front roof dormer windows to facilitate the creation of a new two-bedroom flat in the roof space, including the alteration to the layout of flat 19 (resulting in a decrease in size) to provide access."/>
    <m/>
    <d v="2019-07-01T00:00:00"/>
    <x v="1"/>
    <x v="0"/>
    <n v="518588"/>
    <n v="175372"/>
    <m/>
    <n v="0"/>
    <n v="0"/>
    <n v="0"/>
    <n v="0"/>
    <m/>
    <m/>
    <m/>
    <n v="0"/>
    <m/>
    <n v="0"/>
    <n v="1"/>
    <n v="0"/>
    <n v="0"/>
    <m/>
    <m/>
    <m/>
    <n v="1"/>
    <m/>
    <n v="0"/>
    <n v="1"/>
    <n v="0"/>
    <n v="0"/>
    <n v="0"/>
    <n v="0"/>
    <n v="0"/>
    <n v="1"/>
    <x v="0"/>
    <n v="0"/>
    <n v="1"/>
    <n v="0"/>
    <n v="0"/>
    <n v="0"/>
    <n v="0"/>
    <n v="0"/>
    <x v="0"/>
    <n v="0"/>
    <n v="0"/>
    <n v="0"/>
    <n v="0"/>
    <n v="0"/>
    <x v="16"/>
    <m/>
    <x v="0"/>
    <x v="0"/>
    <x v="0"/>
  </r>
  <r>
    <s v="18/1446/FUL"/>
    <x v="1"/>
    <x v="0"/>
    <s v="32 Albion Road Twickenham TW2 6QJ"/>
    <s v="Demolition of existing single family dwelling and erection of a replacement two-storey dwelling house, with accommodation in the mansard roof."/>
    <d v="2019-02-01T00:00:00"/>
    <m/>
    <x v="1"/>
    <x v="0"/>
    <n v="515299"/>
    <n v="173105"/>
    <m/>
    <n v="0"/>
    <n v="0"/>
    <n v="0"/>
    <n v="1"/>
    <m/>
    <m/>
    <m/>
    <n v="1"/>
    <m/>
    <n v="0"/>
    <n v="0"/>
    <n v="0"/>
    <n v="1"/>
    <m/>
    <m/>
    <m/>
    <n v="1"/>
    <m/>
    <n v="0"/>
    <n v="0"/>
    <n v="0"/>
    <n v="0"/>
    <n v="0"/>
    <n v="0"/>
    <n v="0"/>
    <n v="0"/>
    <x v="0"/>
    <n v="0"/>
    <n v="0"/>
    <n v="0"/>
    <n v="0"/>
    <n v="0"/>
    <n v="0"/>
    <n v="0"/>
    <x v="0"/>
    <n v="0"/>
    <n v="0"/>
    <n v="0"/>
    <n v="0"/>
    <n v="0"/>
    <x v="17"/>
    <m/>
    <x v="0"/>
    <x v="0"/>
    <x v="0"/>
  </r>
  <r>
    <s v="18/1566/FUL"/>
    <x v="0"/>
    <x v="0"/>
    <s v="16 Whitton Road Twickenham TW1 1BJ"/>
    <s v="Second floor rear roof extension, replacement windows on first floor rear and side elevations, 2 no. rooflights on front roof slope to facilitate the conversion of existing 3 bed dwelling house to form 2x 2 bed flats and 1x 1 bed flat and associated cycl"/>
    <d v="2019-01-31T00:00:00"/>
    <m/>
    <x v="1"/>
    <x v="0"/>
    <n v="515965"/>
    <n v="173782"/>
    <m/>
    <n v="0"/>
    <n v="0"/>
    <n v="1"/>
    <n v="0"/>
    <m/>
    <m/>
    <m/>
    <n v="1"/>
    <m/>
    <n v="1"/>
    <n v="2"/>
    <n v="0"/>
    <n v="0"/>
    <m/>
    <m/>
    <m/>
    <n v="3"/>
    <m/>
    <n v="1"/>
    <n v="2"/>
    <n v="-1"/>
    <n v="0"/>
    <n v="0"/>
    <n v="0"/>
    <n v="0"/>
    <n v="2"/>
    <x v="0"/>
    <n v="0"/>
    <n v="2"/>
    <n v="0"/>
    <n v="0"/>
    <n v="0"/>
    <n v="0"/>
    <n v="0"/>
    <x v="0"/>
    <n v="0"/>
    <n v="0"/>
    <n v="0"/>
    <n v="0"/>
    <n v="0"/>
    <x v="3"/>
    <m/>
    <x v="0"/>
    <x v="0"/>
    <x v="0"/>
  </r>
  <r>
    <s v="18/1569/FUL"/>
    <x v="0"/>
    <x v="0"/>
    <s v="14 Norman Avenue Twickenham TW1 2LY"/>
    <s v="Reversion of to two self-contained flats into single family dwelling house."/>
    <d v="2019-03-31T00:00:00"/>
    <m/>
    <x v="1"/>
    <x v="0"/>
    <n v="516997"/>
    <n v="173966"/>
    <m/>
    <n v="0"/>
    <n v="2"/>
    <n v="0"/>
    <n v="0"/>
    <m/>
    <m/>
    <m/>
    <n v="2"/>
    <m/>
    <n v="0"/>
    <n v="0"/>
    <n v="0"/>
    <n v="1"/>
    <m/>
    <m/>
    <m/>
    <n v="1"/>
    <m/>
    <n v="0"/>
    <n v="-2"/>
    <n v="0"/>
    <n v="1"/>
    <n v="0"/>
    <n v="0"/>
    <n v="0"/>
    <n v="-1"/>
    <x v="0"/>
    <n v="0"/>
    <n v="-1"/>
    <n v="0"/>
    <n v="0"/>
    <n v="0"/>
    <n v="0"/>
    <n v="0"/>
    <x v="0"/>
    <n v="0"/>
    <n v="0"/>
    <n v="0"/>
    <n v="0"/>
    <n v="0"/>
    <x v="4"/>
    <m/>
    <x v="0"/>
    <x v="0"/>
    <x v="0"/>
  </r>
  <r>
    <s v="18/1722/GPD13"/>
    <x v="3"/>
    <x v="1"/>
    <s v="Ground Floor_x000a_204 Stanley Road_x000a_Teddington_x000a_TW11 8UE"/>
    <s v="Change of use from A1(Retail) to C3 (Residential) to create a two bedroom flat."/>
    <d v="2018-07-12T00:00:00"/>
    <m/>
    <x v="1"/>
    <x v="0"/>
    <n v="515113"/>
    <n v="171634"/>
    <m/>
    <n v="0"/>
    <n v="0"/>
    <n v="0"/>
    <n v="0"/>
    <m/>
    <m/>
    <m/>
    <n v="0"/>
    <m/>
    <n v="0"/>
    <n v="1"/>
    <n v="0"/>
    <n v="0"/>
    <m/>
    <m/>
    <m/>
    <n v="1"/>
    <m/>
    <n v="0"/>
    <n v="1"/>
    <n v="0"/>
    <n v="0"/>
    <n v="0"/>
    <n v="0"/>
    <n v="0"/>
    <n v="1"/>
    <x v="0"/>
    <n v="0"/>
    <n v="1"/>
    <n v="0"/>
    <n v="0"/>
    <n v="0"/>
    <n v="0"/>
    <n v="0"/>
    <x v="0"/>
    <n v="0"/>
    <n v="0"/>
    <n v="0"/>
    <n v="0"/>
    <n v="0"/>
    <x v="5"/>
    <m/>
    <x v="11"/>
    <x v="0"/>
    <x v="0"/>
  </r>
  <r>
    <s v="18/1767/FUL"/>
    <x v="3"/>
    <x v="0"/>
    <s v="73 High Street Hampton Hill TW12 1NH"/>
    <s v="Alterations to the existing shopfront and reduction to ground floor floorspace to facilitate the re-provision of a Class A2 use at ground floor level.  _x000d_Change of use of existing A2 to C3 (Residential) Use at part ground level and first floor level.  Rep"/>
    <d v="2019-03-01T00:00:00"/>
    <m/>
    <x v="1"/>
    <x v="0"/>
    <n v="514273"/>
    <n v="170844"/>
    <m/>
    <n v="0"/>
    <n v="0"/>
    <n v="0"/>
    <n v="0"/>
    <m/>
    <m/>
    <m/>
    <n v="0"/>
    <m/>
    <n v="0"/>
    <n v="2"/>
    <n v="0"/>
    <n v="0"/>
    <m/>
    <m/>
    <m/>
    <n v="2"/>
    <m/>
    <n v="0"/>
    <n v="2"/>
    <n v="0"/>
    <n v="0"/>
    <n v="0"/>
    <n v="0"/>
    <n v="0"/>
    <n v="2"/>
    <x v="0"/>
    <n v="0"/>
    <n v="0"/>
    <n v="2"/>
    <n v="0"/>
    <n v="0"/>
    <n v="0"/>
    <n v="0"/>
    <x v="1"/>
    <n v="0"/>
    <n v="0"/>
    <n v="0"/>
    <n v="0"/>
    <n v="0"/>
    <x v="5"/>
    <m/>
    <x v="4"/>
    <x v="0"/>
    <x v="0"/>
  </r>
  <r>
    <s v="18/2114/FUL"/>
    <x v="3"/>
    <x v="0"/>
    <s v="7 Barnes High Street_x000a_Barnes_x000a_London_x000a_SW13 9LW"/>
    <s v="Two-storey rear extension, rear roof extension and conversion of the rear part of the ground floor shop; in connection with the use of the property as a ground floor retail unit, 1x two-bedroom flat and 2 x one-bedroom flats."/>
    <d v="2019-02-01T00:00:00"/>
    <m/>
    <x v="1"/>
    <x v="0"/>
    <n v="521729"/>
    <n v="176389"/>
    <m/>
    <n v="2"/>
    <n v="0"/>
    <n v="0"/>
    <n v="0"/>
    <m/>
    <m/>
    <m/>
    <n v="2"/>
    <m/>
    <n v="2"/>
    <n v="1"/>
    <n v="0"/>
    <n v="0"/>
    <m/>
    <m/>
    <m/>
    <n v="3"/>
    <m/>
    <n v="0"/>
    <n v="1"/>
    <n v="0"/>
    <n v="0"/>
    <n v="0"/>
    <n v="0"/>
    <n v="0"/>
    <n v="1"/>
    <x v="0"/>
    <n v="0"/>
    <n v="1"/>
    <n v="0"/>
    <n v="0"/>
    <n v="0"/>
    <n v="0"/>
    <n v="0"/>
    <x v="0"/>
    <n v="0"/>
    <n v="0"/>
    <n v="0"/>
    <n v="0"/>
    <n v="0"/>
    <x v="11"/>
    <m/>
    <x v="4"/>
    <x v="0"/>
    <x v="0"/>
  </r>
  <r>
    <s v="18/2620/FUL"/>
    <x v="3"/>
    <x v="0"/>
    <s v="Ground Floor _x000a_204 Stanley Road_x000a_Teddington_x000a_TW11 8UE"/>
    <s v="Alteration of the former shop frontage, new window on side elevation and erection of single storey side/rear extension to facilitate the change of use of existing ground floor A1(retail) unit to provide 1 x 2 bed flat and 1x one-person studio flat with a"/>
    <d v="2018-04-01T00:00:00"/>
    <m/>
    <x v="1"/>
    <x v="0"/>
    <n v="515113"/>
    <n v="171634"/>
    <m/>
    <n v="0"/>
    <n v="0"/>
    <n v="0"/>
    <n v="0"/>
    <m/>
    <m/>
    <m/>
    <n v="0"/>
    <n v="1"/>
    <n v="0"/>
    <n v="0"/>
    <n v="0"/>
    <n v="0"/>
    <m/>
    <m/>
    <m/>
    <n v="1"/>
    <n v="1"/>
    <n v="0"/>
    <n v="0"/>
    <n v="0"/>
    <n v="0"/>
    <n v="0"/>
    <n v="0"/>
    <n v="0"/>
    <n v="1"/>
    <x v="0"/>
    <n v="0"/>
    <n v="1"/>
    <n v="0"/>
    <n v="0"/>
    <n v="0"/>
    <n v="0"/>
    <n v="0"/>
    <x v="0"/>
    <n v="0"/>
    <n v="0"/>
    <n v="0"/>
    <n v="0"/>
    <n v="0"/>
    <x v="5"/>
    <m/>
    <x v="11"/>
    <x v="0"/>
    <x v="0"/>
  </r>
  <r>
    <s v="18/2928/FUL"/>
    <x v="3"/>
    <x v="0"/>
    <s v="20 - 22 High Street Teddington TW11 8EW"/>
    <s v="Change of use of ancillary A3 accommodation on 1st and 2nd floors to create 1No. 3bed self-contained flat (C3 use) and installation of a rear door and railings at first floor level."/>
    <d v="2019-03-29T00:00:00"/>
    <m/>
    <x v="1"/>
    <x v="0"/>
    <n v="516022"/>
    <n v="171099"/>
    <m/>
    <n v="0"/>
    <n v="0"/>
    <n v="0"/>
    <n v="0"/>
    <m/>
    <m/>
    <m/>
    <n v="0"/>
    <m/>
    <n v="0"/>
    <n v="0"/>
    <n v="1"/>
    <n v="0"/>
    <m/>
    <m/>
    <m/>
    <n v="1"/>
    <m/>
    <n v="0"/>
    <n v="0"/>
    <n v="1"/>
    <n v="0"/>
    <n v="0"/>
    <n v="0"/>
    <n v="0"/>
    <n v="1"/>
    <x v="0"/>
    <n v="0"/>
    <n v="1"/>
    <n v="0"/>
    <n v="0"/>
    <n v="0"/>
    <n v="0"/>
    <n v="0"/>
    <x v="0"/>
    <n v="0"/>
    <n v="0"/>
    <n v="0"/>
    <n v="0"/>
    <n v="0"/>
    <x v="2"/>
    <m/>
    <x v="0"/>
    <x v="4"/>
    <x v="0"/>
  </r>
  <r>
    <s v="18/3941/GPD15"/>
    <x v="3"/>
    <x v="1"/>
    <s v="Sherwood House Forest Road Kew TW9 3BY"/>
    <s v="Change of use from office (B1) to three residential units (C3), with associated car parking provision."/>
    <d v="2019-03-01T00:00:00"/>
    <m/>
    <x v="1"/>
    <x v="0"/>
    <n v="519311"/>
    <n v="177214"/>
    <m/>
    <n v="0"/>
    <n v="0"/>
    <n v="0"/>
    <n v="0"/>
    <m/>
    <m/>
    <m/>
    <n v="0"/>
    <m/>
    <n v="0"/>
    <n v="1"/>
    <n v="2"/>
    <n v="0"/>
    <m/>
    <m/>
    <m/>
    <n v="3"/>
    <m/>
    <n v="0"/>
    <n v="1"/>
    <n v="2"/>
    <n v="0"/>
    <n v="0"/>
    <n v="0"/>
    <n v="0"/>
    <n v="3"/>
    <x v="0"/>
    <n v="0"/>
    <n v="3"/>
    <n v="0"/>
    <n v="0"/>
    <n v="0"/>
    <n v="0"/>
    <n v="0"/>
    <x v="0"/>
    <n v="0"/>
    <n v="0"/>
    <n v="0"/>
    <n v="0"/>
    <n v="0"/>
    <x v="10"/>
    <m/>
    <x v="0"/>
    <x v="0"/>
    <x v="0"/>
  </r>
  <r>
    <s v="19/0347/GPD15"/>
    <x v="3"/>
    <x v="1"/>
    <s v="Albion House Colne Road Twickenham TW2 6QL"/>
    <s v="Change of use from B1(a) Office use to C3 Residential use to provide 3 x 1 bed and 1 x 2 bed flats with associated internal refuse and cycle storage."/>
    <d v="2019-03-01T00:00:00"/>
    <m/>
    <x v="1"/>
    <x v="0"/>
    <n v="515383"/>
    <n v="173139"/>
    <m/>
    <n v="0"/>
    <n v="0"/>
    <n v="0"/>
    <n v="0"/>
    <m/>
    <m/>
    <m/>
    <n v="0"/>
    <m/>
    <n v="3"/>
    <n v="1"/>
    <n v="0"/>
    <n v="0"/>
    <m/>
    <m/>
    <m/>
    <n v="4"/>
    <m/>
    <n v="3"/>
    <n v="1"/>
    <n v="0"/>
    <n v="0"/>
    <n v="0"/>
    <n v="0"/>
    <n v="0"/>
    <n v="4"/>
    <x v="0"/>
    <n v="0"/>
    <n v="2"/>
    <n v="2"/>
    <n v="0"/>
    <n v="0"/>
    <n v="0"/>
    <n v="0"/>
    <x v="1"/>
    <n v="0"/>
    <n v="0"/>
    <n v="0"/>
    <n v="0"/>
    <n v="0"/>
    <x v="17"/>
    <m/>
    <x v="0"/>
    <x v="0"/>
    <x v="0"/>
  </r>
  <r>
    <s v="13/2484/FUL"/>
    <x v="1"/>
    <x v="0"/>
    <s v="The Bungalow Annexe Willoughby Road Twickenham TW1 2QH"/>
    <s v="Demolish 'The Bungalow' and 'The Annexe' and erect one pair of semi detached five bed houses on three floors with garages, access, forecourt, bin stores, landscaping and ancillary works"/>
    <m/>
    <m/>
    <x v="2"/>
    <x v="0"/>
    <n v="517502"/>
    <n v="174565"/>
    <m/>
    <n v="1"/>
    <n v="1"/>
    <n v="0"/>
    <n v="0"/>
    <m/>
    <m/>
    <m/>
    <n v="2"/>
    <m/>
    <n v="0"/>
    <n v="0"/>
    <n v="0"/>
    <n v="2"/>
    <m/>
    <m/>
    <m/>
    <n v="2"/>
    <m/>
    <n v="-1"/>
    <n v="-1"/>
    <n v="0"/>
    <n v="2"/>
    <n v="0"/>
    <n v="0"/>
    <n v="0"/>
    <n v="0"/>
    <x v="0"/>
    <n v="0"/>
    <n v="0"/>
    <n v="0"/>
    <n v="0"/>
    <n v="0"/>
    <n v="0"/>
    <n v="0"/>
    <x v="0"/>
    <n v="0"/>
    <n v="0"/>
    <n v="0"/>
    <n v="0"/>
    <n v="0"/>
    <x v="4"/>
    <m/>
    <x v="0"/>
    <x v="0"/>
    <x v="1"/>
  </r>
  <r>
    <s v="14/0157/FUL"/>
    <x v="1"/>
    <x v="0"/>
    <s v="Lockcorp House 75 Norcutt Road Twickenham TW2 6SR"/>
    <s v="Demolition of the existing light industrial building and replacement with a detached three-storey building (with accommodation in roof) to provide 9 No.flats (all affordable housing) together with 6 off-street car parking spaces and associated amenity an"/>
    <m/>
    <m/>
    <x v="2"/>
    <x v="0"/>
    <n v="515337"/>
    <n v="173383"/>
    <m/>
    <n v="0"/>
    <n v="0"/>
    <n v="0"/>
    <n v="0"/>
    <m/>
    <m/>
    <m/>
    <n v="0"/>
    <m/>
    <n v="5"/>
    <n v="3"/>
    <n v="1"/>
    <n v="0"/>
    <m/>
    <m/>
    <m/>
    <n v="9"/>
    <m/>
    <n v="5"/>
    <n v="3"/>
    <n v="1"/>
    <n v="0"/>
    <n v="0"/>
    <n v="0"/>
    <n v="0"/>
    <n v="9"/>
    <x v="0"/>
    <n v="0"/>
    <n v="0"/>
    <n v="0"/>
    <n v="0"/>
    <n v="0"/>
    <n v="0"/>
    <n v="0"/>
    <x v="0"/>
    <n v="0"/>
    <n v="0"/>
    <n v="0"/>
    <n v="0"/>
    <n v="0"/>
    <x v="17"/>
    <m/>
    <x v="0"/>
    <x v="0"/>
    <x v="0"/>
  </r>
  <r>
    <s v="14/0676/FUL"/>
    <x v="1"/>
    <x v="0"/>
    <s v="36 Lonsdale Road Barnes SW13 9EB"/>
    <s v="Demolition of single storey garden building and erection of a two storey, 3 bedroom dwelling"/>
    <m/>
    <m/>
    <x v="2"/>
    <x v="0"/>
    <n v="522672"/>
    <n v="177849"/>
    <m/>
    <n v="0"/>
    <n v="0"/>
    <n v="0"/>
    <n v="0"/>
    <m/>
    <m/>
    <m/>
    <n v="0"/>
    <m/>
    <n v="0"/>
    <n v="0"/>
    <n v="1"/>
    <n v="0"/>
    <m/>
    <m/>
    <m/>
    <n v="1"/>
    <m/>
    <n v="0"/>
    <n v="0"/>
    <n v="1"/>
    <n v="0"/>
    <n v="0"/>
    <n v="0"/>
    <n v="0"/>
    <n v="1"/>
    <x v="0"/>
    <n v="0"/>
    <n v="0"/>
    <n v="0.33333333333333331"/>
    <n v="0.33333333333333331"/>
    <n v="0.33333333333333331"/>
    <n v="0"/>
    <n v="0"/>
    <x v="1"/>
    <n v="0"/>
    <n v="0"/>
    <n v="0"/>
    <n v="0"/>
    <n v="0"/>
    <x v="14"/>
    <m/>
    <x v="0"/>
    <x v="0"/>
    <x v="0"/>
  </r>
  <r>
    <s v="14/4839/FUL"/>
    <x v="1"/>
    <x v="0"/>
    <s v="The Cottage Eel Pie Island Twickenham TW1 3DY"/>
    <s v="Demolition of existing house and construction of a new 3 bedroom house."/>
    <m/>
    <m/>
    <x v="2"/>
    <x v="0"/>
    <n v="516355"/>
    <n v="173076"/>
    <m/>
    <n v="0"/>
    <n v="1"/>
    <n v="0"/>
    <n v="0"/>
    <m/>
    <m/>
    <m/>
    <n v="1"/>
    <m/>
    <n v="0"/>
    <n v="0"/>
    <n v="1"/>
    <n v="0"/>
    <m/>
    <m/>
    <m/>
    <n v="1"/>
    <m/>
    <n v="0"/>
    <n v="-1"/>
    <n v="1"/>
    <n v="0"/>
    <n v="0"/>
    <n v="0"/>
    <n v="0"/>
    <n v="0"/>
    <x v="0"/>
    <n v="0"/>
    <n v="0"/>
    <n v="0"/>
    <n v="0"/>
    <n v="0"/>
    <n v="0"/>
    <n v="0"/>
    <x v="0"/>
    <n v="0"/>
    <n v="0"/>
    <n v="0"/>
    <n v="0"/>
    <n v="0"/>
    <x v="4"/>
    <m/>
    <x v="0"/>
    <x v="0"/>
    <x v="1"/>
  </r>
  <r>
    <s v="15/1151/FUL"/>
    <x v="1"/>
    <x v="0"/>
    <s v="Old TAVR Centre_x000a_Stanley Road_x000a_Twickenham"/>
    <s v="Demolition of existing TAVR buildings and erection of a new martial arts and fitness centre with associated parking and widening of vehicular entrance thereto to provide a multi-use community fitness facility alongside a publicly accessible open space in"/>
    <m/>
    <m/>
    <x v="2"/>
    <x v="0"/>
    <n v="514934"/>
    <n v="172192"/>
    <m/>
    <n v="0"/>
    <n v="0"/>
    <n v="0"/>
    <n v="0"/>
    <m/>
    <m/>
    <m/>
    <n v="0"/>
    <m/>
    <n v="0"/>
    <n v="0"/>
    <n v="0"/>
    <n v="0"/>
    <m/>
    <m/>
    <m/>
    <n v="0"/>
    <m/>
    <n v="0"/>
    <n v="0"/>
    <n v="0"/>
    <n v="0"/>
    <n v="0"/>
    <n v="0"/>
    <n v="0"/>
    <n v="0"/>
    <x v="0"/>
    <n v="0"/>
    <n v="0"/>
    <n v="0"/>
    <n v="0"/>
    <n v="0"/>
    <n v="0"/>
    <n v="0"/>
    <x v="0"/>
    <n v="0"/>
    <n v="0"/>
    <n v="0"/>
    <n v="0"/>
    <n v="0"/>
    <x v="17"/>
    <m/>
    <x v="0"/>
    <x v="0"/>
    <x v="0"/>
  </r>
  <r>
    <s v="15/2204/FUL"/>
    <x v="1"/>
    <x v="0"/>
    <s v="1E Colonial Avenue Twickenham TW2 7EE"/>
    <s v="Change of use from a private garage and store to a 2 bedroom house with associated single storey extensions; retention of existing photovoltaic arrays; associated cycle and refuse/recycle stores; hard and soft landscaping and installation of car turntabl"/>
    <m/>
    <m/>
    <x v="2"/>
    <x v="0"/>
    <n v="514174"/>
    <n v="174381"/>
    <m/>
    <n v="0"/>
    <n v="0"/>
    <n v="0"/>
    <n v="0"/>
    <m/>
    <m/>
    <m/>
    <n v="0"/>
    <m/>
    <n v="0"/>
    <n v="1"/>
    <n v="0"/>
    <n v="0"/>
    <m/>
    <m/>
    <m/>
    <n v="1"/>
    <m/>
    <n v="0"/>
    <n v="1"/>
    <n v="0"/>
    <n v="0"/>
    <n v="0"/>
    <n v="0"/>
    <n v="0"/>
    <n v="1"/>
    <x v="0"/>
    <n v="0"/>
    <n v="0"/>
    <n v="0.33333333333333331"/>
    <n v="0.33333333333333331"/>
    <n v="0.33333333333333331"/>
    <n v="0"/>
    <n v="0"/>
    <x v="1"/>
    <n v="0"/>
    <n v="0"/>
    <n v="0"/>
    <n v="0"/>
    <n v="0"/>
    <x v="15"/>
    <m/>
    <x v="0"/>
    <x v="0"/>
    <x v="0"/>
  </r>
  <r>
    <s v="15/2854/FUL"/>
    <x v="1"/>
    <x v="0"/>
    <s v="Garages At Riverside Drive Ham"/>
    <s v="Demolition of a row of 18 garages; Proposed to construct two two-bedroom Wheelchair Bungalows; Provision of two car parking spaces."/>
    <m/>
    <m/>
    <x v="2"/>
    <x v="0"/>
    <n v="517050"/>
    <n v="172680"/>
    <m/>
    <n v="0"/>
    <n v="0"/>
    <n v="0"/>
    <n v="0"/>
    <m/>
    <m/>
    <m/>
    <n v="0"/>
    <m/>
    <n v="0"/>
    <n v="2"/>
    <n v="0"/>
    <n v="0"/>
    <m/>
    <m/>
    <m/>
    <n v="2"/>
    <m/>
    <n v="0"/>
    <n v="2"/>
    <n v="0"/>
    <n v="0"/>
    <n v="0"/>
    <n v="0"/>
    <n v="0"/>
    <n v="2"/>
    <x v="0"/>
    <n v="0"/>
    <n v="1"/>
    <n v="1"/>
    <n v="0"/>
    <n v="0"/>
    <n v="0"/>
    <n v="0"/>
    <x v="1"/>
    <n v="0"/>
    <n v="0"/>
    <n v="0"/>
    <n v="0"/>
    <n v="0"/>
    <x v="7"/>
    <m/>
    <x v="0"/>
    <x v="0"/>
    <x v="0"/>
  </r>
  <r>
    <s v="15/2855/FUL"/>
    <x v="1"/>
    <x v="0"/>
    <s v="Garages At Maguire Drive Ham"/>
    <s v="Demolition of 20 garages in two rows; Construction of two three-bedroom houses"/>
    <m/>
    <m/>
    <x v="2"/>
    <x v="1"/>
    <n v="517476"/>
    <n v="171658"/>
    <m/>
    <n v="0"/>
    <n v="0"/>
    <n v="0"/>
    <n v="0"/>
    <m/>
    <m/>
    <m/>
    <n v="0"/>
    <m/>
    <n v="0"/>
    <n v="0"/>
    <n v="2"/>
    <n v="0"/>
    <m/>
    <m/>
    <m/>
    <n v="2"/>
    <m/>
    <n v="0"/>
    <n v="0"/>
    <n v="2"/>
    <n v="0"/>
    <n v="0"/>
    <n v="0"/>
    <n v="0"/>
    <n v="2"/>
    <x v="0"/>
    <n v="0"/>
    <n v="0"/>
    <n v="0.66666666666666663"/>
    <n v="0.66666666666666663"/>
    <n v="0.66666666666666663"/>
    <n v="0"/>
    <n v="0"/>
    <x v="1"/>
    <n v="0"/>
    <n v="0"/>
    <n v="0"/>
    <n v="0"/>
    <n v="0"/>
    <x v="7"/>
    <m/>
    <x v="0"/>
    <x v="0"/>
    <x v="0"/>
  </r>
  <r>
    <s v="15/2857/FUL"/>
    <x v="1"/>
    <x v="0"/>
    <s v="Garages At Clifford Road Petersham"/>
    <s v="Removal of 26 garages; Creation of 3 two storey three-bedroom houses. Provision of 11 parking spaces in a shared surface courtyard"/>
    <m/>
    <m/>
    <x v="2"/>
    <x v="1"/>
    <n v="517848"/>
    <n v="172830"/>
    <m/>
    <n v="0"/>
    <n v="0"/>
    <n v="0"/>
    <n v="0"/>
    <m/>
    <m/>
    <m/>
    <n v="0"/>
    <m/>
    <n v="0"/>
    <n v="0"/>
    <n v="3"/>
    <n v="0"/>
    <m/>
    <m/>
    <m/>
    <n v="3"/>
    <m/>
    <n v="0"/>
    <n v="0"/>
    <n v="3"/>
    <n v="0"/>
    <n v="0"/>
    <n v="0"/>
    <n v="0"/>
    <n v="3"/>
    <x v="0"/>
    <n v="0"/>
    <n v="0"/>
    <n v="1"/>
    <n v="1"/>
    <n v="1"/>
    <n v="0"/>
    <n v="0"/>
    <x v="1"/>
    <n v="0"/>
    <n v="0"/>
    <n v="0"/>
    <n v="0"/>
    <n v="0"/>
    <x v="7"/>
    <m/>
    <x v="0"/>
    <x v="0"/>
    <x v="0"/>
  </r>
  <r>
    <s v="15/2911/FUL"/>
    <x v="1"/>
    <x v="0"/>
    <s v="17A Tower Road_x000a_Twickenham_x000a_TW1 4PD"/>
    <s v="Demolition of existing single family dwelling and creation of new replacement single family dwelling."/>
    <m/>
    <m/>
    <x v="2"/>
    <x v="0"/>
    <n v="515807"/>
    <n v="172452"/>
    <m/>
    <n v="0"/>
    <n v="1"/>
    <n v="0"/>
    <n v="0"/>
    <m/>
    <m/>
    <m/>
    <n v="1"/>
    <m/>
    <n v="0"/>
    <n v="0"/>
    <n v="1"/>
    <n v="0"/>
    <m/>
    <m/>
    <m/>
    <n v="1"/>
    <m/>
    <n v="0"/>
    <n v="-1"/>
    <n v="1"/>
    <n v="0"/>
    <n v="0"/>
    <n v="0"/>
    <n v="0"/>
    <n v="0"/>
    <x v="0"/>
    <n v="0"/>
    <n v="0"/>
    <n v="0"/>
    <n v="0"/>
    <n v="0"/>
    <n v="0"/>
    <n v="0"/>
    <x v="0"/>
    <n v="0"/>
    <n v="0"/>
    <n v="0"/>
    <n v="0"/>
    <n v="0"/>
    <x v="17"/>
    <m/>
    <x v="0"/>
    <x v="0"/>
    <x v="0"/>
  </r>
  <r>
    <s v="15/3394/FUL"/>
    <x v="2"/>
    <x v="0"/>
    <s v="Wick House_x000a_10 Station Road_x000a_Hampton Wick"/>
    <s v="Erection of new mansard roof to accommodate 2 new self contained flats, new lift shaft, new bin stores."/>
    <m/>
    <m/>
    <x v="2"/>
    <x v="0"/>
    <n v="517543"/>
    <n v="169767"/>
    <m/>
    <n v="0"/>
    <n v="0"/>
    <n v="0"/>
    <n v="0"/>
    <m/>
    <m/>
    <m/>
    <n v="0"/>
    <m/>
    <n v="0"/>
    <n v="2"/>
    <n v="0"/>
    <n v="0"/>
    <m/>
    <m/>
    <m/>
    <n v="2"/>
    <m/>
    <n v="0"/>
    <n v="2"/>
    <n v="0"/>
    <n v="0"/>
    <n v="0"/>
    <n v="0"/>
    <n v="0"/>
    <n v="2"/>
    <x v="0"/>
    <n v="0"/>
    <n v="0.5"/>
    <n v="0.5"/>
    <n v="0.5"/>
    <n v="0.5"/>
    <n v="0"/>
    <n v="0"/>
    <x v="1"/>
    <n v="0"/>
    <n v="0"/>
    <n v="0"/>
    <n v="0"/>
    <n v="0"/>
    <x v="9"/>
    <m/>
    <x v="0"/>
    <x v="0"/>
    <x v="0"/>
  </r>
  <r>
    <s v="15/3518/FUL"/>
    <x v="1"/>
    <x v="0"/>
    <s v="58 Denton Road_x000a_Twickenham_x000a_TW1 2HQ"/>
    <s v="Erection of a pair of semi-detached dwellings with associated access, parking and private amenity space following the demolition of the existing building comprising 2No. maisonettes and associated outbuildings."/>
    <m/>
    <m/>
    <x v="2"/>
    <x v="0"/>
    <n v="517831"/>
    <n v="174076"/>
    <m/>
    <n v="0"/>
    <n v="2"/>
    <n v="0"/>
    <n v="0"/>
    <m/>
    <m/>
    <m/>
    <n v="2"/>
    <m/>
    <n v="0"/>
    <n v="0"/>
    <n v="0"/>
    <n v="2"/>
    <m/>
    <m/>
    <m/>
    <n v="2"/>
    <m/>
    <n v="0"/>
    <n v="-2"/>
    <n v="0"/>
    <n v="2"/>
    <n v="0"/>
    <n v="0"/>
    <n v="0"/>
    <n v="0"/>
    <x v="0"/>
    <n v="0"/>
    <n v="0"/>
    <n v="0"/>
    <n v="0"/>
    <n v="0"/>
    <n v="0"/>
    <n v="0"/>
    <x v="0"/>
    <n v="0"/>
    <n v="0"/>
    <n v="0"/>
    <n v="0"/>
    <n v="0"/>
    <x v="4"/>
    <m/>
    <x v="0"/>
    <x v="0"/>
    <x v="0"/>
  </r>
  <r>
    <s v="15/4280/FUL"/>
    <x v="0"/>
    <x v="0"/>
    <s v="1 Bloxham Crescent Hampton TW12 2QF"/>
    <s v="Conversion of an existing residential 3 bed property into two x 2 bed properties and two storey side extension with formation of new vehiclar access."/>
    <m/>
    <m/>
    <x v="2"/>
    <x v="0"/>
    <n v="513068"/>
    <n v="169904"/>
    <m/>
    <n v="0"/>
    <n v="0"/>
    <n v="1"/>
    <n v="0"/>
    <m/>
    <m/>
    <m/>
    <n v="1"/>
    <m/>
    <n v="0"/>
    <n v="2"/>
    <n v="0"/>
    <n v="0"/>
    <m/>
    <m/>
    <m/>
    <n v="2"/>
    <m/>
    <n v="0"/>
    <n v="2"/>
    <n v="-1"/>
    <n v="0"/>
    <n v="0"/>
    <n v="0"/>
    <n v="0"/>
    <n v="1"/>
    <x v="0"/>
    <n v="0"/>
    <n v="0.25"/>
    <n v="0.25"/>
    <n v="0.25"/>
    <n v="0.25"/>
    <n v="0"/>
    <n v="0"/>
    <x v="1"/>
    <n v="0"/>
    <n v="0"/>
    <n v="0"/>
    <n v="0"/>
    <n v="0"/>
    <x v="8"/>
    <m/>
    <x v="0"/>
    <x v="0"/>
    <x v="0"/>
  </r>
  <r>
    <s v="15/4581/FUL"/>
    <x v="1"/>
    <x v="0"/>
    <s v="45 - 49 Station Road Hampton TW12 2BT"/>
    <s v="Demolition of all site buildings and redevelopment of the site for a mixed use development comprising a new car showroom with associated workshops (sui generis), office accommodation (Use Class B1a) and six three-bedrooom residential dwellings (Use Class"/>
    <m/>
    <m/>
    <x v="2"/>
    <x v="0"/>
    <n v="513825"/>
    <n v="169567"/>
    <m/>
    <n v="0"/>
    <n v="0"/>
    <n v="0"/>
    <n v="0"/>
    <m/>
    <m/>
    <m/>
    <n v="0"/>
    <m/>
    <n v="0"/>
    <n v="0"/>
    <n v="6"/>
    <n v="0"/>
    <m/>
    <m/>
    <m/>
    <n v="6"/>
    <m/>
    <n v="0"/>
    <n v="0"/>
    <n v="6"/>
    <n v="0"/>
    <n v="0"/>
    <n v="0"/>
    <n v="0"/>
    <n v="6"/>
    <x v="0"/>
    <n v="0"/>
    <n v="0"/>
    <n v="2"/>
    <n v="2"/>
    <n v="2"/>
    <n v="0"/>
    <n v="0"/>
    <x v="1"/>
    <n v="0"/>
    <n v="0"/>
    <n v="0"/>
    <n v="0"/>
    <n v="0"/>
    <x v="8"/>
    <m/>
    <x v="0"/>
    <x v="0"/>
    <x v="0"/>
  </r>
  <r>
    <s v="15/4586/FUL"/>
    <x v="1"/>
    <x v="0"/>
    <s v="257 Waldegrave Road_x000a_Twickenham_x000a_TW1 4SY"/>
    <s v="Erection of a two-storey replacement dwellinghouse with attic space."/>
    <m/>
    <m/>
    <x v="2"/>
    <x v="0"/>
    <n v="515611"/>
    <n v="172008"/>
    <m/>
    <n v="0"/>
    <n v="0"/>
    <n v="0"/>
    <n v="1"/>
    <m/>
    <m/>
    <m/>
    <n v="1"/>
    <m/>
    <n v="0"/>
    <n v="0"/>
    <n v="0"/>
    <n v="0"/>
    <n v="1"/>
    <m/>
    <m/>
    <n v="1"/>
    <m/>
    <n v="0"/>
    <n v="0"/>
    <n v="0"/>
    <n v="-1"/>
    <n v="1"/>
    <n v="0"/>
    <n v="0"/>
    <n v="0"/>
    <x v="0"/>
    <n v="0"/>
    <n v="0"/>
    <n v="0"/>
    <n v="0"/>
    <n v="0"/>
    <n v="0"/>
    <n v="0"/>
    <x v="0"/>
    <n v="0"/>
    <n v="0"/>
    <n v="0"/>
    <n v="0"/>
    <n v="0"/>
    <x v="17"/>
    <m/>
    <x v="0"/>
    <x v="0"/>
    <x v="0"/>
  </r>
  <r>
    <s v="15/5217/FUL"/>
    <x v="1"/>
    <x v="0"/>
    <s v="Silver Birches_x000a_2 - 6 Marchmont Road_x000a_Richmond_x000a_TW10 6HH"/>
    <s v="Demolition of care home, and the construction of nine residential units and associated works. (The affordable housing associated to this development is proposed off site on The Avenue Centre site as part of its redevelopment - refer to application 15/521"/>
    <m/>
    <m/>
    <x v="2"/>
    <x v="0"/>
    <n v="518559"/>
    <n v="174698"/>
    <m/>
    <n v="1"/>
    <n v="0"/>
    <n v="0"/>
    <n v="0"/>
    <m/>
    <m/>
    <m/>
    <n v="1"/>
    <m/>
    <n v="0"/>
    <n v="2"/>
    <n v="5"/>
    <n v="2"/>
    <m/>
    <m/>
    <m/>
    <n v="9"/>
    <m/>
    <n v="-1"/>
    <n v="2"/>
    <n v="5"/>
    <n v="2"/>
    <n v="0"/>
    <n v="0"/>
    <n v="0"/>
    <n v="8"/>
    <x v="0"/>
    <n v="0"/>
    <n v="0"/>
    <n v="2.6666666666666665"/>
    <n v="2.6666666666666665"/>
    <n v="2.6666666666666665"/>
    <n v="0"/>
    <n v="0"/>
    <x v="1"/>
    <n v="0"/>
    <n v="0"/>
    <n v="0"/>
    <n v="0"/>
    <n v="0"/>
    <x v="12"/>
    <m/>
    <x v="0"/>
    <x v="0"/>
    <x v="0"/>
  </r>
  <r>
    <s v="15/5351/FUL"/>
    <x v="1"/>
    <x v="0"/>
    <s v="11 Fifth Cross Road_x000a_Twickenham"/>
    <s v="Erection of a pair of two-bedroom, semi-detached dwellings with associated access, car turntable, parking and amenity space following the demolition of existing dwelling."/>
    <m/>
    <m/>
    <x v="2"/>
    <x v="0"/>
    <n v="514775"/>
    <n v="172397"/>
    <m/>
    <n v="0"/>
    <n v="0"/>
    <n v="1"/>
    <n v="0"/>
    <m/>
    <m/>
    <m/>
    <n v="1"/>
    <m/>
    <n v="0"/>
    <n v="2"/>
    <n v="0"/>
    <n v="0"/>
    <m/>
    <m/>
    <m/>
    <n v="2"/>
    <m/>
    <n v="0"/>
    <n v="2"/>
    <n v="-1"/>
    <n v="0"/>
    <n v="0"/>
    <n v="0"/>
    <n v="0"/>
    <n v="1"/>
    <x v="0"/>
    <n v="0"/>
    <n v="0"/>
    <n v="0.33333333333333331"/>
    <n v="0.33333333333333331"/>
    <n v="0.33333333333333331"/>
    <n v="0"/>
    <n v="0"/>
    <x v="1"/>
    <n v="0"/>
    <n v="0"/>
    <n v="0"/>
    <n v="0"/>
    <n v="0"/>
    <x v="1"/>
    <m/>
    <x v="0"/>
    <x v="0"/>
    <x v="0"/>
  </r>
  <r>
    <s v="15/5395/FUL"/>
    <x v="0"/>
    <x v="0"/>
    <s v="68 Shalstone Road_x000a_Mortlake_x000a_London"/>
    <s v="Conversion from 2 flats to a single dwelling house and the addition of an entrance porch and window."/>
    <m/>
    <m/>
    <x v="2"/>
    <x v="0"/>
    <n v="519787"/>
    <n v="175797"/>
    <m/>
    <n v="2"/>
    <n v="0"/>
    <n v="0"/>
    <n v="0"/>
    <m/>
    <m/>
    <m/>
    <n v="2"/>
    <m/>
    <n v="0"/>
    <n v="0"/>
    <n v="0"/>
    <n v="1"/>
    <m/>
    <m/>
    <m/>
    <n v="1"/>
    <m/>
    <n v="-2"/>
    <n v="0"/>
    <n v="0"/>
    <n v="1"/>
    <n v="0"/>
    <n v="0"/>
    <n v="0"/>
    <n v="-1"/>
    <x v="0"/>
    <n v="0"/>
    <n v="-0.25"/>
    <n v="-0.25"/>
    <n v="-0.25"/>
    <n v="-0.25"/>
    <n v="0"/>
    <n v="0"/>
    <x v="1"/>
    <n v="0"/>
    <n v="0"/>
    <n v="0"/>
    <n v="0"/>
    <n v="0"/>
    <x v="16"/>
    <m/>
    <x v="0"/>
    <x v="0"/>
    <x v="0"/>
  </r>
  <r>
    <s v="16/0058/FUL"/>
    <x v="3"/>
    <x v="0"/>
    <s v="29 George Street Richmond TW9 1HY"/>
    <s v="Change of use of 2nd floor and 3rd floor level from ancillary retail to nine 1 bedroom flats (C3 use) with external alterations and enclosure of walkway at 1st floor, new residential access, bin store, bicycle storage, replacement of plant, new stairs to"/>
    <m/>
    <m/>
    <x v="2"/>
    <x v="0"/>
    <n v="517924"/>
    <n v="174891"/>
    <m/>
    <n v="0"/>
    <n v="0"/>
    <n v="0"/>
    <n v="0"/>
    <m/>
    <m/>
    <m/>
    <n v="0"/>
    <m/>
    <n v="9"/>
    <n v="0"/>
    <n v="0"/>
    <n v="0"/>
    <m/>
    <m/>
    <m/>
    <n v="9"/>
    <m/>
    <n v="9"/>
    <n v="0"/>
    <n v="0"/>
    <n v="0"/>
    <n v="0"/>
    <n v="0"/>
    <n v="0"/>
    <n v="9"/>
    <x v="0"/>
    <n v="0"/>
    <n v="2.25"/>
    <n v="2.25"/>
    <n v="2.25"/>
    <n v="2.25"/>
    <n v="0"/>
    <n v="0"/>
    <x v="1"/>
    <n v="0"/>
    <n v="0"/>
    <n v="0"/>
    <n v="0"/>
    <n v="0"/>
    <x v="12"/>
    <m/>
    <x v="0"/>
    <x v="3"/>
    <x v="0"/>
  </r>
  <r>
    <s v="16/0344/FUL"/>
    <x v="0"/>
    <x v="0"/>
    <s v="113 Stanley Road_x000a_Teddington_x000a_TW11 8UB"/>
    <s v="Side extension to existing 1st floor back addition and convert existing 1 bedroom flat to two studio flats"/>
    <m/>
    <m/>
    <x v="2"/>
    <x v="0"/>
    <n v="515085"/>
    <n v="171577"/>
    <m/>
    <n v="0"/>
    <n v="1"/>
    <n v="0"/>
    <n v="0"/>
    <m/>
    <m/>
    <m/>
    <n v="1"/>
    <n v="2"/>
    <n v="0"/>
    <n v="0"/>
    <n v="0"/>
    <n v="0"/>
    <m/>
    <m/>
    <m/>
    <n v="2"/>
    <m/>
    <n v="0"/>
    <n v="-1"/>
    <n v="0"/>
    <n v="0"/>
    <n v="0"/>
    <n v="0"/>
    <n v="0"/>
    <n v="1"/>
    <x v="0"/>
    <n v="0"/>
    <n v="0.25"/>
    <n v="0.25"/>
    <n v="0.25"/>
    <n v="0.25"/>
    <n v="0"/>
    <n v="0"/>
    <x v="1"/>
    <n v="0"/>
    <n v="0"/>
    <n v="0"/>
    <n v="0"/>
    <n v="0"/>
    <x v="5"/>
    <m/>
    <x v="11"/>
    <x v="0"/>
    <x v="0"/>
  </r>
  <r>
    <s v="16/0489/PS192"/>
    <x v="3"/>
    <x v="0"/>
    <s v="321 Richmond Road Ham KT2 5QU"/>
    <s v="Change of use of ground floor from Class A1 (shops) to Class A2 (financial and professional services)."/>
    <m/>
    <m/>
    <x v="2"/>
    <x v="0"/>
    <n v="517763"/>
    <n v="171588"/>
    <m/>
    <n v="0"/>
    <n v="0"/>
    <n v="0"/>
    <n v="0"/>
    <m/>
    <m/>
    <m/>
    <n v="0"/>
    <m/>
    <n v="0"/>
    <n v="0"/>
    <n v="0"/>
    <n v="0"/>
    <m/>
    <m/>
    <m/>
    <n v="0"/>
    <m/>
    <n v="0"/>
    <n v="0"/>
    <n v="0"/>
    <n v="0"/>
    <n v="0"/>
    <n v="0"/>
    <n v="0"/>
    <n v="0"/>
    <x v="0"/>
    <n v="0"/>
    <n v="0"/>
    <n v="0"/>
    <n v="0"/>
    <n v="0"/>
    <n v="0"/>
    <n v="0"/>
    <x v="0"/>
    <n v="0"/>
    <n v="0"/>
    <n v="0"/>
    <n v="0"/>
    <n v="0"/>
    <x v="7"/>
    <m/>
    <x v="0"/>
    <x v="0"/>
    <x v="0"/>
  </r>
  <r>
    <s v="16/0510/FUL"/>
    <x v="3"/>
    <x v="0"/>
    <s v="Shanklin House_x000a_70 Sheen Road_x000a_Richmond_x000a_TW9 1UF"/>
    <s v="Alterations including construction of a new rear ground floor extension and change of use to commercial space and two 2-bedroom self-contained flats."/>
    <m/>
    <m/>
    <x v="2"/>
    <x v="0"/>
    <n v="518392"/>
    <n v="175032"/>
    <m/>
    <n v="0"/>
    <n v="0"/>
    <n v="0"/>
    <n v="0"/>
    <m/>
    <m/>
    <m/>
    <n v="0"/>
    <m/>
    <n v="0"/>
    <n v="2"/>
    <n v="0"/>
    <n v="0"/>
    <m/>
    <m/>
    <m/>
    <n v="2"/>
    <m/>
    <n v="0"/>
    <n v="2"/>
    <n v="0"/>
    <n v="0"/>
    <n v="0"/>
    <n v="0"/>
    <n v="0"/>
    <n v="2"/>
    <x v="0"/>
    <n v="0"/>
    <n v="0.5"/>
    <n v="0.5"/>
    <n v="0.5"/>
    <n v="0.5"/>
    <n v="0"/>
    <n v="0"/>
    <x v="1"/>
    <n v="0"/>
    <n v="0"/>
    <n v="0"/>
    <n v="0"/>
    <n v="0"/>
    <x v="12"/>
    <m/>
    <x v="10"/>
    <x v="0"/>
    <x v="0"/>
  </r>
  <r>
    <s v="16/0606/FUL"/>
    <x v="4"/>
    <x v="0"/>
    <s v="Police Station 60 - 68 Station Road Hampton"/>
    <s v="Retention of former police station building with partial demolition of the rear wings of the police station and demolition of the rear garages and the construction of 28 residential units (4 x 1 bedroom, 12 x 2 bedroom, 10 x 3 bedroom and 2 x 4 bedroom)"/>
    <m/>
    <m/>
    <x v="2"/>
    <x v="0"/>
    <n v="513766"/>
    <n v="169736"/>
    <m/>
    <n v="0"/>
    <n v="0"/>
    <n v="0"/>
    <n v="0"/>
    <m/>
    <m/>
    <m/>
    <n v="0"/>
    <m/>
    <n v="4"/>
    <n v="12"/>
    <n v="10"/>
    <n v="2"/>
    <m/>
    <m/>
    <m/>
    <n v="28"/>
    <m/>
    <n v="4"/>
    <n v="12"/>
    <n v="10"/>
    <n v="2"/>
    <n v="0"/>
    <n v="0"/>
    <n v="0"/>
    <n v="28"/>
    <x v="0"/>
    <n v="0"/>
    <n v="0"/>
    <n v="0"/>
    <n v="0"/>
    <n v="14"/>
    <n v="14"/>
    <n v="0"/>
    <x v="1"/>
    <n v="0"/>
    <n v="0"/>
    <n v="0"/>
    <n v="0"/>
    <n v="0"/>
    <x v="8"/>
    <m/>
    <x v="6"/>
    <x v="0"/>
    <x v="0"/>
  </r>
  <r>
    <s v="16/0647/FUL"/>
    <x v="1"/>
    <x v="0"/>
    <s v="Garages Rear Of 8_x000a_Atbara Road_x000a_Teddington"/>
    <s v="Demolition of the existing garages and redevelopment of the site with the erection of two residential houses with associated landscaping."/>
    <m/>
    <m/>
    <x v="2"/>
    <x v="0"/>
    <n v="516905"/>
    <n v="170733"/>
    <m/>
    <n v="0"/>
    <n v="0"/>
    <n v="0"/>
    <n v="0"/>
    <m/>
    <m/>
    <m/>
    <n v="0"/>
    <m/>
    <n v="0"/>
    <n v="0"/>
    <n v="2"/>
    <n v="0"/>
    <m/>
    <m/>
    <m/>
    <n v="0"/>
    <m/>
    <n v="0"/>
    <n v="0"/>
    <n v="2"/>
    <n v="0"/>
    <n v="0"/>
    <n v="0"/>
    <n v="0"/>
    <n v="0"/>
    <x v="0"/>
    <n v="0"/>
    <n v="0"/>
    <n v="0"/>
    <n v="0"/>
    <n v="0"/>
    <n v="0"/>
    <n v="0"/>
    <x v="0"/>
    <n v="0"/>
    <n v="0"/>
    <n v="0"/>
    <n v="0"/>
    <n v="0"/>
    <x v="9"/>
    <m/>
    <x v="0"/>
    <x v="0"/>
    <x v="0"/>
  </r>
  <r>
    <s v="16/0905/FUL"/>
    <x v="1"/>
    <x v="0"/>
    <s v="275 Sandycombe Road_x000a_Richmond_x000a_TW9 3LU"/>
    <s v="Demolition of the existing hall and the erection of a new community facility building and 6 flats"/>
    <m/>
    <m/>
    <x v="2"/>
    <x v="0"/>
    <n v="519126"/>
    <n v="176420"/>
    <m/>
    <n v="0"/>
    <n v="0"/>
    <n v="0"/>
    <n v="0"/>
    <m/>
    <m/>
    <m/>
    <n v="0"/>
    <m/>
    <n v="4"/>
    <n v="2"/>
    <n v="0"/>
    <n v="0"/>
    <m/>
    <m/>
    <m/>
    <n v="6"/>
    <m/>
    <n v="4"/>
    <n v="2"/>
    <n v="0"/>
    <n v="0"/>
    <n v="0"/>
    <n v="0"/>
    <n v="0"/>
    <n v="6"/>
    <x v="0"/>
    <n v="0"/>
    <n v="0"/>
    <n v="2"/>
    <n v="2"/>
    <n v="2"/>
    <n v="0"/>
    <n v="0"/>
    <x v="1"/>
    <n v="0"/>
    <n v="0"/>
    <n v="0"/>
    <n v="0"/>
    <n v="0"/>
    <x v="10"/>
    <m/>
    <x v="12"/>
    <x v="0"/>
    <x v="0"/>
  </r>
  <r>
    <s v="16/1279/GPD15"/>
    <x v="3"/>
    <x v="0"/>
    <s v="115 White Hart Lane_x000d_Barnes_x000d_London_x000d_SW13 0JL_x000d_"/>
    <s v="Change of use from office (B1a) to residential (C3)."/>
    <m/>
    <m/>
    <x v="2"/>
    <x v="0"/>
    <n v="521408"/>
    <n v="175714"/>
    <m/>
    <n v="0"/>
    <n v="0"/>
    <n v="0"/>
    <n v="1"/>
    <m/>
    <m/>
    <m/>
    <n v="1"/>
    <m/>
    <n v="0"/>
    <n v="0"/>
    <n v="0"/>
    <n v="0"/>
    <n v="1"/>
    <m/>
    <m/>
    <n v="1"/>
    <m/>
    <n v="0"/>
    <n v="0"/>
    <n v="0"/>
    <n v="-1"/>
    <n v="1"/>
    <n v="0"/>
    <n v="0"/>
    <n v="0"/>
    <x v="0"/>
    <n v="0"/>
    <n v="0"/>
    <n v="0"/>
    <n v="0"/>
    <n v="0"/>
    <n v="0"/>
    <n v="0"/>
    <x v="0"/>
    <n v="0"/>
    <n v="0"/>
    <n v="0"/>
    <n v="0"/>
    <n v="0"/>
    <x v="11"/>
    <m/>
    <x v="0"/>
    <x v="0"/>
    <x v="0"/>
  </r>
  <r>
    <s v="16/1592/FUL"/>
    <x v="3"/>
    <x v="0"/>
    <s v="5 Royal Parade_x000a_Kew_x000a_Richmond_x000a_TW9 3QD"/>
    <s v="Change of use of the rear of the ground floor level from an 'A1' shop (Dry-cleaning), to C3 Dwelling for use as a 2 bedroom maisonette flat, extending the basement level, together with some internal reconfiguration."/>
    <m/>
    <m/>
    <x v="2"/>
    <x v="0"/>
    <n v="519112"/>
    <n v="176842"/>
    <m/>
    <n v="0"/>
    <n v="0"/>
    <n v="0"/>
    <n v="0"/>
    <m/>
    <m/>
    <m/>
    <n v="0"/>
    <m/>
    <n v="0"/>
    <n v="1"/>
    <n v="0"/>
    <n v="0"/>
    <m/>
    <m/>
    <m/>
    <n v="1"/>
    <m/>
    <n v="0"/>
    <n v="1"/>
    <n v="0"/>
    <n v="0"/>
    <n v="0"/>
    <n v="0"/>
    <n v="0"/>
    <n v="1"/>
    <x v="0"/>
    <n v="0"/>
    <n v="0.25"/>
    <n v="0.25"/>
    <n v="0.25"/>
    <n v="0.25"/>
    <n v="0"/>
    <n v="0"/>
    <x v="1"/>
    <n v="0"/>
    <n v="0"/>
    <n v="0"/>
    <n v="0"/>
    <n v="0"/>
    <x v="10"/>
    <m/>
    <x v="13"/>
    <x v="0"/>
    <x v="0"/>
  </r>
  <r>
    <s v="16/1729/FUL"/>
    <x v="4"/>
    <x v="0"/>
    <s v="67 - 71 Station Road Hampton TW12 2BT"/>
    <s v="Refurbishment of all existing buildings on the site, including improvements to existing shop fronts, and a first floor extension, to provide a mixed use scheme comprising three retail units and four residential dwellings, incorporating off-street parking"/>
    <m/>
    <m/>
    <x v="2"/>
    <x v="0"/>
    <n v="513783"/>
    <n v="169643"/>
    <m/>
    <n v="0"/>
    <n v="1"/>
    <n v="0"/>
    <n v="0"/>
    <m/>
    <m/>
    <m/>
    <n v="1"/>
    <m/>
    <n v="2"/>
    <n v="2"/>
    <n v="0"/>
    <n v="0"/>
    <m/>
    <m/>
    <m/>
    <n v="4"/>
    <m/>
    <n v="2"/>
    <n v="1"/>
    <n v="0"/>
    <n v="0"/>
    <n v="0"/>
    <n v="0"/>
    <n v="0"/>
    <n v="3"/>
    <x v="0"/>
    <n v="0"/>
    <n v="0"/>
    <n v="1"/>
    <n v="1"/>
    <n v="1"/>
    <n v="0"/>
    <n v="0"/>
    <x v="1"/>
    <n v="0"/>
    <n v="0"/>
    <n v="0"/>
    <n v="0"/>
    <n v="0"/>
    <x v="8"/>
    <m/>
    <x v="6"/>
    <x v="0"/>
    <x v="0"/>
  </r>
  <r>
    <s v="16/2271/FUL"/>
    <x v="1"/>
    <x v="0"/>
    <s v="Garages Rear Of 81 To 85 Woodville Road Ham"/>
    <s v="Erection of a detached office building."/>
    <m/>
    <m/>
    <x v="2"/>
    <x v="0"/>
    <n v="516909"/>
    <n v="172236"/>
    <m/>
    <n v="0"/>
    <n v="0"/>
    <n v="0"/>
    <n v="0"/>
    <m/>
    <m/>
    <m/>
    <n v="0"/>
    <m/>
    <n v="0"/>
    <n v="0"/>
    <n v="0"/>
    <n v="0"/>
    <m/>
    <m/>
    <m/>
    <n v="0"/>
    <m/>
    <n v="0"/>
    <n v="0"/>
    <n v="0"/>
    <n v="0"/>
    <n v="0"/>
    <n v="0"/>
    <n v="0"/>
    <n v="0"/>
    <x v="0"/>
    <n v="0"/>
    <n v="0"/>
    <n v="0"/>
    <n v="0"/>
    <n v="0"/>
    <n v="0"/>
    <n v="0"/>
    <x v="0"/>
    <n v="0"/>
    <n v="0"/>
    <n v="0"/>
    <n v="0"/>
    <n v="0"/>
    <x v="7"/>
    <m/>
    <x v="0"/>
    <x v="0"/>
    <x v="0"/>
  </r>
  <r>
    <s v="16/2288/FUL"/>
    <x v="2"/>
    <x v="0"/>
    <s v="179 - 181 High Street_x000a_Hampton Hill"/>
    <s v="Extending the existing retail and residential accommodation to provide a mixed use scheme comprising of one retail unit and 7 new residential dwellings and retention of 3 currently existing residential dwellings, incorporating cycle storage, amenity spac"/>
    <m/>
    <m/>
    <x v="2"/>
    <x v="0"/>
    <n v="514440"/>
    <n v="171238"/>
    <m/>
    <n v="1"/>
    <n v="2"/>
    <n v="0"/>
    <n v="0"/>
    <m/>
    <m/>
    <m/>
    <n v="3"/>
    <m/>
    <n v="5"/>
    <n v="5"/>
    <n v="0"/>
    <n v="0"/>
    <m/>
    <m/>
    <m/>
    <n v="10"/>
    <m/>
    <n v="4"/>
    <n v="3"/>
    <n v="0"/>
    <n v="0"/>
    <n v="0"/>
    <n v="0"/>
    <n v="0"/>
    <n v="7"/>
    <x v="0"/>
    <n v="0"/>
    <n v="1.75"/>
    <n v="1.75"/>
    <n v="1.75"/>
    <n v="1.75"/>
    <n v="0"/>
    <n v="0"/>
    <x v="1"/>
    <n v="0"/>
    <n v="0"/>
    <n v="0"/>
    <n v="0"/>
    <n v="0"/>
    <x v="5"/>
    <m/>
    <x v="4"/>
    <x v="0"/>
    <x v="0"/>
  </r>
  <r>
    <s v="16/2647/FUL"/>
    <x v="1"/>
    <x v="0"/>
    <s v="2 High Street_x000a_Teddington_x000a_TW11 8EW"/>
    <s v="Demolition of the existing office (B1a) building (395 sq.m) and the erection a part five / part six-storey mixed-use building comprisnig a ground floor office / commercial unit (300 sq.m) and 22 (11 x 1 and 11 x 2 bed) affordable 'shared ownership' apart"/>
    <m/>
    <m/>
    <x v="2"/>
    <x v="2"/>
    <n v="515918"/>
    <n v="171031"/>
    <m/>
    <n v="0"/>
    <n v="0"/>
    <n v="0"/>
    <n v="0"/>
    <m/>
    <m/>
    <m/>
    <n v="0"/>
    <m/>
    <n v="11"/>
    <n v="11"/>
    <n v="0"/>
    <n v="0"/>
    <m/>
    <m/>
    <m/>
    <n v="22"/>
    <m/>
    <n v="11"/>
    <n v="11"/>
    <n v="0"/>
    <n v="0"/>
    <n v="0"/>
    <n v="0"/>
    <n v="0"/>
    <n v="22"/>
    <x v="0"/>
    <n v="0"/>
    <n v="0"/>
    <n v="22"/>
    <n v="0"/>
    <n v="0"/>
    <n v="0"/>
    <n v="0"/>
    <x v="1"/>
    <n v="0"/>
    <n v="0"/>
    <n v="0"/>
    <n v="0"/>
    <n v="0"/>
    <x v="2"/>
    <m/>
    <x v="0"/>
    <x v="4"/>
    <x v="0"/>
  </r>
  <r>
    <s v="16/2704/FUL"/>
    <x v="1"/>
    <x v="0"/>
    <s v="3 Berwyn Road_x000a_Richmond_x000a_TW10 5BP"/>
    <s v="Demolition of existing dwelling and erection of a replacement dwelling."/>
    <m/>
    <m/>
    <x v="2"/>
    <x v="0"/>
    <n v="519633"/>
    <n v="174966"/>
    <m/>
    <n v="0"/>
    <n v="0"/>
    <n v="0"/>
    <n v="1"/>
    <m/>
    <m/>
    <m/>
    <n v="1"/>
    <m/>
    <n v="0"/>
    <n v="0"/>
    <n v="0"/>
    <n v="0"/>
    <n v="1"/>
    <m/>
    <m/>
    <n v="1"/>
    <m/>
    <n v="0"/>
    <n v="0"/>
    <n v="0"/>
    <n v="-1"/>
    <n v="1"/>
    <n v="0"/>
    <n v="0"/>
    <n v="0"/>
    <x v="0"/>
    <n v="0"/>
    <n v="0"/>
    <n v="0"/>
    <n v="0"/>
    <n v="0"/>
    <n v="0"/>
    <n v="0"/>
    <x v="0"/>
    <n v="0"/>
    <n v="0"/>
    <n v="0"/>
    <n v="0"/>
    <n v="0"/>
    <x v="12"/>
    <m/>
    <x v="0"/>
    <x v="0"/>
    <x v="0"/>
  </r>
  <r>
    <s v="16/2709/FUL"/>
    <x v="1"/>
    <x v="0"/>
    <s v="29 Howsman Road_x000a_Barnes_x000a_London_x000a_SW13 9AW"/>
    <s v="Demolition of the existing building and the erection of two new two-storey houses, one with a basement and side lightwells and the other with a basement with rear lightwell and rear dormer."/>
    <m/>
    <m/>
    <x v="2"/>
    <x v="0"/>
    <n v="522192"/>
    <n v="177628"/>
    <m/>
    <n v="2"/>
    <n v="0"/>
    <n v="0"/>
    <n v="0"/>
    <m/>
    <m/>
    <m/>
    <n v="2"/>
    <m/>
    <n v="0"/>
    <n v="2"/>
    <n v="0"/>
    <n v="0"/>
    <m/>
    <m/>
    <m/>
    <n v="2"/>
    <m/>
    <n v="-2"/>
    <n v="2"/>
    <n v="0"/>
    <n v="0"/>
    <n v="0"/>
    <n v="0"/>
    <n v="0"/>
    <n v="0"/>
    <x v="0"/>
    <n v="0"/>
    <n v="0"/>
    <n v="0"/>
    <n v="0"/>
    <n v="0"/>
    <n v="0"/>
    <n v="0"/>
    <x v="0"/>
    <n v="0"/>
    <n v="0"/>
    <n v="0"/>
    <n v="0"/>
    <n v="0"/>
    <x v="14"/>
    <m/>
    <x v="0"/>
    <x v="0"/>
    <x v="0"/>
  </r>
  <r>
    <s v="16/2729/FUL"/>
    <x v="0"/>
    <x v="0"/>
    <s v="41A Kings Road_x000a_Richmond_x000a_TW10 6EG"/>
    <s v="This Application proposes: 'Nos. 41 and 41a (currently a house and self-contained flat) to become a single dwelling house.'"/>
    <m/>
    <m/>
    <x v="2"/>
    <x v="0"/>
    <n v="518642"/>
    <n v="174770"/>
    <m/>
    <n v="1"/>
    <n v="0"/>
    <n v="0"/>
    <n v="1"/>
    <m/>
    <m/>
    <m/>
    <n v="2"/>
    <m/>
    <n v="0"/>
    <n v="0"/>
    <n v="0"/>
    <n v="1"/>
    <m/>
    <m/>
    <m/>
    <n v="1"/>
    <m/>
    <n v="-1"/>
    <n v="0"/>
    <n v="0"/>
    <n v="0"/>
    <n v="0"/>
    <n v="0"/>
    <n v="0"/>
    <n v="-1"/>
    <x v="0"/>
    <n v="0"/>
    <n v="-0.25"/>
    <n v="-0.25"/>
    <n v="-0.25"/>
    <n v="-0.25"/>
    <n v="0"/>
    <n v="0"/>
    <x v="1"/>
    <n v="0"/>
    <n v="0"/>
    <n v="0"/>
    <n v="0"/>
    <n v="0"/>
    <x v="12"/>
    <m/>
    <x v="0"/>
    <x v="0"/>
    <x v="0"/>
  </r>
  <r>
    <s v="16/2736/FUL"/>
    <x v="1"/>
    <x v="0"/>
    <s v="Downlands_x000a_Petersham Close_x000a_Petersham_x000a_Richmond_x000a_TW10 7DZ"/>
    <s v="Demolition of existing detached dwelling and construction of new 4 bed house."/>
    <m/>
    <m/>
    <x v="2"/>
    <x v="0"/>
    <n v="517972"/>
    <n v="172874"/>
    <m/>
    <n v="0"/>
    <n v="0"/>
    <n v="0"/>
    <n v="1"/>
    <m/>
    <m/>
    <m/>
    <n v="1"/>
    <m/>
    <n v="0"/>
    <n v="0"/>
    <n v="0"/>
    <n v="0"/>
    <n v="1"/>
    <m/>
    <m/>
    <n v="1"/>
    <m/>
    <n v="0"/>
    <n v="0"/>
    <n v="0"/>
    <n v="-1"/>
    <n v="1"/>
    <n v="0"/>
    <n v="0"/>
    <n v="0"/>
    <x v="0"/>
    <n v="0"/>
    <n v="0"/>
    <n v="0"/>
    <n v="0"/>
    <n v="0"/>
    <n v="0"/>
    <n v="0"/>
    <x v="0"/>
    <n v="0"/>
    <n v="0"/>
    <n v="0"/>
    <n v="0"/>
    <n v="0"/>
    <x v="7"/>
    <m/>
    <x v="0"/>
    <x v="0"/>
    <x v="0"/>
  </r>
  <r>
    <s v="16/2822/FUL"/>
    <x v="2"/>
    <x v="0"/>
    <s v="48 Sixth Cross Road_x000d_Twickenham_x000d_TW2 5PD"/>
    <s v="Half hip to gable roof extension, enlargement of existing dormer roof extension, erection of an additional dormer roof extension on rear roof slope and alteration to roof of single storey rear extension to provide a roof terrace to faciltate the conversio"/>
    <m/>
    <m/>
    <x v="2"/>
    <x v="0"/>
    <n v="514331"/>
    <n v="172184"/>
    <m/>
    <n v="0"/>
    <n v="0"/>
    <n v="0"/>
    <n v="0"/>
    <n v="0"/>
    <n v="0"/>
    <n v="1"/>
    <n v="1"/>
    <m/>
    <n v="1"/>
    <n v="1"/>
    <n v="1"/>
    <n v="0"/>
    <m/>
    <m/>
    <m/>
    <n v="3"/>
    <m/>
    <n v="1"/>
    <n v="1"/>
    <n v="1"/>
    <n v="0"/>
    <n v="0"/>
    <n v="0"/>
    <n v="-1"/>
    <n v="2"/>
    <x v="0"/>
    <n v="0"/>
    <n v="0.5"/>
    <n v="0.5"/>
    <n v="0.5"/>
    <n v="0.5"/>
    <n v="0"/>
    <n v="0"/>
    <x v="1"/>
    <n v="0"/>
    <n v="0"/>
    <n v="0"/>
    <n v="0"/>
    <n v="0"/>
    <x v="1"/>
    <m/>
    <x v="0"/>
    <x v="0"/>
    <x v="0"/>
  </r>
  <r>
    <s v="16/3146/GPD15"/>
    <x v="3"/>
    <x v="0"/>
    <s v="Wickham House_x000d_2 Upper Teddington Road_x000d_Hampton Wick_x000d__x000d_"/>
    <s v="Change of use of building from B1a (office use) to C3 residential use to provide 4 flats"/>
    <m/>
    <m/>
    <x v="2"/>
    <x v="0"/>
    <n v="517430"/>
    <n v="169806"/>
    <m/>
    <n v="0"/>
    <n v="0"/>
    <n v="0"/>
    <n v="0"/>
    <m/>
    <m/>
    <m/>
    <n v="0"/>
    <m/>
    <n v="2"/>
    <n v="2"/>
    <n v="0"/>
    <n v="0"/>
    <m/>
    <m/>
    <m/>
    <n v="4"/>
    <m/>
    <n v="2"/>
    <n v="2"/>
    <n v="0"/>
    <n v="0"/>
    <n v="0"/>
    <n v="0"/>
    <n v="0"/>
    <n v="4"/>
    <x v="0"/>
    <n v="0"/>
    <n v="1"/>
    <n v="1"/>
    <n v="1"/>
    <n v="1"/>
    <n v="0"/>
    <n v="0"/>
    <x v="1"/>
    <n v="0"/>
    <n v="0"/>
    <n v="0"/>
    <n v="0"/>
    <n v="0"/>
    <x v="9"/>
    <m/>
    <x v="1"/>
    <x v="0"/>
    <x v="0"/>
  </r>
  <r>
    <s v="16/3184/FUL"/>
    <x v="3"/>
    <x v="0"/>
    <s v="123 High Street_x000a_Whitton_x000a_Twickenham_x000a_TW2 7LQ"/>
    <s v="Proposed lower ground floor rear extension to provide 1 x 2 bedroom dwelling with associated garden, refuse and cycle storage.  Rear stair enclosure providing access to the existing first and second floors, external alterations and communal roof terrace"/>
    <m/>
    <m/>
    <x v="2"/>
    <x v="0"/>
    <n v="514223"/>
    <n v="173584"/>
    <m/>
    <n v="0"/>
    <n v="0"/>
    <n v="0"/>
    <n v="0"/>
    <m/>
    <m/>
    <m/>
    <n v="0"/>
    <m/>
    <n v="0"/>
    <n v="1"/>
    <n v="0"/>
    <n v="0"/>
    <m/>
    <m/>
    <m/>
    <n v="1"/>
    <m/>
    <n v="0"/>
    <n v="1"/>
    <n v="0"/>
    <n v="0"/>
    <n v="0"/>
    <n v="0"/>
    <n v="0"/>
    <n v="1"/>
    <x v="0"/>
    <n v="0"/>
    <n v="0.25"/>
    <n v="0.25"/>
    <n v="0.25"/>
    <n v="0.25"/>
    <n v="0"/>
    <n v="0"/>
    <x v="1"/>
    <n v="0"/>
    <n v="0"/>
    <n v="0"/>
    <n v="0"/>
    <n v="0"/>
    <x v="15"/>
    <m/>
    <x v="0"/>
    <x v="5"/>
    <x v="0"/>
  </r>
  <r>
    <s v="16/3290/FUL"/>
    <x v="1"/>
    <x v="0"/>
    <s v="45 The Vineyard Richmond TW10 6AS"/>
    <s v="Partial demolition of an existing building and the creation of 3 new dwelling houses and associated works."/>
    <m/>
    <m/>
    <x v="2"/>
    <x v="0"/>
    <n v="518209"/>
    <n v="174625"/>
    <m/>
    <n v="0"/>
    <n v="2"/>
    <n v="1"/>
    <n v="0"/>
    <m/>
    <m/>
    <m/>
    <n v="3"/>
    <m/>
    <n v="0"/>
    <n v="0"/>
    <n v="1"/>
    <n v="2"/>
    <m/>
    <m/>
    <m/>
    <n v="3"/>
    <m/>
    <n v="0"/>
    <n v="-2"/>
    <n v="0"/>
    <n v="2"/>
    <n v="0"/>
    <n v="0"/>
    <n v="0"/>
    <n v="0"/>
    <x v="0"/>
    <n v="0"/>
    <n v="0"/>
    <n v="0"/>
    <n v="0"/>
    <n v="0"/>
    <n v="0"/>
    <n v="0"/>
    <x v="0"/>
    <n v="0"/>
    <n v="0"/>
    <n v="0"/>
    <n v="0"/>
    <n v="0"/>
    <x v="12"/>
    <m/>
    <x v="0"/>
    <x v="0"/>
    <x v="0"/>
  </r>
  <r>
    <s v="16/3506/FUL"/>
    <x v="1"/>
    <x v="0"/>
    <s v="Somerville House 1 Rodney Road Twickenham"/>
    <s v="Demolition of the existing building and erection of 2 buildings at single-storey and three-stories to provide 24 affordable residential units (sheltered accommodation for older people of the minimum age of 55) with associated external amenities, communal"/>
    <m/>
    <m/>
    <x v="2"/>
    <x v="4"/>
    <n v="513257"/>
    <n v="174057"/>
    <m/>
    <n v="29"/>
    <n v="1"/>
    <n v="0"/>
    <n v="0"/>
    <m/>
    <m/>
    <m/>
    <n v="30"/>
    <m/>
    <n v="0"/>
    <n v="0"/>
    <n v="0"/>
    <n v="0"/>
    <m/>
    <m/>
    <m/>
    <n v="0"/>
    <m/>
    <n v="-29"/>
    <n v="-1"/>
    <n v="0"/>
    <n v="0"/>
    <n v="0"/>
    <n v="0"/>
    <n v="0"/>
    <n v="-30"/>
    <x v="0"/>
    <n v="0"/>
    <n v="0"/>
    <n v="0"/>
    <n v="0"/>
    <n v="-15"/>
    <n v="-15"/>
    <n v="0"/>
    <x v="1"/>
    <n v="0"/>
    <n v="0"/>
    <n v="0"/>
    <n v="0"/>
    <n v="0"/>
    <x v="15"/>
    <m/>
    <x v="0"/>
    <x v="0"/>
    <x v="0"/>
  </r>
  <r>
    <s v="16/3506/FUL"/>
    <x v="1"/>
    <x v="0"/>
    <s v="Somerville House 1 Rodney Road Twickenham"/>
    <s v="Demolition of the existing building and erection of 2 buildings at single-storey and three-stories to provide 24 affordable residential units (sheltered accommodation for older people of the minimum age of 55) with associated external amenities, communal"/>
    <m/>
    <m/>
    <x v="2"/>
    <x v="2"/>
    <n v="513257"/>
    <n v="174057"/>
    <m/>
    <n v="0"/>
    <n v="0"/>
    <n v="0"/>
    <n v="0"/>
    <m/>
    <m/>
    <m/>
    <n v="0"/>
    <m/>
    <n v="5"/>
    <n v="0"/>
    <n v="0"/>
    <n v="0"/>
    <m/>
    <m/>
    <m/>
    <n v="5"/>
    <m/>
    <n v="5"/>
    <n v="0"/>
    <n v="0"/>
    <n v="0"/>
    <n v="0"/>
    <n v="0"/>
    <n v="0"/>
    <n v="5"/>
    <x v="0"/>
    <n v="0"/>
    <n v="0"/>
    <n v="0"/>
    <n v="0"/>
    <n v="2.5"/>
    <n v="2.5"/>
    <n v="0"/>
    <x v="1"/>
    <n v="0"/>
    <n v="0"/>
    <n v="0"/>
    <n v="0"/>
    <n v="0"/>
    <x v="15"/>
    <m/>
    <x v="0"/>
    <x v="0"/>
    <x v="0"/>
  </r>
  <r>
    <s v="16/3506/FUL"/>
    <x v="1"/>
    <x v="0"/>
    <s v="Somerville House 1 Rodney Road Twickenham"/>
    <s v="Demolition of the existing building and erection of 2 buildings at single-storey and three-stories to provide 24 affordable residential units (sheltered accommodation for older people of the minimum age of 55) with associated external amenities, communal"/>
    <m/>
    <m/>
    <x v="2"/>
    <x v="1"/>
    <n v="513257"/>
    <n v="174057"/>
    <m/>
    <n v="0"/>
    <n v="0"/>
    <n v="0"/>
    <n v="0"/>
    <m/>
    <m/>
    <m/>
    <n v="0"/>
    <m/>
    <n v="19"/>
    <n v="0"/>
    <n v="0"/>
    <n v="0"/>
    <m/>
    <m/>
    <m/>
    <n v="19"/>
    <m/>
    <n v="19"/>
    <n v="0"/>
    <n v="0"/>
    <n v="0"/>
    <n v="0"/>
    <n v="0"/>
    <n v="0"/>
    <n v="19"/>
    <x v="0"/>
    <n v="0"/>
    <n v="0"/>
    <n v="0"/>
    <n v="0"/>
    <n v="9.5"/>
    <n v="9.5"/>
    <n v="0"/>
    <x v="1"/>
    <n v="0"/>
    <n v="0"/>
    <n v="0"/>
    <n v="0"/>
    <n v="0"/>
    <x v="15"/>
    <m/>
    <x v="0"/>
    <x v="0"/>
    <x v="0"/>
  </r>
  <r>
    <s v="16/3624/FUL"/>
    <x v="0"/>
    <x v="0"/>
    <s v="12 Ellerker Gardens Richmond"/>
    <s v="The reversion of the existing premises (five studios and one x one bed flat) to a single family dwelling.  Further excavation of existing basement by approximately 1m in depth, external alterations to the property and removal of existing ground floor rea"/>
    <m/>
    <m/>
    <x v="2"/>
    <x v="0"/>
    <n v="518104"/>
    <n v="174404"/>
    <m/>
    <n v="6"/>
    <n v="0"/>
    <n v="0"/>
    <n v="0"/>
    <m/>
    <m/>
    <m/>
    <n v="6"/>
    <m/>
    <n v="0"/>
    <n v="0"/>
    <n v="0"/>
    <n v="1"/>
    <m/>
    <m/>
    <m/>
    <n v="1"/>
    <m/>
    <n v="-6"/>
    <n v="0"/>
    <n v="0"/>
    <n v="1"/>
    <n v="0"/>
    <n v="0"/>
    <n v="0"/>
    <n v="-5"/>
    <x v="0"/>
    <n v="0"/>
    <n v="-1.25"/>
    <n v="-1.25"/>
    <n v="-1.25"/>
    <n v="-1.25"/>
    <n v="0"/>
    <n v="0"/>
    <x v="1"/>
    <n v="0"/>
    <n v="0"/>
    <n v="0"/>
    <n v="0"/>
    <n v="0"/>
    <x v="12"/>
    <m/>
    <x v="0"/>
    <x v="0"/>
    <x v="0"/>
  </r>
  <r>
    <s v="16/4127/FUL"/>
    <x v="0"/>
    <x v="0"/>
    <s v="Weir Cottage_x000a_5 Broom Road_x000a_Teddington"/>
    <s v="Conversion of property into two residential units (1 x 2 bed house and 1 x 3 bed house) with associated alterations to fenestration arrangements; Levelling of ground level; new canopy structure to east elevation and enlargement of rear terrace at ground"/>
    <m/>
    <m/>
    <x v="2"/>
    <x v="0"/>
    <n v="516719"/>
    <n v="171329"/>
    <m/>
    <n v="0"/>
    <n v="0"/>
    <n v="0"/>
    <n v="0"/>
    <n v="1"/>
    <m/>
    <m/>
    <n v="1"/>
    <m/>
    <n v="0"/>
    <n v="1"/>
    <n v="1"/>
    <n v="0"/>
    <m/>
    <m/>
    <m/>
    <n v="2"/>
    <m/>
    <n v="0"/>
    <n v="1"/>
    <n v="1"/>
    <n v="0"/>
    <n v="-1"/>
    <n v="0"/>
    <n v="0"/>
    <n v="1"/>
    <x v="0"/>
    <n v="0"/>
    <n v="0.25"/>
    <n v="0.25"/>
    <n v="0.25"/>
    <n v="0.25"/>
    <n v="0"/>
    <n v="0"/>
    <x v="1"/>
    <n v="0"/>
    <n v="0"/>
    <n v="0"/>
    <n v="0"/>
    <n v="0"/>
    <x v="2"/>
    <m/>
    <x v="0"/>
    <x v="0"/>
    <x v="1"/>
  </r>
  <r>
    <s v="16/4203/GPD13"/>
    <x v="3"/>
    <x v="0"/>
    <s v="34-36 High Street_x000d_Whitton_x000d_Twickenham_x000d_TW2 7LT_x000d_"/>
    <s v="Prior approval for conversion of rear part of shop (Use Class A1) to a self-contained residential unit (Use Class C3) including alterations to insert new doors and windows."/>
    <m/>
    <m/>
    <x v="2"/>
    <x v="0"/>
    <n v="514166"/>
    <n v="173881"/>
    <m/>
    <n v="0"/>
    <n v="0"/>
    <n v="0"/>
    <n v="0"/>
    <m/>
    <m/>
    <m/>
    <n v="0"/>
    <m/>
    <n v="1"/>
    <n v="0"/>
    <n v="0"/>
    <n v="0"/>
    <m/>
    <m/>
    <m/>
    <n v="1"/>
    <m/>
    <n v="1"/>
    <n v="0"/>
    <n v="0"/>
    <n v="0"/>
    <n v="0"/>
    <n v="0"/>
    <n v="0"/>
    <n v="1"/>
    <x v="0"/>
    <n v="0"/>
    <n v="0.25"/>
    <n v="0.25"/>
    <n v="0.25"/>
    <n v="0.25"/>
    <n v="0"/>
    <n v="0"/>
    <x v="1"/>
    <n v="0"/>
    <n v="0"/>
    <n v="0"/>
    <n v="0"/>
    <n v="0"/>
    <x v="15"/>
    <m/>
    <x v="0"/>
    <x v="5"/>
    <x v="0"/>
  </r>
  <r>
    <s v="16/4384/FUL"/>
    <x v="1"/>
    <x v="0"/>
    <s v="Land Junction Of North Worple Way And Wrights Walk Rear Of 31 Alder Road Mortlake"/>
    <s v="Demolition of the existing garage and erection of a new partially sunken one-bedroom, single-storey dwelling, and provision of a new boundary wall and entrance gate."/>
    <m/>
    <m/>
    <x v="2"/>
    <x v="0"/>
    <n v="520624"/>
    <n v="175780"/>
    <m/>
    <n v="0"/>
    <n v="0"/>
    <n v="0"/>
    <n v="0"/>
    <m/>
    <m/>
    <m/>
    <n v="0"/>
    <m/>
    <n v="1"/>
    <n v="0"/>
    <n v="0"/>
    <n v="0"/>
    <m/>
    <m/>
    <m/>
    <n v="1"/>
    <m/>
    <n v="1"/>
    <n v="0"/>
    <n v="0"/>
    <n v="0"/>
    <n v="0"/>
    <n v="0"/>
    <n v="0"/>
    <n v="1"/>
    <x v="0"/>
    <n v="0"/>
    <n v="0"/>
    <n v="0.33333333333333331"/>
    <n v="0.33333333333333331"/>
    <n v="0.33333333333333331"/>
    <n v="0"/>
    <n v="0"/>
    <x v="1"/>
    <n v="0"/>
    <n v="0"/>
    <n v="0"/>
    <n v="0"/>
    <n v="0"/>
    <x v="11"/>
    <m/>
    <x v="0"/>
    <x v="0"/>
    <x v="0"/>
  </r>
  <r>
    <s v="16/4553/FUL"/>
    <x v="1"/>
    <x v="0"/>
    <s v="63 - 71 High Street Hampton Hill"/>
    <s v="Demolition of existing buildings on site and erection 2 buildings (two to four-storeys in height), set around outer and inner landscaped courtyards, comprising of 6 townhouses, 35 flats and two commercial units on the High Street frontage (110 sq.m GIA)"/>
    <m/>
    <m/>
    <x v="2"/>
    <x v="0"/>
    <n v="514240"/>
    <n v="170830"/>
    <m/>
    <n v="2"/>
    <n v="1"/>
    <n v="0"/>
    <n v="0"/>
    <m/>
    <m/>
    <m/>
    <n v="3"/>
    <n v="1"/>
    <n v="17"/>
    <n v="17"/>
    <n v="5"/>
    <n v="0"/>
    <m/>
    <m/>
    <m/>
    <n v="41"/>
    <n v="1"/>
    <n v="15"/>
    <n v="16"/>
    <n v="5"/>
    <n v="0"/>
    <n v="0"/>
    <n v="0"/>
    <n v="0"/>
    <n v="38"/>
    <x v="0"/>
    <n v="0"/>
    <n v="0"/>
    <n v="12.666666666666666"/>
    <n v="12.666666666666666"/>
    <n v="12.666666666666666"/>
    <n v="0"/>
    <n v="0"/>
    <x v="1"/>
    <n v="0"/>
    <n v="0"/>
    <n v="0"/>
    <n v="0"/>
    <n v="0"/>
    <x v="5"/>
    <m/>
    <x v="4"/>
    <x v="0"/>
    <x v="0"/>
  </r>
  <r>
    <s v="16/4587/FUL"/>
    <x v="3"/>
    <x v="0"/>
    <s v="24 Christchurch Road East Sheen SW14 7AA"/>
    <s v="Proposed conversion of garden studio to one person residential studio incorporating the extension of depth and height of existing garden studio in order to create a first floor level, with installation of a rooflight to the eastern roofslope and a roofli"/>
    <m/>
    <m/>
    <x v="2"/>
    <x v="0"/>
    <n v="520283"/>
    <n v="175017"/>
    <m/>
    <n v="0"/>
    <n v="0"/>
    <n v="0"/>
    <n v="0"/>
    <m/>
    <m/>
    <m/>
    <n v="0"/>
    <n v="1"/>
    <n v="0"/>
    <n v="0"/>
    <n v="0"/>
    <n v="0"/>
    <m/>
    <m/>
    <m/>
    <n v="1"/>
    <n v="1"/>
    <n v="0"/>
    <n v="0"/>
    <n v="0"/>
    <n v="0"/>
    <n v="0"/>
    <n v="0"/>
    <n v="0"/>
    <n v="1"/>
    <x v="0"/>
    <n v="0"/>
    <n v="0.25"/>
    <n v="0.25"/>
    <n v="0.25"/>
    <n v="0.25"/>
    <n v="0"/>
    <n v="0"/>
    <x v="1"/>
    <n v="0"/>
    <n v="0"/>
    <n v="0"/>
    <n v="0"/>
    <n v="0"/>
    <x v="6"/>
    <m/>
    <x v="0"/>
    <x v="0"/>
    <x v="0"/>
  </r>
  <r>
    <s v="16/4635/FUL"/>
    <x v="1"/>
    <x v="0"/>
    <s v="Land Rear Of 12 To 36 Vincam Close Twickenham"/>
    <s v="Construction of a three bedroom single storey dwelling with associated hard and soft landscaping, parking and access road (bollard lit)"/>
    <m/>
    <m/>
    <x v="2"/>
    <x v="0"/>
    <n v="513432"/>
    <n v="173849"/>
    <m/>
    <n v="0"/>
    <n v="0"/>
    <n v="0"/>
    <n v="0"/>
    <m/>
    <m/>
    <m/>
    <n v="0"/>
    <m/>
    <n v="0"/>
    <n v="0"/>
    <n v="1"/>
    <n v="0"/>
    <m/>
    <m/>
    <m/>
    <n v="1"/>
    <m/>
    <n v="0"/>
    <n v="0"/>
    <n v="1"/>
    <n v="0"/>
    <n v="0"/>
    <n v="0"/>
    <n v="0"/>
    <n v="1"/>
    <x v="0"/>
    <n v="0"/>
    <n v="0"/>
    <n v="0.33333333333333331"/>
    <n v="0.33333333333333331"/>
    <n v="0.33333333333333331"/>
    <n v="0"/>
    <n v="0"/>
    <x v="1"/>
    <n v="0"/>
    <n v="0"/>
    <n v="0"/>
    <n v="0"/>
    <n v="0"/>
    <x v="15"/>
    <m/>
    <x v="0"/>
    <x v="0"/>
    <x v="0"/>
  </r>
  <r>
    <s v="16/4772/GPD15"/>
    <x v="3"/>
    <x v="1"/>
    <s v="52 - 64 Heath Road_x000a_Twickenham"/>
    <s v="Change of use of first floor from B1 office use to C3 residential use comprising 9 units (8 x 1 bed and 1 x 2 bed flats)"/>
    <m/>
    <m/>
    <x v="2"/>
    <x v="0"/>
    <n v="515974"/>
    <n v="173142"/>
    <m/>
    <n v="0"/>
    <n v="0"/>
    <n v="0"/>
    <n v="0"/>
    <m/>
    <m/>
    <m/>
    <n v="0"/>
    <m/>
    <n v="8"/>
    <n v="1"/>
    <n v="0"/>
    <n v="0"/>
    <m/>
    <m/>
    <m/>
    <n v="9"/>
    <m/>
    <n v="8"/>
    <n v="1"/>
    <n v="0"/>
    <n v="0"/>
    <n v="0"/>
    <n v="0"/>
    <n v="0"/>
    <n v="9"/>
    <x v="0"/>
    <n v="0"/>
    <n v="2.25"/>
    <n v="2.25"/>
    <n v="2.25"/>
    <n v="2.25"/>
    <n v="0"/>
    <n v="0"/>
    <x v="1"/>
    <n v="0"/>
    <n v="0"/>
    <n v="0"/>
    <n v="0"/>
    <n v="0"/>
    <x v="4"/>
    <m/>
    <x v="0"/>
    <x v="1"/>
    <x v="0"/>
  </r>
  <r>
    <s v="16/4902/FUL"/>
    <x v="1"/>
    <x v="0"/>
    <s v="91 Sheen Road Richmond TW9 1YJ"/>
    <s v="Construction of a two storey, one bed dwelling-house along with associated cycle storage, car parking and landscaping."/>
    <m/>
    <m/>
    <x v="2"/>
    <x v="0"/>
    <n v="518494"/>
    <n v="175035"/>
    <m/>
    <n v="0"/>
    <n v="0"/>
    <n v="0"/>
    <n v="0"/>
    <m/>
    <m/>
    <m/>
    <n v="0"/>
    <m/>
    <n v="1"/>
    <n v="0"/>
    <n v="0"/>
    <n v="0"/>
    <m/>
    <m/>
    <m/>
    <n v="1"/>
    <m/>
    <n v="1"/>
    <n v="0"/>
    <n v="0"/>
    <n v="0"/>
    <n v="0"/>
    <n v="0"/>
    <n v="0"/>
    <n v="1"/>
    <x v="0"/>
    <n v="0"/>
    <n v="0"/>
    <n v="0.33333333333333331"/>
    <n v="0.33333333333333331"/>
    <n v="0.33333333333333331"/>
    <n v="0"/>
    <n v="0"/>
    <x v="1"/>
    <n v="0"/>
    <n v="0"/>
    <n v="0"/>
    <n v="0"/>
    <n v="0"/>
    <x v="12"/>
    <m/>
    <x v="0"/>
    <x v="0"/>
    <x v="0"/>
  </r>
  <r>
    <s v="16/4932/GPD15"/>
    <x v="3"/>
    <x v="1"/>
    <s v="1 Mount Mews_x000a_Hampton_x000a_TW12 2SH"/>
    <s v="Change of use from B1( office use) to C3 (residential - 2 x 2 bed self contained flats)"/>
    <m/>
    <m/>
    <x v="2"/>
    <x v="0"/>
    <n v="513973"/>
    <n v="169575"/>
    <m/>
    <n v="0"/>
    <n v="0"/>
    <n v="0"/>
    <n v="0"/>
    <m/>
    <m/>
    <m/>
    <n v="0"/>
    <m/>
    <n v="0"/>
    <n v="2"/>
    <n v="0"/>
    <n v="0"/>
    <m/>
    <m/>
    <m/>
    <n v="2"/>
    <m/>
    <n v="0"/>
    <n v="2"/>
    <n v="0"/>
    <n v="0"/>
    <n v="0"/>
    <n v="0"/>
    <n v="0"/>
    <n v="2"/>
    <x v="0"/>
    <n v="0"/>
    <n v="0.5"/>
    <n v="0.5"/>
    <n v="0.5"/>
    <n v="0.5"/>
    <n v="0"/>
    <n v="0"/>
    <x v="1"/>
    <n v="0"/>
    <n v="0"/>
    <n v="0"/>
    <n v="0"/>
    <n v="0"/>
    <x v="8"/>
    <m/>
    <x v="14"/>
    <x v="0"/>
    <x v="0"/>
  </r>
  <r>
    <s v="17/0315/FUL"/>
    <x v="4"/>
    <x v="0"/>
    <s v="Willoughby House 439 Richmond Road Twickenham TW1 2AG"/>
    <s v="Part change of use of ground and first floor from B1 office use to C3  residential use to provide 2 x 2 bedroom duplex units.  Alterations and extension to facilitate the provision of additional B1 office use and C3 residential use at second floor level"/>
    <m/>
    <m/>
    <x v="2"/>
    <x v="0"/>
    <n v="517591"/>
    <n v="174434"/>
    <m/>
    <n v="0"/>
    <n v="0"/>
    <n v="0"/>
    <n v="0"/>
    <m/>
    <m/>
    <m/>
    <n v="0"/>
    <m/>
    <n v="3"/>
    <n v="1"/>
    <n v="0"/>
    <n v="0"/>
    <m/>
    <m/>
    <m/>
    <n v="4"/>
    <m/>
    <n v="3"/>
    <n v="1"/>
    <n v="0"/>
    <n v="0"/>
    <n v="0"/>
    <n v="0"/>
    <n v="0"/>
    <n v="4"/>
    <x v="0"/>
    <n v="0"/>
    <n v="0"/>
    <n v="1.3333333333333333"/>
    <n v="1.3333333333333333"/>
    <n v="1.3333333333333333"/>
    <n v="0"/>
    <n v="0"/>
    <x v="1"/>
    <n v="0"/>
    <n v="0"/>
    <n v="0"/>
    <n v="0"/>
    <n v="0"/>
    <x v="4"/>
    <m/>
    <x v="15"/>
    <x v="0"/>
    <x v="0"/>
  </r>
  <r>
    <s v="17/0323/FUL"/>
    <x v="1"/>
    <x v="0"/>
    <s v="Courtyard Apartments_x000a_70B Hampton Road_x000a_Teddington"/>
    <s v="Erection of a three-storey building to provide  4 two-bedroom residential units (Class C3) separate refuse facilities and altered parking layout."/>
    <m/>
    <m/>
    <x v="2"/>
    <x v="0"/>
    <n v="514687"/>
    <n v="171290"/>
    <m/>
    <n v="0"/>
    <n v="0"/>
    <n v="0"/>
    <n v="0"/>
    <m/>
    <m/>
    <m/>
    <n v="0"/>
    <m/>
    <n v="0"/>
    <n v="4"/>
    <n v="0"/>
    <n v="0"/>
    <m/>
    <m/>
    <m/>
    <n v="4"/>
    <m/>
    <n v="0"/>
    <n v="4"/>
    <n v="0"/>
    <n v="0"/>
    <n v="0"/>
    <n v="0"/>
    <n v="0"/>
    <n v="4"/>
    <x v="0"/>
    <n v="0"/>
    <n v="0"/>
    <n v="1.3333333333333333"/>
    <n v="1.3333333333333333"/>
    <n v="1.3333333333333333"/>
    <n v="0"/>
    <n v="0"/>
    <x v="1"/>
    <n v="0"/>
    <n v="0"/>
    <n v="0"/>
    <n v="0"/>
    <n v="0"/>
    <x v="5"/>
    <m/>
    <x v="0"/>
    <x v="0"/>
    <x v="0"/>
  </r>
  <r>
    <s v="17/0330/FUL"/>
    <x v="1"/>
    <x v="0"/>
    <s v="58 Munster Road_x000a_Teddington_x000a_TW11 9LL"/>
    <s v="1 no. 2 storey 6-bedroom dwellinghouse with rooms in the roof and 1 no. one storey with basement 5-bedroom dwelling house (following demolition of existing dwelling at No.58 Munster Road), and associated refuse/recycling store, cycle parking and parking"/>
    <m/>
    <m/>
    <x v="2"/>
    <x v="0"/>
    <n v="517123"/>
    <n v="170663"/>
    <m/>
    <n v="0"/>
    <n v="0"/>
    <n v="0"/>
    <n v="1"/>
    <m/>
    <m/>
    <m/>
    <n v="1"/>
    <m/>
    <n v="0"/>
    <n v="0"/>
    <n v="0"/>
    <n v="0"/>
    <n v="1"/>
    <n v="1"/>
    <m/>
    <n v="2"/>
    <m/>
    <n v="0"/>
    <n v="0"/>
    <n v="0"/>
    <n v="-1"/>
    <n v="1"/>
    <n v="1"/>
    <n v="0"/>
    <n v="1"/>
    <x v="0"/>
    <n v="0"/>
    <n v="0"/>
    <n v="0.33333333333333331"/>
    <n v="0.33333333333333331"/>
    <n v="0.33333333333333331"/>
    <n v="0"/>
    <n v="0"/>
    <x v="1"/>
    <n v="0"/>
    <n v="0"/>
    <n v="0"/>
    <n v="0"/>
    <n v="0"/>
    <x v="9"/>
    <m/>
    <x v="0"/>
    <x v="0"/>
    <x v="0"/>
  </r>
  <r>
    <s v="17/0341/GPD13"/>
    <x v="3"/>
    <x v="1"/>
    <s v="Teddington Garden Centre_x000a_Station Road_x000a_Teddington_x000a_TW11 9AA"/>
    <s v="Change of use from retail (Use Class A1) to 1 residential unit (Use Class C3) with associated cycle and refuse provision."/>
    <m/>
    <m/>
    <x v="2"/>
    <x v="0"/>
    <n v="516015"/>
    <n v="170858"/>
    <m/>
    <n v="0"/>
    <n v="0"/>
    <n v="0"/>
    <n v="0"/>
    <m/>
    <m/>
    <m/>
    <n v="0"/>
    <m/>
    <n v="0"/>
    <n v="0"/>
    <n v="1"/>
    <n v="0"/>
    <m/>
    <m/>
    <m/>
    <n v="1"/>
    <m/>
    <n v="0"/>
    <n v="0"/>
    <n v="1"/>
    <n v="0"/>
    <n v="0"/>
    <n v="0"/>
    <n v="0"/>
    <n v="1"/>
    <x v="0"/>
    <n v="0"/>
    <n v="0.25"/>
    <n v="0.25"/>
    <n v="0.25"/>
    <n v="0.25"/>
    <n v="0"/>
    <n v="0"/>
    <x v="1"/>
    <n v="0"/>
    <n v="0"/>
    <n v="0"/>
    <n v="0"/>
    <n v="0"/>
    <x v="2"/>
    <m/>
    <x v="0"/>
    <x v="4"/>
    <x v="0"/>
  </r>
  <r>
    <s v="17/0346/FUL"/>
    <x v="0"/>
    <x v="0"/>
    <s v="49 Manor Road Richmond TW9 1YA"/>
    <s v="Subdivision of house (C3) to form 2 no. 2-bed flats (C3), ground floor infill side extension, to the rear of property, with windows to north elevation and hip to gable roof extension, rear facing dormer, including 2 No. front facing rooflights, following"/>
    <d v="2017-11-01T00:00:00"/>
    <m/>
    <x v="2"/>
    <x v="0"/>
    <n v="519014"/>
    <n v="175279"/>
    <m/>
    <n v="0"/>
    <n v="0"/>
    <n v="0"/>
    <n v="1"/>
    <m/>
    <m/>
    <m/>
    <n v="1"/>
    <m/>
    <n v="0"/>
    <n v="2"/>
    <n v="0"/>
    <n v="0"/>
    <m/>
    <m/>
    <m/>
    <n v="2"/>
    <m/>
    <n v="0"/>
    <n v="2"/>
    <n v="0"/>
    <n v="-1"/>
    <n v="0"/>
    <n v="0"/>
    <n v="0"/>
    <n v="1"/>
    <x v="0"/>
    <n v="0"/>
    <n v="1"/>
    <n v="0"/>
    <n v="0"/>
    <n v="0"/>
    <n v="0"/>
    <n v="0"/>
    <x v="0"/>
    <n v="0"/>
    <n v="0"/>
    <n v="0"/>
    <n v="0"/>
    <n v="0"/>
    <x v="16"/>
    <m/>
    <x v="0"/>
    <x v="0"/>
    <x v="0"/>
  </r>
  <r>
    <s v="17/0460/FUL"/>
    <x v="0"/>
    <x v="0"/>
    <s v="45 Castelnau Barnes SW13 9RT"/>
    <s v="Reversion of 4no. flats to a single family dwellinghouse."/>
    <m/>
    <m/>
    <x v="2"/>
    <x v="0"/>
    <n v="522418"/>
    <n v="176934"/>
    <m/>
    <n v="3"/>
    <n v="0"/>
    <n v="0"/>
    <n v="0"/>
    <n v="1"/>
    <m/>
    <m/>
    <n v="4"/>
    <m/>
    <n v="0"/>
    <n v="0"/>
    <n v="0"/>
    <n v="0"/>
    <m/>
    <m/>
    <n v="1"/>
    <n v="1"/>
    <m/>
    <n v="-3"/>
    <n v="0"/>
    <n v="0"/>
    <n v="0"/>
    <n v="-1"/>
    <n v="0"/>
    <n v="1"/>
    <n v="-3"/>
    <x v="0"/>
    <n v="0"/>
    <n v="-0.75"/>
    <n v="-0.75"/>
    <n v="-0.75"/>
    <n v="-0.75"/>
    <n v="0"/>
    <n v="0"/>
    <x v="1"/>
    <n v="0"/>
    <n v="0"/>
    <n v="0"/>
    <n v="0"/>
    <n v="0"/>
    <x v="14"/>
    <m/>
    <x v="0"/>
    <x v="0"/>
    <x v="0"/>
  </r>
  <r>
    <s v="17/0600/FUL"/>
    <x v="3"/>
    <x v="0"/>
    <s v="2-4 Heath Road Twickenham TW1 4BZ"/>
    <s v="Change of use from existing open hall (D1) into 2 x residential apartments (C3)."/>
    <m/>
    <m/>
    <x v="2"/>
    <x v="0"/>
    <n v="516126"/>
    <n v="173185"/>
    <m/>
    <n v="0"/>
    <n v="0"/>
    <n v="0"/>
    <n v="0"/>
    <m/>
    <m/>
    <m/>
    <n v="0"/>
    <m/>
    <n v="2"/>
    <n v="0"/>
    <n v="0"/>
    <n v="0"/>
    <m/>
    <m/>
    <m/>
    <n v="2"/>
    <m/>
    <n v="2"/>
    <n v="0"/>
    <n v="0"/>
    <n v="0"/>
    <n v="0"/>
    <n v="0"/>
    <n v="0"/>
    <n v="2"/>
    <x v="0"/>
    <n v="0"/>
    <n v="0.5"/>
    <n v="0.5"/>
    <n v="0.5"/>
    <n v="0.5"/>
    <n v="0"/>
    <n v="0"/>
    <x v="1"/>
    <n v="0"/>
    <n v="0"/>
    <n v="0"/>
    <n v="0"/>
    <n v="0"/>
    <x v="4"/>
    <m/>
    <x v="0"/>
    <x v="1"/>
    <x v="0"/>
  </r>
  <r>
    <s v="17/0733/FUL"/>
    <x v="0"/>
    <x v="0"/>
    <s v="26 Colston Road East Sheen SW14 7PG"/>
    <s v="Alterations incorporating rear dormer, rooflights to front roofslope and external stairs to rear.  Alterations to create a 1-bed flat on the first floor, a 2-bed duplex flat on the second and third floor roof extension. Division of the rear roof terrace"/>
    <m/>
    <m/>
    <x v="2"/>
    <x v="0"/>
    <n v="520325"/>
    <n v="175316"/>
    <m/>
    <n v="0"/>
    <n v="0"/>
    <n v="1"/>
    <n v="0"/>
    <m/>
    <m/>
    <m/>
    <n v="1"/>
    <m/>
    <n v="1"/>
    <n v="1"/>
    <n v="0"/>
    <n v="0"/>
    <m/>
    <m/>
    <m/>
    <n v="2"/>
    <m/>
    <n v="1"/>
    <n v="1"/>
    <n v="-1"/>
    <n v="0"/>
    <n v="0"/>
    <n v="0"/>
    <n v="0"/>
    <n v="1"/>
    <x v="0"/>
    <n v="0"/>
    <n v="0.25"/>
    <n v="0.25"/>
    <n v="0.25"/>
    <n v="0.25"/>
    <n v="0"/>
    <n v="0"/>
    <x v="1"/>
    <n v="0"/>
    <n v="0"/>
    <n v="0"/>
    <n v="0"/>
    <n v="0"/>
    <x v="6"/>
    <m/>
    <x v="0"/>
    <x v="2"/>
    <x v="0"/>
  </r>
  <r>
    <s v="17/0788/FUL"/>
    <x v="1"/>
    <x v="0"/>
    <s v="High Wigsell 35 Twickenham Road Teddington"/>
    <s v="Demolition of lock up garages to provide 1 no. detached 4 bedroom dwellinghouse with associated parking, cycle and refuse stores, new boundary fence and hard and soft landscaping."/>
    <m/>
    <m/>
    <x v="2"/>
    <x v="0"/>
    <n v="516399"/>
    <n v="171470"/>
    <m/>
    <n v="0"/>
    <n v="0"/>
    <n v="0"/>
    <n v="0"/>
    <m/>
    <m/>
    <m/>
    <n v="0"/>
    <m/>
    <n v="0"/>
    <n v="0"/>
    <n v="0"/>
    <n v="1"/>
    <m/>
    <m/>
    <m/>
    <n v="1"/>
    <m/>
    <n v="0"/>
    <n v="0"/>
    <n v="0"/>
    <n v="1"/>
    <n v="0"/>
    <n v="0"/>
    <n v="0"/>
    <n v="1"/>
    <x v="0"/>
    <n v="0"/>
    <n v="0"/>
    <n v="0.33333333333333331"/>
    <n v="0.33333333333333331"/>
    <n v="0.33333333333333331"/>
    <n v="0"/>
    <n v="0"/>
    <x v="1"/>
    <n v="0"/>
    <n v="0"/>
    <n v="0"/>
    <n v="0"/>
    <n v="0"/>
    <x v="2"/>
    <m/>
    <x v="0"/>
    <x v="0"/>
    <x v="0"/>
  </r>
  <r>
    <s v="17/0798/FUL"/>
    <x v="1"/>
    <x v="0"/>
    <s v="25 Cedar Avenue_x000a_Twickenham_x000a_TW2 7HD"/>
    <s v="Demolition of the existing detached bungalow and all outbuildings on site together with infill of the existing ponds to facilitate the construction of a pair of four bedroom semi-detached houses with associated boundary treatment, car parking, bin storag"/>
    <m/>
    <m/>
    <x v="2"/>
    <x v="0"/>
    <n v="514058"/>
    <n v="174409"/>
    <m/>
    <n v="0"/>
    <n v="0"/>
    <n v="0"/>
    <n v="1"/>
    <m/>
    <m/>
    <m/>
    <n v="1"/>
    <m/>
    <n v="0"/>
    <n v="0"/>
    <n v="0"/>
    <n v="2"/>
    <m/>
    <m/>
    <m/>
    <n v="2"/>
    <m/>
    <n v="0"/>
    <n v="0"/>
    <n v="0"/>
    <n v="1"/>
    <n v="0"/>
    <n v="0"/>
    <n v="0"/>
    <n v="1"/>
    <x v="0"/>
    <n v="0"/>
    <n v="0"/>
    <n v="0.33333333333333331"/>
    <n v="0.33333333333333331"/>
    <n v="0.33333333333333331"/>
    <n v="0"/>
    <n v="0"/>
    <x v="1"/>
    <n v="0"/>
    <n v="0"/>
    <n v="0"/>
    <n v="0"/>
    <n v="0"/>
    <x v="15"/>
    <m/>
    <x v="0"/>
    <x v="0"/>
    <x v="0"/>
  </r>
  <r>
    <s v="17/1033/FUL"/>
    <x v="1"/>
    <x v="0"/>
    <s v="Lockcorp House 75 Norcutt Road Twickenham TW2 6SR"/>
    <s v="Demolition of Lockcorp House; erection of a part four, part five-storey building comprising  9 no. student cluster flats (49 study/bedrooms in total); three car parking spaces including one disabled space, ancillary cycle and refuse storage and landscapi"/>
    <m/>
    <m/>
    <x v="2"/>
    <x v="0"/>
    <n v="515337"/>
    <n v="173383"/>
    <m/>
    <n v="0"/>
    <n v="0"/>
    <n v="0"/>
    <n v="0"/>
    <m/>
    <m/>
    <m/>
    <n v="0"/>
    <m/>
    <n v="0"/>
    <n v="0"/>
    <n v="0"/>
    <n v="1"/>
    <n v="3"/>
    <n v="5"/>
    <m/>
    <n v="9"/>
    <m/>
    <n v="0"/>
    <n v="0"/>
    <n v="0"/>
    <n v="1"/>
    <n v="3"/>
    <n v="5"/>
    <n v="0"/>
    <n v="9"/>
    <x v="0"/>
    <n v="0"/>
    <n v="4.5"/>
    <n v="4.5"/>
    <n v="0"/>
    <n v="0"/>
    <n v="0"/>
    <n v="0"/>
    <x v="1"/>
    <n v="0"/>
    <n v="0"/>
    <n v="0"/>
    <n v="0"/>
    <n v="0"/>
    <x v="17"/>
    <m/>
    <x v="0"/>
    <x v="0"/>
    <x v="0"/>
  </r>
  <r>
    <s v="17/1139/GPD15"/>
    <x v="3"/>
    <x v="0"/>
    <s v="108 Sherland Road_x000d_Twickenham_x000d_TW1 4HD_x000d_"/>
    <s v="Change of use of property from B1a (office use) to C3 (residential) to provide 1 no. 4 bedroom dwellinghouse"/>
    <m/>
    <m/>
    <x v="2"/>
    <x v="0"/>
    <n v="516024"/>
    <n v="173277"/>
    <m/>
    <n v="0"/>
    <n v="0"/>
    <n v="0"/>
    <n v="0"/>
    <m/>
    <m/>
    <m/>
    <n v="0"/>
    <m/>
    <n v="0"/>
    <n v="0"/>
    <n v="0"/>
    <n v="1"/>
    <m/>
    <m/>
    <m/>
    <n v="1"/>
    <m/>
    <n v="0"/>
    <n v="0"/>
    <n v="0"/>
    <n v="1"/>
    <n v="0"/>
    <n v="0"/>
    <n v="0"/>
    <n v="1"/>
    <x v="0"/>
    <n v="0"/>
    <n v="0.25"/>
    <n v="0.25"/>
    <n v="0.25"/>
    <n v="0.25"/>
    <n v="0"/>
    <n v="0"/>
    <x v="1"/>
    <n v="0"/>
    <n v="0"/>
    <n v="0"/>
    <n v="0"/>
    <n v="0"/>
    <x v="4"/>
    <m/>
    <x v="0"/>
    <x v="0"/>
    <x v="0"/>
  </r>
  <r>
    <s v="17/1285/GPD15"/>
    <x v="3"/>
    <x v="1"/>
    <s v="First Floor_x000a_300 - 302 Sandycombe Road_x000a_Richmond"/>
    <s v="Change of use from B1 office to C3 residential."/>
    <m/>
    <m/>
    <x v="2"/>
    <x v="0"/>
    <n v="519061"/>
    <n v="176662"/>
    <m/>
    <n v="0"/>
    <n v="0"/>
    <n v="0"/>
    <n v="0"/>
    <m/>
    <m/>
    <m/>
    <n v="0"/>
    <m/>
    <n v="0"/>
    <n v="2"/>
    <n v="0"/>
    <n v="0"/>
    <m/>
    <m/>
    <m/>
    <n v="2"/>
    <m/>
    <n v="0"/>
    <n v="2"/>
    <n v="0"/>
    <n v="0"/>
    <n v="0"/>
    <n v="0"/>
    <n v="0"/>
    <n v="2"/>
    <x v="0"/>
    <n v="0"/>
    <n v="0.5"/>
    <n v="0.5"/>
    <n v="0.5"/>
    <n v="0.5"/>
    <n v="0"/>
    <n v="0"/>
    <x v="1"/>
    <n v="0"/>
    <n v="0"/>
    <n v="0"/>
    <n v="0"/>
    <n v="0"/>
    <x v="10"/>
    <m/>
    <x v="0"/>
    <x v="0"/>
    <x v="0"/>
  </r>
  <r>
    <s v="17/1371/FUL"/>
    <x v="3"/>
    <x v="0"/>
    <s v="2A Talbot Road Isleworth TW7 7HH"/>
    <s v="Change of use from B1(a) business use into a live/work (C3/B1 mixed use) unit."/>
    <m/>
    <m/>
    <x v="2"/>
    <x v="0"/>
    <n v="516541"/>
    <n v="175254"/>
    <m/>
    <n v="0"/>
    <n v="0"/>
    <n v="0"/>
    <n v="0"/>
    <m/>
    <m/>
    <m/>
    <n v="0"/>
    <m/>
    <n v="1"/>
    <n v="0"/>
    <n v="0"/>
    <n v="0"/>
    <m/>
    <m/>
    <m/>
    <n v="1"/>
    <m/>
    <n v="1"/>
    <n v="0"/>
    <n v="0"/>
    <n v="0"/>
    <n v="0"/>
    <n v="0"/>
    <n v="0"/>
    <n v="1"/>
    <x v="0"/>
    <n v="0"/>
    <n v="0.25"/>
    <n v="0.25"/>
    <n v="0.25"/>
    <n v="0.25"/>
    <n v="0"/>
    <n v="0"/>
    <x v="1"/>
    <n v="0"/>
    <n v="0"/>
    <n v="0"/>
    <n v="0"/>
    <n v="0"/>
    <x v="3"/>
    <m/>
    <x v="0"/>
    <x v="0"/>
    <x v="0"/>
  </r>
  <r>
    <s v="17/1453/FUL"/>
    <x v="3"/>
    <x v="0"/>
    <s v="100 Colne Road_x000a_Twickenham_x000a_TW2 6QE"/>
    <s v="Change of use of premises to live/work unit (mixed C3/B1(c) (sui generis)).  First floor extension. Erection of timber screening to existing roof terrace. Alterations to existing elevations."/>
    <m/>
    <m/>
    <x v="2"/>
    <x v="0"/>
    <n v="515313"/>
    <n v="173179"/>
    <m/>
    <n v="0"/>
    <n v="0"/>
    <n v="0"/>
    <n v="0"/>
    <m/>
    <m/>
    <m/>
    <n v="0"/>
    <m/>
    <n v="1"/>
    <n v="0"/>
    <n v="0"/>
    <n v="0"/>
    <m/>
    <m/>
    <m/>
    <n v="1"/>
    <m/>
    <n v="1"/>
    <n v="0"/>
    <n v="0"/>
    <n v="0"/>
    <n v="0"/>
    <n v="0"/>
    <n v="0"/>
    <n v="1"/>
    <x v="0"/>
    <n v="0"/>
    <n v="0.25"/>
    <n v="0.25"/>
    <n v="0.25"/>
    <n v="0.25"/>
    <n v="0"/>
    <n v="0"/>
    <x v="1"/>
    <n v="0"/>
    <n v="0"/>
    <n v="0"/>
    <n v="0"/>
    <n v="0"/>
    <x v="17"/>
    <m/>
    <x v="0"/>
    <x v="0"/>
    <x v="0"/>
  </r>
  <r>
    <s v="17/1550/FUL"/>
    <x v="1"/>
    <x v="0"/>
    <s v="The Firs_x000a_Church Grove_x000a_Hampton Wick_x000a_Kingston Upon Thames_x000a_KT1 4AL"/>
    <s v="Demolition of existing building and erection of part two storey/part four storey building to provide 9 residential flats (6 x one bed, 3 x two bed) and new basement level to facilitate provision of underground parking and associated hard and soft landsca"/>
    <m/>
    <m/>
    <x v="2"/>
    <x v="0"/>
    <n v="517393"/>
    <n v="169491"/>
    <m/>
    <n v="0"/>
    <n v="0"/>
    <n v="1"/>
    <n v="0"/>
    <m/>
    <m/>
    <m/>
    <n v="1"/>
    <m/>
    <n v="6"/>
    <n v="3"/>
    <n v="0"/>
    <n v="0"/>
    <m/>
    <m/>
    <m/>
    <n v="9"/>
    <m/>
    <n v="6"/>
    <n v="3"/>
    <n v="-1"/>
    <n v="0"/>
    <n v="0"/>
    <n v="0"/>
    <n v="0"/>
    <n v="8"/>
    <x v="0"/>
    <n v="0"/>
    <n v="0"/>
    <n v="2.6666666666666665"/>
    <n v="2.6666666666666665"/>
    <n v="2.6666666666666665"/>
    <n v="0"/>
    <n v="0"/>
    <x v="1"/>
    <n v="0"/>
    <n v="0"/>
    <n v="0"/>
    <n v="0"/>
    <n v="0"/>
    <x v="9"/>
    <m/>
    <x v="0"/>
    <x v="0"/>
    <x v="0"/>
  </r>
  <r>
    <s v="17/1621/FUL"/>
    <x v="3"/>
    <x v="0"/>
    <s v="3 Union Court Sheen Road Richmond"/>
    <s v="Conversion of First Floor Offices (B1) to Residential (C3) and Remodelling of Second Floor Flat."/>
    <m/>
    <m/>
    <x v="2"/>
    <x v="0"/>
    <n v="518053"/>
    <n v="174903"/>
    <m/>
    <n v="0"/>
    <n v="0"/>
    <n v="0"/>
    <n v="0"/>
    <m/>
    <m/>
    <m/>
    <n v="0"/>
    <m/>
    <n v="1"/>
    <n v="0"/>
    <n v="0"/>
    <n v="0"/>
    <m/>
    <m/>
    <m/>
    <n v="1"/>
    <m/>
    <n v="1"/>
    <n v="0"/>
    <n v="0"/>
    <n v="0"/>
    <n v="0"/>
    <n v="0"/>
    <n v="0"/>
    <n v="1"/>
    <x v="0"/>
    <n v="0"/>
    <n v="0.25"/>
    <n v="0.25"/>
    <n v="0.25"/>
    <n v="0.25"/>
    <n v="0"/>
    <n v="0"/>
    <x v="1"/>
    <n v="0"/>
    <n v="0"/>
    <n v="0"/>
    <n v="0"/>
    <n v="0"/>
    <x v="12"/>
    <m/>
    <x v="0"/>
    <x v="3"/>
    <x v="0"/>
  </r>
  <r>
    <s v="17/1782/FUL"/>
    <x v="1"/>
    <x v="0"/>
    <s v="8 Atbara Road_x000a_Teddington_x000a_TW11 9PD"/>
    <s v="Demolition of existing two-storey detached dwelling with basement, and construction of new three-storey detached dwelling with basement."/>
    <m/>
    <m/>
    <x v="2"/>
    <x v="0"/>
    <n v="516874"/>
    <n v="170756"/>
    <m/>
    <n v="0"/>
    <n v="1"/>
    <n v="0"/>
    <n v="0"/>
    <m/>
    <m/>
    <m/>
    <n v="1"/>
    <m/>
    <n v="0"/>
    <n v="0"/>
    <n v="0"/>
    <n v="0"/>
    <n v="1"/>
    <m/>
    <m/>
    <n v="1"/>
    <m/>
    <n v="0"/>
    <n v="-1"/>
    <n v="0"/>
    <n v="0"/>
    <n v="1"/>
    <n v="0"/>
    <n v="0"/>
    <n v="0"/>
    <x v="0"/>
    <n v="0"/>
    <n v="0"/>
    <n v="0"/>
    <n v="0"/>
    <n v="0"/>
    <n v="0"/>
    <n v="0"/>
    <x v="0"/>
    <n v="0"/>
    <n v="0"/>
    <n v="0"/>
    <n v="0"/>
    <n v="0"/>
    <x v="9"/>
    <m/>
    <x v="0"/>
    <x v="0"/>
    <x v="0"/>
  </r>
  <r>
    <s v="17/1937/FUL"/>
    <x v="3"/>
    <x v="0"/>
    <s v="2 - 3 Stable Mews Twickenham"/>
    <s v="Demolition of the existing coach houses to allow for the erection of two dwellinghouses (1x 2b 4p and 1x 2b 3p) with internal cycle and refuse/recycle storages."/>
    <m/>
    <m/>
    <x v="2"/>
    <x v="0"/>
    <n v="515790"/>
    <n v="173166"/>
    <m/>
    <n v="0"/>
    <n v="0"/>
    <n v="0"/>
    <n v="0"/>
    <m/>
    <m/>
    <m/>
    <n v="0"/>
    <m/>
    <n v="0"/>
    <n v="2"/>
    <n v="0"/>
    <n v="0"/>
    <m/>
    <m/>
    <m/>
    <n v="2"/>
    <m/>
    <n v="0"/>
    <n v="2"/>
    <n v="0"/>
    <n v="0"/>
    <n v="0"/>
    <n v="0"/>
    <n v="0"/>
    <n v="2"/>
    <x v="0"/>
    <n v="0"/>
    <n v="0.5"/>
    <n v="0.5"/>
    <n v="0.5"/>
    <n v="0.5"/>
    <n v="0"/>
    <n v="0"/>
    <x v="1"/>
    <n v="0"/>
    <n v="0"/>
    <n v="0"/>
    <n v="0"/>
    <n v="0"/>
    <x v="17"/>
    <m/>
    <x v="0"/>
    <x v="1"/>
    <x v="0"/>
  </r>
  <r>
    <s v="17/2314/FUL"/>
    <x v="1"/>
    <x v="0"/>
    <s v="34 Courtlands Avenue_x000a_Hampton_x000a_TW12 3NT"/>
    <s v="Demolition of the existing two storey detached house and replacement with a new  built three storey detached house with basement with associated hard and soft landscaping."/>
    <m/>
    <m/>
    <x v="2"/>
    <x v="0"/>
    <n v="512725"/>
    <n v="170606"/>
    <m/>
    <n v="0"/>
    <n v="0"/>
    <n v="0"/>
    <n v="1"/>
    <m/>
    <m/>
    <m/>
    <n v="1"/>
    <m/>
    <n v="0"/>
    <n v="0"/>
    <n v="0"/>
    <n v="0"/>
    <n v="1"/>
    <m/>
    <m/>
    <n v="1"/>
    <m/>
    <n v="0"/>
    <n v="0"/>
    <n v="0"/>
    <n v="-1"/>
    <n v="1"/>
    <n v="0"/>
    <n v="0"/>
    <n v="0"/>
    <x v="0"/>
    <n v="0"/>
    <n v="0"/>
    <n v="0"/>
    <n v="0"/>
    <n v="0"/>
    <n v="0"/>
    <n v="0"/>
    <x v="0"/>
    <n v="0"/>
    <n v="0"/>
    <n v="0"/>
    <n v="0"/>
    <n v="0"/>
    <x v="13"/>
    <m/>
    <x v="0"/>
    <x v="0"/>
    <x v="0"/>
  </r>
  <r>
    <s v="17/2532/GPD15"/>
    <x v="3"/>
    <x v="0"/>
    <s v="The Coach House_x000d_273A Sandycombe Road_x000d_Richmond_x000d_TW9 3LU_x000d_"/>
    <s v="Prior approval for the change of use from office B1(a) to residential (C3) in the form of 5 no. units."/>
    <m/>
    <m/>
    <x v="2"/>
    <x v="0"/>
    <n v="519113"/>
    <n v="176411"/>
    <m/>
    <n v="0"/>
    <n v="0"/>
    <n v="0"/>
    <n v="0"/>
    <m/>
    <m/>
    <m/>
    <n v="0"/>
    <n v="4"/>
    <n v="1"/>
    <n v="0"/>
    <n v="0"/>
    <n v="0"/>
    <m/>
    <m/>
    <m/>
    <n v="5"/>
    <n v="4"/>
    <n v="1"/>
    <n v="0"/>
    <n v="0"/>
    <n v="0"/>
    <n v="0"/>
    <n v="0"/>
    <n v="0"/>
    <n v="5"/>
    <x v="0"/>
    <n v="0"/>
    <n v="1.25"/>
    <n v="1.25"/>
    <n v="1.25"/>
    <n v="1.25"/>
    <n v="0"/>
    <n v="0"/>
    <x v="1"/>
    <n v="0"/>
    <n v="0"/>
    <n v="0"/>
    <n v="0"/>
    <n v="0"/>
    <x v="10"/>
    <m/>
    <x v="0"/>
    <x v="0"/>
    <x v="0"/>
  </r>
  <r>
    <s v="17/2586/FUL"/>
    <x v="0"/>
    <x v="0"/>
    <s v="First Floor Flat_x000a_18 Percival Road_x000a_East Sheen_x000a_London_x000a_SW14 7QE"/>
    <s v="Change of use from 2 no. flats back to a single family dwelling house."/>
    <m/>
    <m/>
    <x v="2"/>
    <x v="0"/>
    <n v="520088"/>
    <n v="175029"/>
    <m/>
    <n v="2"/>
    <n v="0"/>
    <n v="0"/>
    <n v="0"/>
    <m/>
    <m/>
    <m/>
    <n v="2"/>
    <m/>
    <n v="0"/>
    <n v="0"/>
    <n v="1"/>
    <n v="0"/>
    <m/>
    <m/>
    <m/>
    <n v="1"/>
    <m/>
    <n v="-2"/>
    <n v="0"/>
    <n v="1"/>
    <n v="0"/>
    <n v="0"/>
    <n v="0"/>
    <n v="0"/>
    <n v="-1"/>
    <x v="0"/>
    <n v="0"/>
    <n v="-0.25"/>
    <n v="-0.25"/>
    <n v="-0.25"/>
    <n v="-0.25"/>
    <n v="0"/>
    <n v="0"/>
    <x v="1"/>
    <n v="0"/>
    <n v="0"/>
    <n v="0"/>
    <n v="0"/>
    <n v="0"/>
    <x v="6"/>
    <m/>
    <x v="0"/>
    <x v="0"/>
    <x v="0"/>
  </r>
  <r>
    <s v="17/2597/GPD15"/>
    <x v="3"/>
    <x v="1"/>
    <s v="West House 108 And East House 109_x000a_South Worple Way_x000a_East Sheen_x000a_London"/>
    <s v="Conversion of East and West House from B1(a) offices to 1 x 2 bed house (C3) (West House) and 2 x 2 bed flats (C3) (East House)."/>
    <m/>
    <m/>
    <x v="2"/>
    <x v="0"/>
    <n v="520541"/>
    <n v="175760"/>
    <m/>
    <n v="0"/>
    <n v="0"/>
    <n v="0"/>
    <n v="0"/>
    <m/>
    <m/>
    <m/>
    <n v="0"/>
    <m/>
    <n v="0"/>
    <n v="3"/>
    <n v="0"/>
    <n v="0"/>
    <m/>
    <m/>
    <m/>
    <n v="3"/>
    <m/>
    <n v="0"/>
    <n v="3"/>
    <n v="0"/>
    <n v="0"/>
    <n v="0"/>
    <n v="0"/>
    <n v="0"/>
    <n v="3"/>
    <x v="0"/>
    <n v="0"/>
    <n v="0.75"/>
    <n v="0.75"/>
    <n v="0.75"/>
    <n v="0.75"/>
    <n v="0"/>
    <n v="0"/>
    <x v="1"/>
    <n v="0"/>
    <n v="0"/>
    <n v="0"/>
    <n v="0"/>
    <n v="0"/>
    <x v="6"/>
    <m/>
    <x v="0"/>
    <x v="2"/>
    <x v="0"/>
  </r>
  <r>
    <s v="17/2680/FUL"/>
    <x v="1"/>
    <x v="0"/>
    <s v="4 Warwick Close Hampton TW12 2TY"/>
    <s v="Demolition of existing detached house and erection of 3no. new residential units comprising 2x 4 bedroom semi detached houses and 1x detached 5 bedroom house, together with associated landscaping and parking"/>
    <m/>
    <m/>
    <x v="2"/>
    <x v="0"/>
    <n v="514169"/>
    <n v="170167"/>
    <m/>
    <n v="0"/>
    <n v="0"/>
    <n v="0"/>
    <n v="1"/>
    <m/>
    <m/>
    <m/>
    <n v="1"/>
    <m/>
    <n v="0"/>
    <n v="0"/>
    <n v="0"/>
    <n v="2"/>
    <n v="1"/>
    <m/>
    <m/>
    <n v="3"/>
    <m/>
    <n v="0"/>
    <n v="0"/>
    <n v="0"/>
    <n v="1"/>
    <n v="1"/>
    <n v="0"/>
    <n v="0"/>
    <n v="2"/>
    <x v="0"/>
    <n v="0"/>
    <n v="0"/>
    <n v="0.66666666666666663"/>
    <n v="0.66666666666666663"/>
    <n v="0.66666666666666663"/>
    <n v="0"/>
    <n v="0"/>
    <x v="1"/>
    <n v="0"/>
    <n v="0"/>
    <n v="0"/>
    <n v="0"/>
    <n v="0"/>
    <x v="8"/>
    <m/>
    <x v="0"/>
    <x v="0"/>
    <x v="0"/>
  </r>
  <r>
    <s v="17/2693/GPD15"/>
    <x v="3"/>
    <x v="1"/>
    <s v="246 Upper Richmond Road West_x000a_East Sheen_x000a_London_x000a_SW14 8AG"/>
    <s v="Change of use from Class B1(a) office to Class C3 residential."/>
    <m/>
    <m/>
    <x v="2"/>
    <x v="0"/>
    <n v="520531"/>
    <n v="175416"/>
    <m/>
    <n v="0"/>
    <n v="0"/>
    <n v="0"/>
    <n v="0"/>
    <m/>
    <m/>
    <m/>
    <n v="0"/>
    <m/>
    <n v="1"/>
    <n v="0"/>
    <n v="0"/>
    <n v="0"/>
    <m/>
    <m/>
    <m/>
    <n v="1"/>
    <m/>
    <n v="1"/>
    <n v="0"/>
    <n v="0"/>
    <n v="0"/>
    <n v="0"/>
    <n v="0"/>
    <n v="0"/>
    <n v="1"/>
    <x v="0"/>
    <n v="0"/>
    <n v="0.25"/>
    <n v="0.25"/>
    <n v="0.25"/>
    <n v="0.25"/>
    <n v="0"/>
    <n v="0"/>
    <x v="1"/>
    <n v="0"/>
    <n v="0"/>
    <n v="0"/>
    <n v="0"/>
    <n v="0"/>
    <x v="6"/>
    <m/>
    <x v="0"/>
    <x v="2"/>
    <x v="0"/>
  </r>
  <r>
    <s v="17/2957/FUL"/>
    <x v="0"/>
    <x v="0"/>
    <s v="4A New Broadway_x000a_Hampton Hill_x000a_Hampton_x000a_TW12 1JG"/>
    <s v="Formation of additional floor of accommodation in the form of a mansard style roof extension to facilitate the conversion of existing first floor 3 bedroom flat into 2x1 bedroom flats and provision of 2x1 bedroom flats at second floor level through the m"/>
    <m/>
    <m/>
    <x v="2"/>
    <x v="0"/>
    <n v="514558"/>
    <n v="171264"/>
    <m/>
    <n v="0"/>
    <n v="0"/>
    <n v="1"/>
    <n v="0"/>
    <m/>
    <m/>
    <m/>
    <n v="1"/>
    <m/>
    <n v="4"/>
    <n v="0"/>
    <n v="0"/>
    <n v="0"/>
    <m/>
    <m/>
    <m/>
    <n v="4"/>
    <m/>
    <n v="4"/>
    <n v="0"/>
    <n v="-1"/>
    <n v="0"/>
    <n v="0"/>
    <n v="0"/>
    <n v="0"/>
    <n v="3"/>
    <x v="0"/>
    <n v="0"/>
    <n v="0.75"/>
    <n v="0.75"/>
    <n v="0.75"/>
    <n v="0.75"/>
    <n v="0"/>
    <n v="0"/>
    <x v="1"/>
    <n v="0"/>
    <n v="0"/>
    <n v="0"/>
    <n v="0"/>
    <n v="0"/>
    <x v="5"/>
    <m/>
    <x v="4"/>
    <x v="0"/>
    <x v="0"/>
  </r>
  <r>
    <s v="17/3001/GPD16"/>
    <x v="3"/>
    <x v="1"/>
    <s v="Unit 3_x000a_Plough Lane_x000a_Teddington"/>
    <s v="Change of use from B8 (storage) to C3 (residential use) to create a 1 bedroom unit."/>
    <m/>
    <m/>
    <x v="2"/>
    <x v="0"/>
    <n v="516215"/>
    <n v="171077"/>
    <m/>
    <n v="0"/>
    <n v="0"/>
    <n v="0"/>
    <n v="0"/>
    <m/>
    <m/>
    <m/>
    <n v="0"/>
    <m/>
    <n v="1"/>
    <n v="0"/>
    <n v="0"/>
    <n v="0"/>
    <m/>
    <m/>
    <m/>
    <n v="1"/>
    <m/>
    <n v="1"/>
    <n v="0"/>
    <n v="0"/>
    <n v="0"/>
    <n v="0"/>
    <n v="0"/>
    <n v="0"/>
    <n v="1"/>
    <x v="0"/>
    <n v="0"/>
    <n v="0.25"/>
    <n v="0.25"/>
    <n v="0.25"/>
    <n v="0.25"/>
    <n v="0"/>
    <n v="0"/>
    <x v="1"/>
    <n v="0"/>
    <n v="0"/>
    <n v="0"/>
    <n v="0"/>
    <n v="0"/>
    <x v="2"/>
    <m/>
    <x v="0"/>
    <x v="4"/>
    <x v="0"/>
  </r>
  <r>
    <s v="17/3003/GPD16"/>
    <x v="3"/>
    <x v="1"/>
    <s v="Unit 4 To 5A_x000a_Plough Lane_x000a_Teddington"/>
    <s v="Change of use from B8 (storage) to C3 (residential) to create 2 Studio units."/>
    <m/>
    <m/>
    <x v="2"/>
    <x v="0"/>
    <n v="516224"/>
    <n v="171078"/>
    <m/>
    <n v="0"/>
    <n v="0"/>
    <n v="0"/>
    <n v="0"/>
    <m/>
    <m/>
    <m/>
    <n v="0"/>
    <n v="2"/>
    <n v="0"/>
    <n v="0"/>
    <n v="0"/>
    <n v="0"/>
    <m/>
    <m/>
    <m/>
    <n v="2"/>
    <n v="2"/>
    <n v="0"/>
    <n v="0"/>
    <n v="0"/>
    <n v="0"/>
    <n v="0"/>
    <n v="0"/>
    <n v="0"/>
    <n v="2"/>
    <x v="0"/>
    <n v="0"/>
    <n v="0.5"/>
    <n v="0.5"/>
    <n v="0.5"/>
    <n v="0.5"/>
    <n v="0"/>
    <n v="0"/>
    <x v="1"/>
    <n v="0"/>
    <n v="0"/>
    <n v="0"/>
    <n v="0"/>
    <n v="0"/>
    <x v="2"/>
    <m/>
    <x v="0"/>
    <x v="4"/>
    <x v="0"/>
  </r>
  <r>
    <s v="17/3054/FUL"/>
    <x v="1"/>
    <x v="0"/>
    <s v="Garage Site Marys Terrace Twickenham TW1 3JB"/>
    <s v="Demolition of existing garages and erection of a pair of two-storey, 3-bedroom semi-detached houses (2 no.), with associated landscaping and 4 off-street parking bays."/>
    <m/>
    <m/>
    <x v="2"/>
    <x v="0"/>
    <n v="516182"/>
    <n v="173653"/>
    <m/>
    <n v="0"/>
    <n v="0"/>
    <n v="0"/>
    <n v="0"/>
    <m/>
    <m/>
    <m/>
    <n v="0"/>
    <m/>
    <n v="0"/>
    <n v="0"/>
    <n v="2"/>
    <n v="0"/>
    <m/>
    <m/>
    <m/>
    <n v="2"/>
    <m/>
    <n v="0"/>
    <n v="0"/>
    <n v="2"/>
    <n v="0"/>
    <n v="0"/>
    <n v="0"/>
    <n v="0"/>
    <n v="2"/>
    <x v="0"/>
    <n v="0"/>
    <n v="0"/>
    <n v="0.66666666666666663"/>
    <n v="0.66666666666666663"/>
    <n v="0.66666666666666663"/>
    <n v="0"/>
    <n v="0"/>
    <x v="1"/>
    <n v="0"/>
    <n v="0"/>
    <n v="0"/>
    <n v="0"/>
    <n v="0"/>
    <x v="4"/>
    <m/>
    <x v="0"/>
    <x v="1"/>
    <x v="0"/>
  </r>
  <r>
    <s v="17/3077/FUL"/>
    <x v="1"/>
    <x v="0"/>
    <s v="4 Church Street_x000a_Twickenham_x000a_TW1 3NJ"/>
    <s v="Erection of a 3 storey dwellinghouse with accommodation at basement level, associated landscaping works and rear outbuilding for garage."/>
    <m/>
    <m/>
    <x v="2"/>
    <x v="0"/>
    <n v="516426"/>
    <n v="173349"/>
    <m/>
    <n v="0"/>
    <n v="0"/>
    <n v="0"/>
    <n v="0"/>
    <m/>
    <m/>
    <m/>
    <n v="0"/>
    <m/>
    <n v="0"/>
    <n v="0"/>
    <n v="0"/>
    <n v="1"/>
    <m/>
    <m/>
    <m/>
    <n v="1"/>
    <m/>
    <n v="0"/>
    <n v="0"/>
    <n v="0"/>
    <n v="1"/>
    <n v="0"/>
    <n v="0"/>
    <n v="0"/>
    <n v="1"/>
    <x v="0"/>
    <n v="0"/>
    <n v="0"/>
    <n v="0.33333333333333331"/>
    <n v="0.33333333333333331"/>
    <n v="0.33333333333333331"/>
    <n v="0"/>
    <n v="0"/>
    <x v="1"/>
    <n v="0"/>
    <n v="0"/>
    <n v="0"/>
    <n v="0"/>
    <n v="0"/>
    <x v="4"/>
    <m/>
    <x v="0"/>
    <x v="1"/>
    <x v="0"/>
  </r>
  <r>
    <s v="17/3265/FUL"/>
    <x v="1"/>
    <x v="0"/>
    <s v="Lestock House 73B Castelnau Barnes SW13 9RT"/>
    <s v="Demolition of existing detached house and erection of a new detached single family dwellinghouse."/>
    <m/>
    <m/>
    <x v="2"/>
    <x v="0"/>
    <n v="522475"/>
    <n v="177141"/>
    <m/>
    <n v="0"/>
    <n v="0"/>
    <n v="1"/>
    <n v="0"/>
    <m/>
    <m/>
    <m/>
    <n v="1"/>
    <m/>
    <n v="0"/>
    <n v="0"/>
    <n v="0"/>
    <n v="0"/>
    <n v="1"/>
    <m/>
    <m/>
    <n v="1"/>
    <m/>
    <n v="0"/>
    <n v="0"/>
    <n v="-1"/>
    <n v="0"/>
    <n v="1"/>
    <n v="0"/>
    <n v="0"/>
    <n v="0"/>
    <x v="0"/>
    <n v="0"/>
    <n v="0"/>
    <n v="0"/>
    <n v="0"/>
    <n v="0"/>
    <n v="0"/>
    <n v="0"/>
    <x v="0"/>
    <n v="0"/>
    <n v="0"/>
    <n v="0"/>
    <n v="0"/>
    <n v="0"/>
    <x v="14"/>
    <m/>
    <x v="0"/>
    <x v="0"/>
    <x v="0"/>
  </r>
  <r>
    <s v="17/3402/GPD16"/>
    <x v="3"/>
    <x v="1"/>
    <s v="Unit 1 Plough Lane Teddington"/>
    <s v="Change of use from B8 (Storage) to C3 (Residential) to create 1 no. studio flat."/>
    <m/>
    <m/>
    <x v="2"/>
    <x v="0"/>
    <n v="516208"/>
    <n v="171077"/>
    <m/>
    <n v="0"/>
    <n v="0"/>
    <n v="0"/>
    <n v="0"/>
    <m/>
    <m/>
    <m/>
    <n v="0"/>
    <n v="1"/>
    <n v="0"/>
    <n v="0"/>
    <n v="0"/>
    <n v="0"/>
    <m/>
    <m/>
    <m/>
    <n v="1"/>
    <n v="1"/>
    <n v="0"/>
    <n v="0"/>
    <n v="0"/>
    <n v="0"/>
    <n v="0"/>
    <n v="0"/>
    <n v="0"/>
    <n v="1"/>
    <x v="0"/>
    <n v="0"/>
    <n v="0.25"/>
    <n v="0.25"/>
    <n v="0.25"/>
    <n v="0.25"/>
    <n v="0"/>
    <n v="0"/>
    <x v="1"/>
    <n v="0"/>
    <n v="0"/>
    <n v="0"/>
    <n v="0"/>
    <n v="0"/>
    <x v="2"/>
    <m/>
    <x v="0"/>
    <x v="4"/>
    <x v="0"/>
  </r>
  <r>
    <s v="17/3404/FUL"/>
    <x v="3"/>
    <x v="0"/>
    <s v="91 Stanley Road_x000a_Teddington_x000a_TW11 8UB"/>
    <s v="Erection of a two storey side and single storey rear extension and change of existing C3(residential) use at first floor to facilitate the provision of B1(a) office floorspace with associated hard and soft landscaping, bin and cycle storage and 2 car par"/>
    <m/>
    <m/>
    <x v="2"/>
    <x v="0"/>
    <n v="515091"/>
    <n v="171518"/>
    <m/>
    <n v="1"/>
    <n v="0"/>
    <n v="0"/>
    <n v="0"/>
    <m/>
    <m/>
    <m/>
    <n v="1"/>
    <m/>
    <n v="0"/>
    <n v="0"/>
    <n v="0"/>
    <n v="0"/>
    <m/>
    <m/>
    <m/>
    <n v="0"/>
    <m/>
    <n v="-1"/>
    <n v="0"/>
    <n v="0"/>
    <n v="0"/>
    <n v="0"/>
    <n v="0"/>
    <n v="0"/>
    <n v="-1"/>
    <x v="0"/>
    <n v="0"/>
    <n v="-0.25"/>
    <n v="-0.25"/>
    <n v="-0.25"/>
    <n v="-0.25"/>
    <n v="0"/>
    <n v="0"/>
    <x v="1"/>
    <n v="0"/>
    <n v="0"/>
    <n v="0"/>
    <n v="0"/>
    <n v="0"/>
    <x v="5"/>
    <m/>
    <x v="11"/>
    <x v="0"/>
    <x v="0"/>
  </r>
  <r>
    <s v="17/3590/FUL"/>
    <x v="1"/>
    <x v="0"/>
    <s v="Garages Rear Of 48-52 Anlaby Road Teddington"/>
    <s v="Demolition of the existing garages. Erection of 1 x 2 bed single storey house and 1 x 3 bed single storey house with basement with associated hard and soft landscaping, refuse and cycle stores."/>
    <m/>
    <m/>
    <x v="2"/>
    <x v="0"/>
    <n v="514975"/>
    <n v="171285"/>
    <m/>
    <n v="0"/>
    <n v="0"/>
    <n v="0"/>
    <n v="0"/>
    <m/>
    <m/>
    <m/>
    <n v="0"/>
    <m/>
    <n v="0"/>
    <n v="1"/>
    <n v="1"/>
    <n v="0"/>
    <m/>
    <m/>
    <m/>
    <n v="2"/>
    <m/>
    <n v="0"/>
    <n v="1"/>
    <n v="1"/>
    <n v="0"/>
    <n v="0"/>
    <n v="0"/>
    <n v="0"/>
    <n v="2"/>
    <x v="0"/>
    <n v="0"/>
    <n v="0"/>
    <n v="0.66666666666666663"/>
    <n v="0.66666666666666663"/>
    <n v="0.66666666666666663"/>
    <n v="0"/>
    <n v="0"/>
    <x v="1"/>
    <n v="0"/>
    <n v="0"/>
    <n v="0"/>
    <n v="0"/>
    <n v="0"/>
    <x v="5"/>
    <m/>
    <x v="0"/>
    <x v="0"/>
    <x v="0"/>
  </r>
  <r>
    <s v="17/3591/FUL"/>
    <x v="0"/>
    <x v="0"/>
    <s v="94A High Street_x000a_Whitton_x000a_Twickenham_x000a_TW2 7LN"/>
    <s v="Erection of external rear steps with railings to the property, new door on first floor side elevation to the rear (first floor) and proposed flues to the front elevation to accommodate the conversion of the existing three bedroom flat into 2x1 bed (1 per"/>
    <m/>
    <m/>
    <x v="2"/>
    <x v="0"/>
    <n v="514174"/>
    <n v="173697"/>
    <m/>
    <n v="0"/>
    <n v="0"/>
    <n v="1"/>
    <n v="0"/>
    <m/>
    <m/>
    <m/>
    <n v="1"/>
    <m/>
    <n v="2"/>
    <n v="0"/>
    <n v="0"/>
    <n v="0"/>
    <m/>
    <m/>
    <m/>
    <n v="2"/>
    <m/>
    <n v="2"/>
    <n v="0"/>
    <n v="-1"/>
    <n v="0"/>
    <n v="0"/>
    <n v="0"/>
    <n v="0"/>
    <n v="1"/>
    <x v="0"/>
    <n v="0"/>
    <n v="0.25"/>
    <n v="0.25"/>
    <n v="0.25"/>
    <n v="0.25"/>
    <n v="0"/>
    <n v="0"/>
    <x v="1"/>
    <n v="0"/>
    <n v="0"/>
    <n v="0"/>
    <n v="0"/>
    <n v="0"/>
    <x v="15"/>
    <m/>
    <x v="0"/>
    <x v="5"/>
    <x v="0"/>
  </r>
  <r>
    <s v="17/3610/FUL"/>
    <x v="4"/>
    <x v="0"/>
    <s v="67 - 69 Barnes High Street Barnes"/>
    <s v="Partial demolition of existing buildings, refurbishment of  2  x commercial units (A2 use Class) on ground floor. Partial new build extensions to the roof in addition to ground, first and second floor extensions to the rear of the site to provide 2 x 2-b"/>
    <m/>
    <m/>
    <x v="2"/>
    <x v="0"/>
    <n v="521762"/>
    <n v="176415"/>
    <m/>
    <n v="1"/>
    <n v="2"/>
    <n v="0"/>
    <n v="0"/>
    <m/>
    <m/>
    <m/>
    <n v="3"/>
    <n v="3"/>
    <n v="2"/>
    <n v="2"/>
    <n v="0"/>
    <n v="0"/>
    <m/>
    <m/>
    <m/>
    <n v="7"/>
    <n v="3"/>
    <n v="1"/>
    <n v="0"/>
    <n v="0"/>
    <n v="0"/>
    <n v="0"/>
    <n v="0"/>
    <n v="0"/>
    <n v="4"/>
    <x v="0"/>
    <n v="0"/>
    <n v="0"/>
    <n v="1.3333333333333333"/>
    <n v="1.3333333333333333"/>
    <n v="1.3333333333333333"/>
    <n v="0"/>
    <n v="0"/>
    <x v="1"/>
    <n v="0"/>
    <n v="0"/>
    <n v="0"/>
    <n v="0"/>
    <n v="0"/>
    <x v="14"/>
    <m/>
    <x v="4"/>
    <x v="0"/>
    <x v="0"/>
  </r>
  <r>
    <s v="17/3667/FUL"/>
    <x v="1"/>
    <x v="0"/>
    <s v="Manor Farm Riding School_x000a_Petersham Road_x000a_Petersham_x000a_Richmond_x000a_TW10 7AH"/>
    <s v="Demolition of existing staff accommodation caravans and storage barn and erection of replacement grooms accommodation."/>
    <m/>
    <m/>
    <x v="2"/>
    <x v="0"/>
    <n v="517808"/>
    <n v="173353"/>
    <m/>
    <n v="0"/>
    <n v="0"/>
    <n v="0"/>
    <n v="0"/>
    <m/>
    <m/>
    <m/>
    <n v="0"/>
    <m/>
    <n v="0"/>
    <n v="0"/>
    <n v="1"/>
    <n v="0"/>
    <m/>
    <m/>
    <m/>
    <n v="1"/>
    <m/>
    <n v="0"/>
    <n v="0"/>
    <n v="1"/>
    <n v="0"/>
    <n v="0"/>
    <n v="0"/>
    <n v="0"/>
    <n v="1"/>
    <x v="0"/>
    <n v="0"/>
    <n v="0"/>
    <n v="0.33333333333333331"/>
    <n v="0.33333333333333331"/>
    <n v="0.33333333333333331"/>
    <n v="0"/>
    <n v="0"/>
    <x v="1"/>
    <n v="0"/>
    <n v="0"/>
    <n v="0"/>
    <n v="0"/>
    <n v="0"/>
    <x v="7"/>
    <m/>
    <x v="0"/>
    <x v="0"/>
    <x v="1"/>
  </r>
  <r>
    <s v="17/3696/GPD16"/>
    <x v="3"/>
    <x v="1"/>
    <s v="1A St Leonards Road East Sheen SW14 7LY"/>
    <s v="Change of use of premises from B8 (warehouse/distrubtion) to C3 (residential - 6 x 1 bed flats)"/>
    <m/>
    <m/>
    <x v="2"/>
    <x v="0"/>
    <n v="520442"/>
    <n v="175588"/>
    <m/>
    <n v="0"/>
    <n v="0"/>
    <n v="0"/>
    <n v="0"/>
    <m/>
    <m/>
    <m/>
    <n v="0"/>
    <m/>
    <n v="6"/>
    <n v="0"/>
    <n v="0"/>
    <n v="0"/>
    <m/>
    <m/>
    <m/>
    <n v="6"/>
    <m/>
    <n v="6"/>
    <n v="0"/>
    <n v="0"/>
    <n v="0"/>
    <n v="0"/>
    <n v="0"/>
    <n v="0"/>
    <n v="6"/>
    <x v="0"/>
    <n v="0"/>
    <n v="1.5"/>
    <n v="1.5"/>
    <n v="1.5"/>
    <n v="1.5"/>
    <n v="0"/>
    <n v="0"/>
    <x v="1"/>
    <n v="0"/>
    <n v="0"/>
    <n v="0"/>
    <n v="0"/>
    <n v="0"/>
    <x v="6"/>
    <m/>
    <x v="0"/>
    <x v="0"/>
    <x v="0"/>
  </r>
  <r>
    <s v="17/3761/FUL"/>
    <x v="1"/>
    <x v="0"/>
    <s v="2 Belgrave Road Barnes SW13 9NS"/>
    <s v="Demolition of existing dwelling and erection of a replacement three-storey plus basement house (4 bedroom) with cycle parking and 1 off-street parking space."/>
    <m/>
    <m/>
    <x v="2"/>
    <x v="0"/>
    <n v="521893"/>
    <n v="177129"/>
    <m/>
    <n v="0"/>
    <n v="0"/>
    <n v="1"/>
    <n v="0"/>
    <m/>
    <m/>
    <m/>
    <n v="1"/>
    <m/>
    <n v="0"/>
    <n v="0"/>
    <n v="0"/>
    <n v="1"/>
    <m/>
    <m/>
    <m/>
    <n v="1"/>
    <m/>
    <n v="0"/>
    <n v="0"/>
    <n v="-1"/>
    <n v="1"/>
    <n v="0"/>
    <n v="0"/>
    <n v="0"/>
    <n v="0"/>
    <x v="0"/>
    <n v="0"/>
    <n v="0"/>
    <n v="0"/>
    <n v="0"/>
    <n v="0"/>
    <n v="0"/>
    <n v="0"/>
    <x v="0"/>
    <n v="0"/>
    <n v="0"/>
    <n v="0"/>
    <n v="0"/>
    <n v="0"/>
    <x v="14"/>
    <m/>
    <x v="0"/>
    <x v="0"/>
    <x v="0"/>
  </r>
  <r>
    <s v="17/3795/GPD15"/>
    <x v="3"/>
    <x v="1"/>
    <s v="25 Church Road_x000a_Teddington_x000a_TW11 8PF"/>
    <s v="Change of use from Offices (B1) to Residential (C3)."/>
    <m/>
    <m/>
    <x v="2"/>
    <x v="0"/>
    <n v="515664"/>
    <n v="171121"/>
    <m/>
    <n v="0"/>
    <n v="0"/>
    <n v="0"/>
    <n v="0"/>
    <m/>
    <m/>
    <m/>
    <n v="0"/>
    <m/>
    <n v="0"/>
    <n v="1"/>
    <n v="1"/>
    <n v="0"/>
    <m/>
    <m/>
    <m/>
    <n v="2"/>
    <m/>
    <n v="0"/>
    <n v="1"/>
    <n v="1"/>
    <n v="0"/>
    <n v="0"/>
    <n v="0"/>
    <n v="0"/>
    <n v="2"/>
    <x v="0"/>
    <n v="0"/>
    <n v="0.5"/>
    <n v="0.5"/>
    <n v="0.5"/>
    <n v="0.5"/>
    <n v="0"/>
    <n v="0"/>
    <x v="1"/>
    <n v="0"/>
    <n v="0"/>
    <n v="0"/>
    <n v="0"/>
    <n v="0"/>
    <x v="2"/>
    <m/>
    <x v="0"/>
    <x v="0"/>
    <x v="0"/>
  </r>
  <r>
    <s v="17/4014/FUL"/>
    <x v="4"/>
    <x v="0"/>
    <s v="126 Heath Road Twickenham TW1 4BN"/>
    <s v="Change of use of part front ground floor A5(hot food takeaways) use to C3(residential) use to facilitate the conversion of existing 3 bed maisonette above shop into 2 x 2 bed (2B3P) flats. Change of use of part rear ground floor rear from A5(retail) to C3(residential) use and erection of first floor rear extension to facilitate the creation of 1 no. studio flat with balcony. Alterations to side and rear fenestration arrangement."/>
    <m/>
    <m/>
    <x v="2"/>
    <x v="0"/>
    <n v="515746"/>
    <n v="173156"/>
    <m/>
    <n v="0"/>
    <n v="0"/>
    <n v="1"/>
    <n v="0"/>
    <m/>
    <m/>
    <m/>
    <n v="1"/>
    <n v="1"/>
    <n v="0"/>
    <n v="2"/>
    <n v="0"/>
    <n v="0"/>
    <m/>
    <m/>
    <m/>
    <n v="3"/>
    <n v="1"/>
    <n v="0"/>
    <n v="2"/>
    <n v="-1"/>
    <n v="0"/>
    <n v="0"/>
    <n v="0"/>
    <n v="0"/>
    <n v="2"/>
    <x v="0"/>
    <n v="0"/>
    <n v="0.5"/>
    <n v="0.5"/>
    <n v="0.5"/>
    <n v="0.5"/>
    <n v="0"/>
    <n v="0"/>
    <x v="1"/>
    <n v="0"/>
    <n v="0"/>
    <n v="0"/>
    <n v="0"/>
    <n v="0"/>
    <x v="4"/>
    <m/>
    <x v="0"/>
    <x v="1"/>
    <x v="0"/>
  </r>
  <r>
    <s v="17/4015/FUL"/>
    <x v="1"/>
    <x v="0"/>
    <s v="Land To Rear Of 34 - 40 The Quadrant Richmond"/>
    <s v="Erection of 2no. dwellings with associated cycle parking and refuse storage."/>
    <m/>
    <m/>
    <x v="2"/>
    <x v="0"/>
    <n v="518028"/>
    <n v="175050"/>
    <m/>
    <n v="0"/>
    <n v="0"/>
    <n v="0"/>
    <n v="0"/>
    <m/>
    <m/>
    <m/>
    <n v="0"/>
    <m/>
    <n v="0"/>
    <n v="2"/>
    <n v="0"/>
    <n v="0"/>
    <m/>
    <m/>
    <m/>
    <n v="2"/>
    <m/>
    <n v="0"/>
    <n v="2"/>
    <n v="0"/>
    <n v="0"/>
    <n v="0"/>
    <n v="0"/>
    <n v="0"/>
    <n v="2"/>
    <x v="0"/>
    <n v="0"/>
    <n v="0"/>
    <n v="0.66666666666666663"/>
    <n v="0.66666666666666663"/>
    <n v="0.66666666666666663"/>
    <n v="0"/>
    <n v="0"/>
    <x v="1"/>
    <n v="0"/>
    <n v="0"/>
    <n v="0"/>
    <n v="0"/>
    <n v="0"/>
    <x v="12"/>
    <m/>
    <x v="0"/>
    <x v="3"/>
    <x v="0"/>
  </r>
  <r>
    <s v="17/4114/PS192"/>
    <x v="3"/>
    <x v="0"/>
    <s v="35A Broad Street_x000a_Teddington_x000a_TW11 8QZ"/>
    <s v="Change of use from Class C4 (House in Multiple Occupation) to C3 (residential) to provide 1 x 3 bed flat"/>
    <m/>
    <m/>
    <x v="2"/>
    <x v="0"/>
    <n v="515625"/>
    <n v="170998"/>
    <m/>
    <n v="0"/>
    <n v="0"/>
    <n v="1"/>
    <n v="0"/>
    <m/>
    <m/>
    <m/>
    <n v="1"/>
    <m/>
    <n v="0"/>
    <n v="0"/>
    <n v="1"/>
    <n v="0"/>
    <m/>
    <m/>
    <m/>
    <n v="1"/>
    <m/>
    <n v="0"/>
    <n v="0"/>
    <n v="0"/>
    <n v="0"/>
    <n v="0"/>
    <n v="0"/>
    <n v="0"/>
    <n v="0"/>
    <x v="0"/>
    <n v="0"/>
    <n v="0"/>
    <n v="0"/>
    <n v="0"/>
    <n v="0"/>
    <n v="0"/>
    <n v="0"/>
    <x v="0"/>
    <n v="0"/>
    <n v="0"/>
    <n v="0"/>
    <n v="0"/>
    <n v="0"/>
    <x v="2"/>
    <m/>
    <x v="0"/>
    <x v="4"/>
    <x v="0"/>
  </r>
  <r>
    <s v="17/4122/FUL"/>
    <x v="1"/>
    <x v="0"/>
    <s v="Land Adjacent To 93_x000a_Elm Bank Gardens_x000a_Barnes_x000a_London"/>
    <s v="Demolition of garage and the erection of a three-storey two-bedroom detached dwelling with associated landscaping. (Re-consultation required for the following reason: Building line adjusted following a further site survey to accurately record the locatio"/>
    <m/>
    <m/>
    <x v="2"/>
    <x v="0"/>
    <n v="521350"/>
    <n v="176123"/>
    <m/>
    <n v="0"/>
    <n v="0"/>
    <n v="0"/>
    <n v="0"/>
    <m/>
    <m/>
    <m/>
    <n v="0"/>
    <m/>
    <n v="0"/>
    <n v="1"/>
    <n v="0"/>
    <n v="0"/>
    <m/>
    <m/>
    <m/>
    <n v="1"/>
    <m/>
    <n v="0"/>
    <n v="1"/>
    <n v="0"/>
    <n v="0"/>
    <n v="0"/>
    <n v="0"/>
    <n v="0"/>
    <n v="1"/>
    <x v="0"/>
    <n v="0"/>
    <n v="0"/>
    <n v="0.33333333333333331"/>
    <n v="0.33333333333333331"/>
    <n v="0.33333333333333331"/>
    <n v="0"/>
    <n v="0"/>
    <x v="1"/>
    <n v="0"/>
    <n v="0"/>
    <n v="0"/>
    <n v="0"/>
    <n v="0"/>
    <x v="11"/>
    <m/>
    <x v="0"/>
    <x v="0"/>
    <x v="1"/>
  </r>
  <r>
    <s v="17/4292/FUL"/>
    <x v="2"/>
    <x v="0"/>
    <s v="Cliveden House_x000d_Victoria Villas_x000d_Richmond_x000d_TW9 2JX"/>
    <s v="Proposed roof and side extension to the existing two storey residential building to provide three new apartment units and to increase the size of four of the existing units. Alterations to elevations including balconies at first and second floor."/>
    <m/>
    <m/>
    <x v="2"/>
    <x v="0"/>
    <n v="518831"/>
    <n v="175436"/>
    <m/>
    <n v="0"/>
    <n v="0"/>
    <n v="0"/>
    <n v="0"/>
    <m/>
    <m/>
    <m/>
    <n v="0"/>
    <m/>
    <n v="1"/>
    <n v="2"/>
    <n v="0"/>
    <n v="0"/>
    <m/>
    <m/>
    <m/>
    <n v="3"/>
    <m/>
    <n v="1"/>
    <n v="2"/>
    <n v="0"/>
    <n v="0"/>
    <n v="0"/>
    <n v="0"/>
    <n v="0"/>
    <n v="3"/>
    <x v="0"/>
    <n v="0"/>
    <n v="0.75"/>
    <n v="0.75"/>
    <n v="0.75"/>
    <n v="0.75"/>
    <n v="0"/>
    <n v="0"/>
    <x v="1"/>
    <n v="0"/>
    <n v="0"/>
    <n v="0"/>
    <n v="0"/>
    <n v="0"/>
    <x v="16"/>
    <m/>
    <x v="0"/>
    <x v="0"/>
    <x v="0"/>
  </r>
  <r>
    <s v="17/4303/FUL"/>
    <x v="2"/>
    <x v="0"/>
    <s v="16 Elmtree Road_x000a_Teddington"/>
    <s v="Erection of a second floor roof extension to create a. two-bed flat with roof terraces"/>
    <m/>
    <m/>
    <x v="2"/>
    <x v="0"/>
    <n v="515426"/>
    <n v="171451"/>
    <m/>
    <n v="0"/>
    <n v="0"/>
    <n v="0"/>
    <n v="0"/>
    <m/>
    <m/>
    <m/>
    <n v="0"/>
    <m/>
    <n v="0"/>
    <n v="1"/>
    <n v="0"/>
    <n v="0"/>
    <m/>
    <m/>
    <m/>
    <n v="1"/>
    <m/>
    <n v="0"/>
    <n v="1"/>
    <n v="0"/>
    <n v="0"/>
    <n v="0"/>
    <n v="0"/>
    <n v="0"/>
    <n v="1"/>
    <x v="0"/>
    <n v="0"/>
    <n v="0.25"/>
    <n v="0.25"/>
    <n v="0.25"/>
    <n v="0.25"/>
    <n v="0"/>
    <n v="0"/>
    <x v="1"/>
    <n v="0"/>
    <n v="0"/>
    <n v="0"/>
    <n v="0"/>
    <n v="0"/>
    <x v="5"/>
    <m/>
    <x v="0"/>
    <x v="0"/>
    <x v="0"/>
  </r>
  <r>
    <s v="17/4344/FUL"/>
    <x v="3"/>
    <x v="0"/>
    <s v="First To Third Floors 2 The Square Richmond"/>
    <s v="Change of use of first, second and third floors from Class A2 (offices) and Class A1 (ancillary office space) to 1 two-bedroom residential dwelling with roof terrace at fourth floor level with associated safety balustrade."/>
    <m/>
    <m/>
    <x v="2"/>
    <x v="0"/>
    <n v="517967"/>
    <n v="174947"/>
    <m/>
    <n v="0"/>
    <n v="0"/>
    <n v="0"/>
    <n v="0"/>
    <m/>
    <m/>
    <m/>
    <n v="0"/>
    <m/>
    <n v="0"/>
    <n v="1"/>
    <n v="0"/>
    <n v="0"/>
    <m/>
    <m/>
    <m/>
    <n v="1"/>
    <m/>
    <n v="0"/>
    <n v="1"/>
    <n v="0"/>
    <n v="0"/>
    <n v="0"/>
    <n v="0"/>
    <n v="0"/>
    <n v="1"/>
    <x v="0"/>
    <n v="0"/>
    <n v="0.25"/>
    <n v="0.25"/>
    <n v="0.25"/>
    <n v="0.25"/>
    <n v="0"/>
    <n v="0"/>
    <x v="1"/>
    <n v="0"/>
    <n v="0"/>
    <n v="0"/>
    <n v="0"/>
    <n v="0"/>
    <x v="12"/>
    <m/>
    <x v="0"/>
    <x v="3"/>
    <x v="0"/>
  </r>
  <r>
    <s v="17/4360/FUL"/>
    <x v="1"/>
    <x v="0"/>
    <s v="25 Kew Foot Road_x000a_Richmond_x000a_TW9 2SS"/>
    <s v="Demolition of existing single storey building and redevelopment with a two storey building providing approximtely 870sqm of B1 floorspace (including in the roof space), off street car parking, upgrades to a public footpath, landscaping, improved access a"/>
    <m/>
    <m/>
    <x v="2"/>
    <x v="0"/>
    <n v="518103"/>
    <n v="175457"/>
    <m/>
    <n v="0"/>
    <n v="0"/>
    <n v="0"/>
    <n v="0"/>
    <m/>
    <m/>
    <m/>
    <n v="0"/>
    <m/>
    <n v="0"/>
    <n v="0"/>
    <n v="0"/>
    <n v="0"/>
    <m/>
    <m/>
    <m/>
    <n v="0"/>
    <m/>
    <n v="0"/>
    <n v="0"/>
    <n v="0"/>
    <n v="0"/>
    <n v="0"/>
    <n v="0"/>
    <n v="0"/>
    <n v="0"/>
    <x v="0"/>
    <n v="0"/>
    <n v="0"/>
    <n v="0"/>
    <n v="0"/>
    <n v="0"/>
    <n v="0"/>
    <n v="0"/>
    <x v="0"/>
    <n v="0"/>
    <n v="0"/>
    <n v="0"/>
    <n v="0"/>
    <n v="0"/>
    <x v="16"/>
    <m/>
    <x v="0"/>
    <x v="0"/>
    <x v="0"/>
  </r>
  <r>
    <s v="17/4368/FUL"/>
    <x v="4"/>
    <x v="0"/>
    <s v="117 Rectory Grove_x000a_Hampton_x000a_TW12 1EG"/>
    <s v="Alterations to no. 117 to include demolition of existing two storey side extension, erection of a single storey rear extension and front porch.  New cycle store to rear. Subdivison of garden plot and demolition of existing garage at no. 117 to facilitate"/>
    <m/>
    <m/>
    <x v="2"/>
    <x v="0"/>
    <n v="512731"/>
    <n v="171617"/>
    <m/>
    <n v="0"/>
    <n v="0"/>
    <n v="0"/>
    <n v="1"/>
    <m/>
    <m/>
    <m/>
    <n v="1"/>
    <m/>
    <n v="0"/>
    <n v="1"/>
    <n v="1"/>
    <n v="0"/>
    <m/>
    <m/>
    <m/>
    <n v="2"/>
    <m/>
    <n v="0"/>
    <n v="1"/>
    <n v="1"/>
    <n v="-1"/>
    <n v="0"/>
    <n v="0"/>
    <n v="0"/>
    <n v="1"/>
    <x v="0"/>
    <n v="0"/>
    <n v="0"/>
    <n v="0.33333333333333331"/>
    <n v="0.33333333333333331"/>
    <n v="0.33333333333333331"/>
    <n v="0"/>
    <n v="0"/>
    <x v="1"/>
    <n v="0"/>
    <n v="0"/>
    <n v="0"/>
    <n v="0"/>
    <n v="0"/>
    <x v="13"/>
    <m/>
    <x v="0"/>
    <x v="0"/>
    <x v="0"/>
  </r>
  <r>
    <s v="17/4422/GPD15"/>
    <x v="3"/>
    <x v="1"/>
    <s v="25 Church Road_x000a_Teddington_x000a_TW11 8PF"/>
    <s v="Change of use of the ground floor and accommodation above the rear workshop from Class B1(C) Light Industrial to Dwelling (Class C3)."/>
    <m/>
    <m/>
    <x v="2"/>
    <x v="0"/>
    <n v="515664"/>
    <n v="171121"/>
    <m/>
    <n v="0"/>
    <n v="0"/>
    <n v="0"/>
    <n v="0"/>
    <m/>
    <m/>
    <m/>
    <n v="0"/>
    <m/>
    <n v="0"/>
    <n v="1"/>
    <n v="0"/>
    <n v="0"/>
    <m/>
    <m/>
    <m/>
    <n v="1"/>
    <m/>
    <n v="0"/>
    <n v="1"/>
    <n v="0"/>
    <n v="0"/>
    <n v="0"/>
    <n v="0"/>
    <n v="0"/>
    <n v="1"/>
    <x v="0"/>
    <n v="0"/>
    <n v="0.25"/>
    <n v="0.25"/>
    <n v="0.25"/>
    <n v="0.25"/>
    <n v="0"/>
    <n v="0"/>
    <x v="1"/>
    <n v="0"/>
    <n v="0"/>
    <n v="0"/>
    <n v="0"/>
    <n v="0"/>
    <x v="2"/>
    <m/>
    <x v="0"/>
    <x v="0"/>
    <x v="0"/>
  </r>
  <r>
    <s v="17/4453/FUL"/>
    <x v="4"/>
    <x v="0"/>
    <s v="286 Kew Road_x000a_Kew_x000a_Richmond_x000a_TW9 3DU"/>
    <s v="Single storey rear extension and basement extension, including lightwells to the front and rear, to create 1 no. additional new dwelling."/>
    <m/>
    <m/>
    <x v="2"/>
    <x v="0"/>
    <n v="518955"/>
    <n v="177124"/>
    <m/>
    <n v="0"/>
    <n v="0"/>
    <n v="0"/>
    <n v="0"/>
    <m/>
    <m/>
    <m/>
    <n v="0"/>
    <m/>
    <n v="1"/>
    <n v="0"/>
    <n v="0"/>
    <n v="0"/>
    <m/>
    <m/>
    <m/>
    <n v="1"/>
    <m/>
    <n v="1"/>
    <n v="0"/>
    <n v="0"/>
    <n v="0"/>
    <n v="0"/>
    <n v="0"/>
    <n v="0"/>
    <n v="1"/>
    <x v="0"/>
    <n v="0"/>
    <n v="0"/>
    <n v="0.33333333333333331"/>
    <n v="0.33333333333333331"/>
    <n v="0.33333333333333331"/>
    <n v="0"/>
    <n v="0"/>
    <x v="1"/>
    <n v="0"/>
    <n v="0"/>
    <n v="0"/>
    <n v="0"/>
    <n v="0"/>
    <x v="10"/>
    <m/>
    <x v="0"/>
    <x v="0"/>
    <x v="0"/>
  </r>
  <r>
    <s v="18/0111/FUL"/>
    <x v="1"/>
    <x v="0"/>
    <s v="1 Hospital Bridge Road_x000a_Twickenham_x000a_TW2 5UL"/>
    <s v="Demolition of the existing two-storey side extension to allow for the provision of a detached two-storey (3 bedroom) dwellinghouse; subdivision of land;  associated car parking, cycle storage, refuse and recycling storage, hard and soft landscaping to bo"/>
    <m/>
    <m/>
    <x v="2"/>
    <x v="0"/>
    <n v="513875"/>
    <n v="172459"/>
    <m/>
    <n v="0"/>
    <n v="0"/>
    <n v="0"/>
    <n v="0"/>
    <m/>
    <m/>
    <m/>
    <n v="0"/>
    <m/>
    <n v="0"/>
    <n v="0"/>
    <n v="1"/>
    <n v="0"/>
    <m/>
    <m/>
    <m/>
    <n v="1"/>
    <m/>
    <n v="0"/>
    <n v="0"/>
    <n v="1"/>
    <n v="0"/>
    <n v="0"/>
    <n v="0"/>
    <n v="0"/>
    <n v="1"/>
    <x v="0"/>
    <n v="0"/>
    <n v="0"/>
    <n v="0.33333333333333331"/>
    <n v="0.33333333333333331"/>
    <n v="0.33333333333333331"/>
    <n v="0"/>
    <n v="0"/>
    <x v="1"/>
    <n v="0"/>
    <n v="0"/>
    <n v="0"/>
    <n v="0"/>
    <n v="0"/>
    <x v="1"/>
    <m/>
    <x v="0"/>
    <x v="0"/>
    <x v="0"/>
  </r>
  <r>
    <s v="18/0216/FUL"/>
    <x v="0"/>
    <x v="0"/>
    <s v="34 Colston Road East Sheen SW14 7PG"/>
    <s v="The division of the existing single dwelling on the upper floors into two dwellings. Rear dormer and roof lights to the front roofslope."/>
    <m/>
    <m/>
    <x v="2"/>
    <x v="0"/>
    <n v="520283"/>
    <n v="175305"/>
    <m/>
    <n v="0"/>
    <n v="0"/>
    <n v="0"/>
    <n v="1"/>
    <m/>
    <m/>
    <m/>
    <n v="1"/>
    <m/>
    <n v="1"/>
    <n v="0"/>
    <n v="1"/>
    <n v="0"/>
    <m/>
    <m/>
    <m/>
    <n v="2"/>
    <m/>
    <n v="1"/>
    <n v="0"/>
    <n v="1"/>
    <n v="-1"/>
    <n v="0"/>
    <n v="0"/>
    <n v="0"/>
    <n v="1"/>
    <x v="0"/>
    <n v="0"/>
    <n v="0.25"/>
    <n v="0.25"/>
    <n v="0.25"/>
    <n v="0.25"/>
    <n v="0"/>
    <n v="0"/>
    <x v="1"/>
    <n v="0"/>
    <n v="0"/>
    <n v="0"/>
    <n v="0"/>
    <n v="0"/>
    <x v="6"/>
    <m/>
    <x v="0"/>
    <x v="2"/>
    <x v="0"/>
  </r>
  <r>
    <s v="18/0268/FUL"/>
    <x v="1"/>
    <x v="0"/>
    <s v="36 Sunnyside Road Teddington TW11 0RT"/>
    <s v="Demolition of the existing four bedroom house and garage and replace with a new build four bedroom house, together with associated hard and soft landscaping, cycle and refuse stores and parking."/>
    <m/>
    <m/>
    <x v="2"/>
    <x v="0"/>
    <n v="514952"/>
    <n v="171606"/>
    <m/>
    <n v="0"/>
    <n v="0"/>
    <n v="0"/>
    <n v="1"/>
    <m/>
    <m/>
    <m/>
    <n v="1"/>
    <m/>
    <n v="0"/>
    <n v="0"/>
    <n v="0"/>
    <n v="1"/>
    <m/>
    <m/>
    <m/>
    <n v="1"/>
    <m/>
    <n v="0"/>
    <n v="0"/>
    <n v="0"/>
    <n v="0"/>
    <n v="0"/>
    <n v="0"/>
    <n v="0"/>
    <n v="0"/>
    <x v="0"/>
    <n v="0"/>
    <n v="0"/>
    <n v="0"/>
    <n v="0"/>
    <n v="0"/>
    <n v="0"/>
    <n v="0"/>
    <x v="0"/>
    <n v="0"/>
    <n v="0"/>
    <n v="0"/>
    <n v="0"/>
    <n v="0"/>
    <x v="5"/>
    <m/>
    <x v="0"/>
    <x v="0"/>
    <x v="0"/>
  </r>
  <r>
    <s v="18/0301/FUL"/>
    <x v="1"/>
    <x v="0"/>
    <s v="18 Cedar Heights_x000a_Petersham_x000a_Richmond_x000a_TW10 7AE"/>
    <s v="Demolition of the existing detached dwelling house and replacement with a new detached family home with associated off street parking."/>
    <m/>
    <m/>
    <x v="2"/>
    <x v="0"/>
    <n v="518177"/>
    <n v="173103"/>
    <m/>
    <n v="0"/>
    <n v="0"/>
    <n v="0"/>
    <n v="1"/>
    <m/>
    <m/>
    <m/>
    <n v="1"/>
    <m/>
    <n v="0"/>
    <n v="0"/>
    <n v="0"/>
    <n v="0"/>
    <m/>
    <n v="1"/>
    <m/>
    <n v="1"/>
    <m/>
    <n v="0"/>
    <n v="0"/>
    <n v="0"/>
    <n v="-1"/>
    <n v="0"/>
    <n v="1"/>
    <n v="0"/>
    <n v="0"/>
    <x v="0"/>
    <n v="0"/>
    <n v="0"/>
    <n v="0"/>
    <n v="0"/>
    <n v="0"/>
    <n v="0"/>
    <n v="0"/>
    <x v="0"/>
    <n v="0"/>
    <n v="0"/>
    <n v="0"/>
    <n v="0"/>
    <n v="0"/>
    <x v="7"/>
    <m/>
    <x v="0"/>
    <x v="0"/>
    <x v="0"/>
  </r>
  <r>
    <s v="18/0305/GPD15"/>
    <x v="3"/>
    <x v="1"/>
    <s v="Argyle House_x000a_1 Dee Road_x000a_Richmond"/>
    <s v="Change of use of basement from B1a (office use) to C3 (residential use) - creation of 1 x 2 bed flat"/>
    <m/>
    <m/>
    <x v="2"/>
    <x v="0"/>
    <n v="518741"/>
    <n v="175360"/>
    <m/>
    <n v="0"/>
    <n v="0"/>
    <n v="0"/>
    <n v="0"/>
    <m/>
    <m/>
    <m/>
    <n v="0"/>
    <m/>
    <n v="0"/>
    <n v="1"/>
    <n v="0"/>
    <n v="0"/>
    <m/>
    <m/>
    <m/>
    <n v="1"/>
    <m/>
    <n v="0"/>
    <n v="1"/>
    <n v="0"/>
    <n v="0"/>
    <n v="0"/>
    <n v="0"/>
    <n v="0"/>
    <n v="1"/>
    <x v="0"/>
    <n v="0"/>
    <n v="0.25"/>
    <n v="0.25"/>
    <n v="0.25"/>
    <n v="0.25"/>
    <n v="0"/>
    <n v="0"/>
    <x v="1"/>
    <n v="0"/>
    <n v="0"/>
    <n v="0"/>
    <n v="0"/>
    <n v="0"/>
    <x v="16"/>
    <m/>
    <x v="0"/>
    <x v="0"/>
    <x v="0"/>
  </r>
  <r>
    <s v="18/0433/FUL"/>
    <x v="3"/>
    <x v="0"/>
    <s v="26 Egerton Road Twickenham TW2 7SP"/>
    <s v="Change of Use from Respite Centre to Residential Use. To provide 1No. Studio &amp; 3No. 1 Bed Apartments, with associated Amenity Space &amp; Parking."/>
    <m/>
    <m/>
    <x v="2"/>
    <x v="0"/>
    <n v="515424"/>
    <n v="173951"/>
    <m/>
    <n v="0"/>
    <n v="0"/>
    <n v="0"/>
    <n v="0"/>
    <m/>
    <m/>
    <m/>
    <n v="0"/>
    <n v="1"/>
    <n v="3"/>
    <n v="0"/>
    <n v="0"/>
    <n v="0"/>
    <m/>
    <m/>
    <m/>
    <n v="4"/>
    <n v="1"/>
    <n v="3"/>
    <n v="0"/>
    <n v="0"/>
    <n v="0"/>
    <n v="0"/>
    <n v="0"/>
    <n v="0"/>
    <n v="4"/>
    <x v="0"/>
    <n v="0"/>
    <n v="4"/>
    <n v="0"/>
    <n v="0"/>
    <n v="0"/>
    <n v="0"/>
    <n v="0"/>
    <x v="0"/>
    <n v="0"/>
    <n v="0"/>
    <n v="0"/>
    <n v="0"/>
    <n v="0"/>
    <x v="3"/>
    <m/>
    <x v="0"/>
    <x v="0"/>
    <x v="0"/>
  </r>
  <r>
    <s v="18/0584/GPD15"/>
    <x v="3"/>
    <x v="1"/>
    <s v="1 High Street Hampton Hill"/>
    <s v="Change of use from B1c to C3 (Residential) to provide 2 x 2B4P flats."/>
    <m/>
    <m/>
    <x v="2"/>
    <x v="0"/>
    <n v="514188"/>
    <n v="170550"/>
    <m/>
    <n v="0"/>
    <n v="0"/>
    <n v="0"/>
    <n v="0"/>
    <m/>
    <m/>
    <m/>
    <n v="0"/>
    <m/>
    <n v="0"/>
    <n v="2"/>
    <n v="0"/>
    <n v="0"/>
    <m/>
    <m/>
    <m/>
    <n v="2"/>
    <m/>
    <n v="0"/>
    <n v="2"/>
    <n v="0"/>
    <n v="0"/>
    <n v="0"/>
    <n v="0"/>
    <n v="0"/>
    <n v="2"/>
    <x v="0"/>
    <n v="0"/>
    <n v="0.5"/>
    <n v="0.5"/>
    <n v="0.5"/>
    <n v="0.5"/>
    <n v="0"/>
    <n v="0"/>
    <x v="1"/>
    <n v="0"/>
    <n v="0"/>
    <n v="0"/>
    <n v="0"/>
    <n v="0"/>
    <x v="5"/>
    <m/>
    <x v="0"/>
    <x v="0"/>
    <x v="0"/>
  </r>
  <r>
    <s v="18/0692/FUL"/>
    <x v="1"/>
    <x v="0"/>
    <s v="83 Wensleydale Road_x000a_Hampton_x000a_TW12 2LP"/>
    <s v="Part two-storey rear extensions with two rear gable roofs; part raising of the ridge height; removal of rear chimney; new windows (including removal) and door to the side (south elevation) at ground and first floor level; removal of side windows at groun"/>
    <m/>
    <m/>
    <x v="2"/>
    <x v="0"/>
    <n v="513446"/>
    <n v="170353"/>
    <m/>
    <n v="0"/>
    <n v="0"/>
    <n v="0"/>
    <n v="0"/>
    <m/>
    <m/>
    <m/>
    <n v="0"/>
    <m/>
    <n v="0"/>
    <n v="0"/>
    <n v="0"/>
    <n v="1"/>
    <m/>
    <m/>
    <m/>
    <n v="1"/>
    <m/>
    <n v="0"/>
    <n v="0"/>
    <n v="0"/>
    <n v="1"/>
    <n v="0"/>
    <n v="0"/>
    <n v="0"/>
    <n v="1"/>
    <x v="0"/>
    <n v="0"/>
    <n v="0"/>
    <n v="0.33333333333333331"/>
    <n v="0.33333333333333331"/>
    <n v="0.33333333333333331"/>
    <n v="0"/>
    <n v="0"/>
    <x v="1"/>
    <n v="0"/>
    <n v="0"/>
    <n v="0"/>
    <n v="0"/>
    <n v="0"/>
    <x v="8"/>
    <m/>
    <x v="0"/>
    <x v="0"/>
    <x v="0"/>
  </r>
  <r>
    <s v="18/0723/FUL"/>
    <x v="1"/>
    <x v="0"/>
    <s v="3 Queens Rise_x000a_Richmond_x000a_TW10 6HL"/>
    <s v="Demolition of existing dwelling and the erection of a replacement two storey, 4 bedroom dwelling"/>
    <m/>
    <m/>
    <x v="2"/>
    <x v="0"/>
    <n v="518695"/>
    <n v="174476"/>
    <m/>
    <n v="0"/>
    <n v="0"/>
    <n v="0"/>
    <n v="1"/>
    <m/>
    <m/>
    <m/>
    <n v="1"/>
    <m/>
    <n v="0"/>
    <n v="0"/>
    <n v="0"/>
    <n v="1"/>
    <m/>
    <m/>
    <m/>
    <n v="1"/>
    <m/>
    <n v="0"/>
    <n v="0"/>
    <n v="0"/>
    <n v="0"/>
    <n v="0"/>
    <n v="0"/>
    <n v="0"/>
    <n v="0"/>
    <x v="0"/>
    <n v="0"/>
    <n v="0"/>
    <n v="0"/>
    <n v="0"/>
    <n v="0"/>
    <n v="0"/>
    <n v="0"/>
    <x v="0"/>
    <n v="0"/>
    <n v="0"/>
    <n v="0"/>
    <n v="0"/>
    <n v="0"/>
    <x v="12"/>
    <m/>
    <x v="0"/>
    <x v="0"/>
    <x v="0"/>
  </r>
  <r>
    <s v="18/0866/FUL"/>
    <x v="2"/>
    <x v="0"/>
    <s v="422 Upper Richmond Road West East Sheen"/>
    <s v="Extension and alterations to existing 2 no. retail units and 1 no. 3-bedroom residential unit to provide 1 no. A1/A2/B1 unit and 5 no. residential units, including provision of lower ground floor level and rear dormers."/>
    <m/>
    <m/>
    <x v="2"/>
    <x v="0"/>
    <n v="519849"/>
    <n v="175357"/>
    <m/>
    <n v="0"/>
    <n v="0"/>
    <n v="1"/>
    <n v="0"/>
    <m/>
    <m/>
    <m/>
    <n v="1"/>
    <n v="1"/>
    <n v="4"/>
    <n v="0"/>
    <n v="0"/>
    <n v="0"/>
    <m/>
    <m/>
    <m/>
    <n v="5"/>
    <n v="1"/>
    <n v="4"/>
    <n v="0"/>
    <n v="-1"/>
    <n v="0"/>
    <n v="0"/>
    <n v="0"/>
    <n v="0"/>
    <n v="4"/>
    <x v="0"/>
    <n v="0"/>
    <n v="1"/>
    <n v="1"/>
    <n v="1"/>
    <n v="1"/>
    <n v="0"/>
    <n v="0"/>
    <x v="1"/>
    <n v="0"/>
    <n v="0"/>
    <n v="0"/>
    <n v="0"/>
    <n v="0"/>
    <x v="16"/>
    <m/>
    <x v="0"/>
    <x v="0"/>
    <x v="0"/>
  </r>
  <r>
    <s v="18/0946/FUL"/>
    <x v="3"/>
    <x v="0"/>
    <s v="Second Floor Flat _x000a_302 Sandycombe Road_x000a_Richmond_x000a_TW9 3NG"/>
    <s v="Conversion of Second Floor Flat into 2 no. x 1-bedroom Flats"/>
    <m/>
    <m/>
    <x v="2"/>
    <x v="0"/>
    <n v="519061"/>
    <n v="176659"/>
    <m/>
    <n v="0"/>
    <n v="1"/>
    <n v="0"/>
    <n v="0"/>
    <m/>
    <m/>
    <m/>
    <n v="1"/>
    <m/>
    <n v="2"/>
    <n v="0"/>
    <n v="0"/>
    <n v="0"/>
    <m/>
    <m/>
    <m/>
    <n v="2"/>
    <m/>
    <n v="2"/>
    <n v="-1"/>
    <n v="0"/>
    <n v="0"/>
    <n v="0"/>
    <n v="0"/>
    <n v="0"/>
    <n v="1"/>
    <x v="0"/>
    <n v="0"/>
    <n v="0"/>
    <n v="0"/>
    <n v="0"/>
    <n v="0"/>
    <n v="0"/>
    <n v="0"/>
    <x v="0"/>
    <n v="0"/>
    <n v="0"/>
    <n v="0"/>
    <n v="0"/>
    <n v="0"/>
    <x v="10"/>
    <m/>
    <x v="0"/>
    <x v="0"/>
    <x v="0"/>
  </r>
  <r>
    <s v="18/1022/FUL"/>
    <x v="0"/>
    <x v="0"/>
    <s v="Elmfield House_x000a_High Street_x000a_Teddington_x000a_TW11 8EW"/>
    <s v="Change of use of 1st floor from C3 (Residential) use to D1 use (Dental Surgery). Replacement 5 no. windows on second floor front elevation."/>
    <m/>
    <m/>
    <x v="2"/>
    <x v="0"/>
    <n v="515922"/>
    <n v="171125"/>
    <m/>
    <n v="1"/>
    <n v="0"/>
    <n v="0"/>
    <n v="0"/>
    <m/>
    <m/>
    <m/>
    <n v="1"/>
    <m/>
    <n v="0"/>
    <n v="0"/>
    <n v="0"/>
    <n v="0"/>
    <m/>
    <m/>
    <m/>
    <n v="0"/>
    <m/>
    <n v="-1"/>
    <n v="0"/>
    <n v="0"/>
    <n v="0"/>
    <n v="0"/>
    <n v="0"/>
    <n v="0"/>
    <n v="-1"/>
    <x v="0"/>
    <n v="0"/>
    <n v="-0.25"/>
    <n v="-0.25"/>
    <n v="-0.25"/>
    <n v="-0.25"/>
    <n v="0"/>
    <n v="0"/>
    <x v="1"/>
    <n v="0"/>
    <n v="0"/>
    <n v="0"/>
    <n v="0"/>
    <n v="0"/>
    <x v="2"/>
    <m/>
    <x v="0"/>
    <x v="4"/>
    <x v="0"/>
  </r>
  <r>
    <s v="18/1038/FUL"/>
    <x v="1"/>
    <x v="0"/>
    <s v="21A St Leonards Road East Sheen SW14 7LY"/>
    <s v="Partial demolition and alterations to the existing building and the erection of 3 x 3-bedroom new build houses on the eastern part of the site, with associated parking and landscaping."/>
    <m/>
    <m/>
    <x v="2"/>
    <x v="0"/>
    <n v="520397"/>
    <n v="175552"/>
    <m/>
    <n v="0"/>
    <n v="0"/>
    <n v="0"/>
    <n v="0"/>
    <m/>
    <m/>
    <m/>
    <n v="0"/>
    <m/>
    <n v="0"/>
    <n v="0"/>
    <n v="3"/>
    <n v="0"/>
    <m/>
    <m/>
    <m/>
    <n v="3"/>
    <m/>
    <n v="0"/>
    <n v="0"/>
    <n v="3"/>
    <n v="0"/>
    <n v="0"/>
    <n v="0"/>
    <n v="0"/>
    <n v="3"/>
    <x v="0"/>
    <n v="0"/>
    <n v="0"/>
    <n v="1"/>
    <n v="1"/>
    <n v="1"/>
    <n v="0"/>
    <n v="0"/>
    <x v="1"/>
    <n v="0"/>
    <n v="0"/>
    <n v="0"/>
    <n v="0"/>
    <n v="0"/>
    <x v="6"/>
    <m/>
    <x v="0"/>
    <x v="2"/>
    <x v="0"/>
  </r>
  <r>
    <s v="18/1064/GPD15"/>
    <x v="3"/>
    <x v="1"/>
    <s v="21A St Leonards Road East Sheen SW14 7LY"/>
    <s v="Change of use from offices (B1) to residential (C3)"/>
    <m/>
    <m/>
    <x v="2"/>
    <x v="0"/>
    <n v="520397"/>
    <n v="175552"/>
    <m/>
    <n v="0"/>
    <n v="0"/>
    <n v="0"/>
    <n v="0"/>
    <m/>
    <m/>
    <m/>
    <n v="0"/>
    <m/>
    <n v="0"/>
    <n v="0"/>
    <n v="5"/>
    <n v="0"/>
    <m/>
    <m/>
    <m/>
    <n v="5"/>
    <m/>
    <n v="0"/>
    <n v="0"/>
    <n v="5"/>
    <n v="0"/>
    <n v="0"/>
    <n v="0"/>
    <n v="0"/>
    <n v="5"/>
    <x v="0"/>
    <n v="0"/>
    <n v="1.25"/>
    <n v="1.25"/>
    <n v="1.25"/>
    <n v="1.25"/>
    <n v="0"/>
    <n v="0"/>
    <x v="1"/>
    <n v="0"/>
    <n v="0"/>
    <n v="0"/>
    <n v="0"/>
    <n v="0"/>
    <x v="6"/>
    <m/>
    <x v="0"/>
    <x v="2"/>
    <x v="0"/>
  </r>
  <r>
    <s v="18/1248/FUL"/>
    <x v="3"/>
    <x v="0"/>
    <s v="1 Trinity Road_x000a_Richmond_x000a_TW9 2LD"/>
    <s v="Conversion, refurbishment and extension of existing tyre shop with maisonette above (C3) into two self-contained one bedroom flats (C3)."/>
    <m/>
    <m/>
    <x v="2"/>
    <x v="0"/>
    <n v="518862"/>
    <n v="175562"/>
    <m/>
    <n v="1"/>
    <n v="0"/>
    <n v="0"/>
    <n v="0"/>
    <m/>
    <m/>
    <m/>
    <n v="1"/>
    <m/>
    <n v="2"/>
    <n v="0"/>
    <n v="0"/>
    <n v="0"/>
    <m/>
    <m/>
    <m/>
    <n v="2"/>
    <m/>
    <n v="1"/>
    <n v="0"/>
    <n v="0"/>
    <n v="0"/>
    <n v="0"/>
    <n v="0"/>
    <n v="0"/>
    <n v="1"/>
    <x v="0"/>
    <n v="0"/>
    <n v="0.25"/>
    <n v="0.25"/>
    <n v="0.25"/>
    <n v="0.25"/>
    <n v="0"/>
    <n v="0"/>
    <x v="1"/>
    <n v="0"/>
    <n v="0"/>
    <n v="0"/>
    <n v="0"/>
    <n v="0"/>
    <x v="16"/>
    <m/>
    <x v="0"/>
    <x v="0"/>
    <x v="0"/>
  </r>
  <r>
    <s v="18/1360/GPD15"/>
    <x v="3"/>
    <x v="1"/>
    <s v="1 Coval Passage_x000a_East Sheen_x000a_London_x000a_SW14 7RE"/>
    <s v="Change of use of ground floor from B1 (office) to C3 (dwellinghouse) to provide a 1 bedroom unit."/>
    <m/>
    <m/>
    <x v="2"/>
    <x v="0"/>
    <n v="520124"/>
    <n v="175293"/>
    <m/>
    <n v="0"/>
    <n v="0"/>
    <n v="0"/>
    <n v="0"/>
    <m/>
    <m/>
    <m/>
    <n v="0"/>
    <m/>
    <n v="1"/>
    <n v="0"/>
    <n v="0"/>
    <n v="0"/>
    <m/>
    <m/>
    <m/>
    <n v="1"/>
    <m/>
    <n v="1"/>
    <n v="0"/>
    <n v="0"/>
    <n v="0"/>
    <n v="0"/>
    <n v="0"/>
    <n v="0"/>
    <n v="1"/>
    <x v="0"/>
    <n v="0"/>
    <n v="1"/>
    <n v="0"/>
    <n v="0"/>
    <n v="0"/>
    <n v="0"/>
    <n v="0"/>
    <x v="0"/>
    <n v="0"/>
    <n v="0"/>
    <n v="0"/>
    <n v="0"/>
    <n v="0"/>
    <x v="6"/>
    <m/>
    <x v="0"/>
    <x v="2"/>
    <x v="0"/>
  </r>
  <r>
    <s v="18/1428/FUL"/>
    <x v="2"/>
    <x v="0"/>
    <s v="29 Rivermeads Avenue_x000a_Twickenham_x000a_TW2 5JL"/>
    <s v="Demolition of existing single storey garage/side extension and sub-division of plot to allow for the provision of a new dwellinghouse with associated hard and soft landscaping and boundary works, off-street car parking for the existing and proposed dwell"/>
    <m/>
    <m/>
    <x v="2"/>
    <x v="0"/>
    <n v="513713"/>
    <n v="172406"/>
    <m/>
    <n v="0"/>
    <n v="0"/>
    <n v="0"/>
    <n v="0"/>
    <m/>
    <m/>
    <m/>
    <n v="0"/>
    <m/>
    <n v="0"/>
    <n v="0"/>
    <n v="1"/>
    <n v="0"/>
    <m/>
    <m/>
    <m/>
    <n v="1"/>
    <m/>
    <n v="0"/>
    <n v="0"/>
    <n v="1"/>
    <n v="0"/>
    <n v="0"/>
    <n v="0"/>
    <n v="0"/>
    <n v="1"/>
    <x v="0"/>
    <n v="0"/>
    <n v="0.25"/>
    <n v="0.25"/>
    <n v="0.25"/>
    <n v="0.25"/>
    <n v="0"/>
    <n v="0"/>
    <x v="1"/>
    <n v="0"/>
    <n v="0"/>
    <n v="0"/>
    <n v="0"/>
    <n v="0"/>
    <x v="1"/>
    <m/>
    <x v="0"/>
    <x v="0"/>
    <x v="0"/>
  </r>
  <r>
    <s v="18/1442/FUL"/>
    <x v="1"/>
    <x v="0"/>
    <s v="Land Rear Of 48 Fourth Cross Road Twickenham"/>
    <s v="Demolition of the existing outbuilding to the rear of no.48 Fourth Cross Road accessed via Rutland Road and construction of 1x2 bedroom dwelling including basement, with associated car parking, cycle parking and recycle/refuse storage."/>
    <m/>
    <m/>
    <x v="2"/>
    <x v="0"/>
    <n v="514703"/>
    <n v="172701"/>
    <m/>
    <n v="0"/>
    <n v="0"/>
    <n v="0"/>
    <n v="0"/>
    <m/>
    <m/>
    <m/>
    <n v="0"/>
    <m/>
    <n v="0"/>
    <n v="1"/>
    <n v="0"/>
    <n v="0"/>
    <m/>
    <m/>
    <m/>
    <n v="1"/>
    <m/>
    <n v="0"/>
    <n v="1"/>
    <n v="0"/>
    <n v="0"/>
    <n v="0"/>
    <n v="0"/>
    <n v="0"/>
    <n v="1"/>
    <x v="0"/>
    <n v="0"/>
    <n v="0"/>
    <n v="0.33333333333333331"/>
    <n v="0.33333333333333331"/>
    <n v="0.33333333333333331"/>
    <n v="0"/>
    <n v="0"/>
    <x v="1"/>
    <n v="0"/>
    <n v="0"/>
    <n v="0"/>
    <n v="0"/>
    <n v="0"/>
    <x v="1"/>
    <m/>
    <x v="0"/>
    <x v="0"/>
    <x v="0"/>
  </r>
  <r>
    <s v="18/1743/FUL"/>
    <x v="1"/>
    <x v="0"/>
    <s v="168 Broom Road_x000a_Teddington_x000a_TW11 9PQ"/>
    <s v="Subdivision of existing curtilage at 168 Broom Road; alterations to existing garage to the rear of the site comprising single storey side extension; two rear dormer roof extensions; two rooflights to the front roofslope and fenestration alterations to fa"/>
    <m/>
    <m/>
    <x v="2"/>
    <x v="0"/>
    <n v="517388"/>
    <n v="170706"/>
    <m/>
    <n v="0"/>
    <n v="0"/>
    <n v="0"/>
    <n v="0"/>
    <m/>
    <m/>
    <m/>
    <n v="0"/>
    <m/>
    <n v="1"/>
    <n v="0"/>
    <n v="0"/>
    <n v="0"/>
    <m/>
    <m/>
    <m/>
    <n v="1"/>
    <m/>
    <n v="1"/>
    <n v="0"/>
    <n v="0"/>
    <n v="0"/>
    <n v="0"/>
    <n v="0"/>
    <n v="0"/>
    <n v="1"/>
    <x v="0"/>
    <n v="0"/>
    <n v="0"/>
    <n v="0.33333333333333331"/>
    <n v="0.33333333333333331"/>
    <n v="0.33333333333333331"/>
    <n v="0"/>
    <n v="0"/>
    <x v="1"/>
    <n v="0"/>
    <n v="0"/>
    <n v="0"/>
    <n v="0"/>
    <n v="0"/>
    <x v="9"/>
    <m/>
    <x v="0"/>
    <x v="0"/>
    <x v="0"/>
  </r>
  <r>
    <s v="18/1808/FUL"/>
    <x v="1"/>
    <x v="0"/>
    <s v="12 - 14 Church Lane_x000a_Teddington"/>
    <s v="Demolition of existing building in Use Class B8 (storage and distribution) and change of use of land to C3 (residential) use.  Erection of a part two storey part single storey building to provide 4 bed (4B8P) dwellinghouse with associated parking, hard a"/>
    <m/>
    <m/>
    <x v="2"/>
    <x v="0"/>
    <n v="515803"/>
    <n v="171071"/>
    <m/>
    <n v="0"/>
    <n v="0"/>
    <n v="0"/>
    <n v="0"/>
    <m/>
    <m/>
    <m/>
    <n v="0"/>
    <m/>
    <n v="0"/>
    <n v="0"/>
    <n v="0"/>
    <n v="1"/>
    <m/>
    <m/>
    <m/>
    <n v="1"/>
    <m/>
    <n v="0"/>
    <n v="0"/>
    <n v="0"/>
    <n v="1"/>
    <n v="0"/>
    <n v="0"/>
    <n v="0"/>
    <n v="1"/>
    <x v="0"/>
    <n v="0"/>
    <n v="0"/>
    <n v="0.33333333333333331"/>
    <n v="0.33333333333333331"/>
    <n v="0.33333333333333331"/>
    <n v="0"/>
    <n v="0"/>
    <x v="1"/>
    <n v="0"/>
    <n v="0"/>
    <n v="0"/>
    <n v="0"/>
    <n v="0"/>
    <x v="2"/>
    <m/>
    <x v="0"/>
    <x v="0"/>
    <x v="0"/>
  </r>
  <r>
    <s v="18/1817/GPD15"/>
    <x v="3"/>
    <x v="1"/>
    <s v="9 Elmtree Road_x000a_Teddington_x000a_TW11 8SJ"/>
    <s v="Change of use from an office (Use Class B1(a)) to residential (Use Class C3) to provide 1 x 4 bed dwellinghouse."/>
    <m/>
    <m/>
    <x v="2"/>
    <x v="0"/>
    <n v="515379"/>
    <n v="171492"/>
    <m/>
    <n v="0"/>
    <n v="0"/>
    <n v="0"/>
    <n v="0"/>
    <m/>
    <m/>
    <m/>
    <n v="0"/>
    <m/>
    <n v="0"/>
    <n v="0"/>
    <n v="0"/>
    <n v="1"/>
    <m/>
    <m/>
    <m/>
    <n v="1"/>
    <m/>
    <n v="0"/>
    <n v="0"/>
    <n v="0"/>
    <n v="1"/>
    <n v="0"/>
    <n v="0"/>
    <n v="0"/>
    <n v="1"/>
    <x v="0"/>
    <n v="0"/>
    <n v="0.25"/>
    <n v="0.25"/>
    <n v="0.25"/>
    <n v="0.25"/>
    <n v="0"/>
    <n v="0"/>
    <x v="1"/>
    <n v="0"/>
    <n v="0"/>
    <n v="0"/>
    <n v="0"/>
    <n v="0"/>
    <x v="5"/>
    <m/>
    <x v="0"/>
    <x v="0"/>
    <x v="0"/>
  </r>
  <r>
    <s v="18/1911/FUL"/>
    <x v="2"/>
    <x v="0"/>
    <s v="74 Copthall Gardens Twickenham TW1 4HJ"/>
    <s v="First floor side extension and internal alterations (loss of floor space to existing first floor flat) in connection with the formation of an additional studio flat."/>
    <m/>
    <m/>
    <x v="2"/>
    <x v="0"/>
    <n v="515913"/>
    <n v="173384"/>
    <m/>
    <n v="0"/>
    <n v="0"/>
    <n v="0"/>
    <n v="0"/>
    <m/>
    <m/>
    <m/>
    <n v="0"/>
    <n v="1"/>
    <n v="0"/>
    <n v="0"/>
    <n v="0"/>
    <n v="0"/>
    <m/>
    <m/>
    <m/>
    <n v="1"/>
    <n v="1"/>
    <n v="0"/>
    <n v="0"/>
    <n v="0"/>
    <n v="0"/>
    <n v="0"/>
    <n v="0"/>
    <n v="0"/>
    <n v="1"/>
    <x v="0"/>
    <n v="0"/>
    <n v="0.25"/>
    <n v="0.25"/>
    <n v="0.25"/>
    <n v="0.25"/>
    <n v="0"/>
    <n v="0"/>
    <x v="1"/>
    <n v="0"/>
    <n v="0"/>
    <n v="0"/>
    <n v="0"/>
    <n v="0"/>
    <x v="4"/>
    <m/>
    <x v="0"/>
    <x v="0"/>
    <x v="0"/>
  </r>
  <r>
    <s v="18/2038/FUL"/>
    <x v="1"/>
    <x v="0"/>
    <s v="33 Parke Road_x000a_Barnes_x000a_London_x000a_SW13 9NJ"/>
    <s v="Demolition of existing building and construction of new building with basement."/>
    <m/>
    <m/>
    <x v="2"/>
    <x v="0"/>
    <n v="522063"/>
    <n v="177165"/>
    <m/>
    <n v="0"/>
    <n v="0"/>
    <n v="0"/>
    <n v="0"/>
    <m/>
    <n v="1"/>
    <m/>
    <n v="1"/>
    <m/>
    <n v="0"/>
    <n v="0"/>
    <n v="0"/>
    <n v="0"/>
    <n v="1"/>
    <m/>
    <m/>
    <n v="1"/>
    <m/>
    <n v="0"/>
    <n v="0"/>
    <n v="0"/>
    <n v="0"/>
    <n v="1"/>
    <n v="-1"/>
    <n v="0"/>
    <n v="0"/>
    <x v="0"/>
    <n v="0"/>
    <n v="0"/>
    <n v="0"/>
    <n v="0"/>
    <n v="0"/>
    <n v="0"/>
    <n v="0"/>
    <x v="0"/>
    <n v="0"/>
    <n v="0"/>
    <n v="0"/>
    <n v="0"/>
    <n v="0"/>
    <x v="14"/>
    <m/>
    <x v="0"/>
    <x v="0"/>
    <x v="0"/>
  </r>
  <r>
    <s v="18/2112/FUL"/>
    <x v="1"/>
    <x v="0"/>
    <s v="23 Waldegrave Road_x000a_Teddington_x000a_TW11 8LA"/>
    <s v="Demolition of existing single storey side extension. New entrance gates and construction of new 2 storey detached building (Unit 2) and External alterations and extensions to existing buildings to facilitate the change of use of existing building to prov"/>
    <m/>
    <m/>
    <x v="2"/>
    <x v="0"/>
    <n v="515852"/>
    <n v="171124"/>
    <m/>
    <n v="0"/>
    <n v="0"/>
    <n v="0"/>
    <n v="0"/>
    <m/>
    <m/>
    <m/>
    <n v="0"/>
    <m/>
    <n v="0"/>
    <n v="0"/>
    <n v="0"/>
    <n v="0"/>
    <m/>
    <m/>
    <m/>
    <n v="0"/>
    <m/>
    <n v="0"/>
    <n v="0"/>
    <n v="0"/>
    <n v="0"/>
    <n v="0"/>
    <n v="0"/>
    <n v="0"/>
    <n v="0"/>
    <x v="0"/>
    <n v="0"/>
    <n v="0"/>
    <n v="0"/>
    <n v="0"/>
    <n v="0"/>
    <n v="0"/>
    <n v="0"/>
    <x v="0"/>
    <n v="0"/>
    <n v="0"/>
    <n v="0"/>
    <n v="0"/>
    <n v="0"/>
    <x v="2"/>
    <m/>
    <x v="0"/>
    <x v="0"/>
    <x v="0"/>
  </r>
  <r>
    <s v="18/2235/VRC"/>
    <x v="3"/>
    <x v="0"/>
    <s v="Jolly Coopers 16 High Street Hampton TW12 2SJ"/>
    <s v="Removal of Condition U35386 (Residential-Ancillary Accommodation) and vary condition U35387 (Mixed use A4/C1) of planning permission 17/2301/FUL to exclude the reference to the stable block."/>
    <m/>
    <m/>
    <x v="2"/>
    <x v="0"/>
    <n v="514005"/>
    <n v="169556"/>
    <m/>
    <n v="0"/>
    <n v="0"/>
    <n v="1"/>
    <n v="0"/>
    <m/>
    <m/>
    <m/>
    <n v="1"/>
    <m/>
    <n v="0"/>
    <n v="1"/>
    <n v="0"/>
    <n v="0"/>
    <m/>
    <m/>
    <m/>
    <n v="1"/>
    <m/>
    <n v="0"/>
    <n v="1"/>
    <n v="-1"/>
    <n v="0"/>
    <n v="0"/>
    <n v="0"/>
    <n v="0"/>
    <n v="0"/>
    <x v="0"/>
    <n v="0"/>
    <n v="0"/>
    <n v="0"/>
    <n v="0"/>
    <n v="0"/>
    <n v="0"/>
    <n v="0"/>
    <x v="0"/>
    <n v="0"/>
    <n v="0"/>
    <n v="0"/>
    <n v="0"/>
    <n v="0"/>
    <x v="8"/>
    <m/>
    <x v="14"/>
    <x v="0"/>
    <x v="0"/>
  </r>
  <r>
    <s v="18/2322/FUL"/>
    <x v="3"/>
    <x v="0"/>
    <s v="300 - 302 Sandycombe Road Richmond TW9 3NG"/>
    <s v="Demolition of existing single-storey rear lean-to extension and formation of new external patio and other external alterations to elevations.  Change of use of rear part of ground floor level from A1(retail) to C3 (residential) to faciliate its conversio"/>
    <m/>
    <m/>
    <x v="2"/>
    <x v="0"/>
    <n v="519061"/>
    <n v="176662"/>
    <m/>
    <n v="0"/>
    <n v="0"/>
    <n v="0"/>
    <n v="0"/>
    <m/>
    <m/>
    <m/>
    <n v="0"/>
    <m/>
    <n v="0"/>
    <n v="1"/>
    <n v="0"/>
    <n v="0"/>
    <m/>
    <m/>
    <m/>
    <n v="1"/>
    <m/>
    <n v="0"/>
    <n v="1"/>
    <n v="0"/>
    <n v="0"/>
    <n v="0"/>
    <n v="0"/>
    <n v="0"/>
    <n v="1"/>
    <x v="0"/>
    <n v="0"/>
    <n v="0.25"/>
    <n v="0.25"/>
    <n v="0.25"/>
    <n v="0.25"/>
    <n v="0"/>
    <n v="0"/>
    <x v="1"/>
    <n v="0"/>
    <n v="0"/>
    <n v="0"/>
    <n v="0"/>
    <n v="0"/>
    <x v="10"/>
    <m/>
    <x v="0"/>
    <x v="0"/>
    <x v="0"/>
  </r>
  <r>
    <s v="18/2328/GPD15"/>
    <x v="3"/>
    <x v="1"/>
    <s v="4 Udney Park Road Teddington TW11 9BG"/>
    <s v="Change of use from B1 to C3 (1No. studio flat and 2No. one bed apartments)."/>
    <m/>
    <m/>
    <x v="2"/>
    <x v="0"/>
    <n v="516288"/>
    <n v="171091"/>
    <m/>
    <n v="0"/>
    <n v="0"/>
    <n v="0"/>
    <n v="0"/>
    <m/>
    <m/>
    <m/>
    <n v="0"/>
    <n v="1"/>
    <n v="2"/>
    <n v="0"/>
    <n v="0"/>
    <n v="0"/>
    <m/>
    <m/>
    <m/>
    <n v="3"/>
    <n v="1"/>
    <n v="2"/>
    <n v="0"/>
    <n v="0"/>
    <n v="0"/>
    <n v="0"/>
    <n v="0"/>
    <n v="0"/>
    <n v="3"/>
    <x v="0"/>
    <n v="0"/>
    <n v="0.75"/>
    <n v="0.75"/>
    <n v="0.75"/>
    <n v="0.75"/>
    <n v="0"/>
    <n v="0"/>
    <x v="1"/>
    <n v="0"/>
    <n v="0"/>
    <n v="0"/>
    <n v="0"/>
    <n v="0"/>
    <x v="2"/>
    <m/>
    <x v="0"/>
    <x v="4"/>
    <x v="0"/>
  </r>
  <r>
    <s v="18/2494/FUL"/>
    <x v="1"/>
    <x v="0"/>
    <s v="4 West Temple Sheen_x000a_East Sheen_x000a_London_x000a_SW14 7RT"/>
    <s v="Demolition of an existing dwelling and erection of 2no. two-storey three-bedroom dwelling houses with roof space accommodation  and associated landscaping. Replacement of front boundary wall. Removal of crossover and closure of vehicular access."/>
    <m/>
    <m/>
    <x v="2"/>
    <x v="0"/>
    <n v="519884"/>
    <n v="175023"/>
    <m/>
    <n v="0"/>
    <n v="1"/>
    <n v="0"/>
    <n v="0"/>
    <m/>
    <m/>
    <m/>
    <n v="1"/>
    <m/>
    <n v="0"/>
    <n v="0"/>
    <n v="2"/>
    <n v="0"/>
    <m/>
    <m/>
    <m/>
    <n v="2"/>
    <m/>
    <n v="0"/>
    <n v="-1"/>
    <n v="2"/>
    <n v="0"/>
    <n v="0"/>
    <n v="0"/>
    <n v="0"/>
    <n v="1"/>
    <x v="0"/>
    <n v="0"/>
    <n v="0"/>
    <n v="0.33333333333333331"/>
    <n v="0.33333333333333331"/>
    <n v="0.33333333333333331"/>
    <n v="0"/>
    <n v="0"/>
    <x v="1"/>
    <n v="0"/>
    <n v="0"/>
    <n v="0"/>
    <n v="0"/>
    <n v="0"/>
    <x v="6"/>
    <m/>
    <x v="0"/>
    <x v="0"/>
    <x v="0"/>
  </r>
  <r>
    <s v="18/2654/FUL"/>
    <x v="2"/>
    <x v="0"/>
    <s v="East Sheen Baptist Church _x000a_Temple Sheen Road_x000a_East Sheen_x000a_London_x000a_SW14 7PY"/>
    <s v="Erection of single-storey extension to front elevation of existing church hall building."/>
    <m/>
    <m/>
    <x v="2"/>
    <x v="0"/>
    <n v="520162"/>
    <n v="175278"/>
    <m/>
    <n v="0"/>
    <n v="0"/>
    <n v="0"/>
    <n v="0"/>
    <m/>
    <m/>
    <m/>
    <n v="0"/>
    <m/>
    <n v="0"/>
    <n v="0"/>
    <n v="0"/>
    <n v="0"/>
    <m/>
    <m/>
    <m/>
    <n v="0"/>
    <m/>
    <n v="0"/>
    <n v="0"/>
    <n v="0"/>
    <n v="0"/>
    <n v="0"/>
    <n v="0"/>
    <n v="0"/>
    <n v="0"/>
    <x v="0"/>
    <n v="0"/>
    <n v="0"/>
    <n v="0"/>
    <n v="0"/>
    <n v="0"/>
    <n v="0"/>
    <n v="0"/>
    <x v="0"/>
    <n v="0"/>
    <n v="0"/>
    <n v="0"/>
    <n v="0"/>
    <n v="0"/>
    <x v="6"/>
    <m/>
    <x v="0"/>
    <x v="2"/>
    <x v="0"/>
  </r>
  <r>
    <s v="18/2716/GPD13"/>
    <x v="3"/>
    <x v="1"/>
    <s v="561 - 563 Upper Richmond Road West_x000a_East Sheen_x000a_London_x000a_SW14 7ED"/>
    <s v="Change of use of premises from a A1 use to to C3 (residential use - 2 no studio flats and 1 x 1 bed flat with existing first floor flat above no. 561 to remain)"/>
    <m/>
    <m/>
    <x v="2"/>
    <x v="0"/>
    <n v="519756"/>
    <n v="175319"/>
    <m/>
    <n v="0"/>
    <n v="0"/>
    <n v="0"/>
    <n v="0"/>
    <m/>
    <m/>
    <m/>
    <n v="0"/>
    <n v="2"/>
    <n v="1"/>
    <n v="0"/>
    <n v="0"/>
    <n v="0"/>
    <m/>
    <m/>
    <m/>
    <n v="3"/>
    <n v="2"/>
    <n v="1"/>
    <n v="0"/>
    <n v="0"/>
    <n v="0"/>
    <n v="0"/>
    <n v="0"/>
    <n v="0"/>
    <n v="3"/>
    <x v="0"/>
    <n v="0"/>
    <n v="0.75"/>
    <n v="0.75"/>
    <n v="0.75"/>
    <n v="0.75"/>
    <n v="0"/>
    <n v="0"/>
    <x v="1"/>
    <n v="0"/>
    <n v="0"/>
    <n v="0"/>
    <n v="0"/>
    <n v="0"/>
    <x v="6"/>
    <m/>
    <x v="0"/>
    <x v="0"/>
    <x v="0"/>
  </r>
  <r>
    <s v="18/3195/GPD15"/>
    <x v="3"/>
    <x v="1"/>
    <s v="75 Sheen Lane_x000a_East Sheen_x000a_London_x000a_SW14 8AD"/>
    <s v="Change of use of first and second floor B1(a) office accommodation to 1 x three bedroom C3 residential unit."/>
    <m/>
    <m/>
    <x v="2"/>
    <x v="0"/>
    <n v="520495"/>
    <n v="175597"/>
    <m/>
    <n v="0"/>
    <n v="0"/>
    <n v="0"/>
    <n v="0"/>
    <m/>
    <m/>
    <m/>
    <n v="0"/>
    <m/>
    <n v="0"/>
    <n v="0"/>
    <n v="1"/>
    <n v="0"/>
    <m/>
    <m/>
    <m/>
    <n v="1"/>
    <m/>
    <n v="0"/>
    <n v="0"/>
    <n v="1"/>
    <n v="0"/>
    <n v="0"/>
    <n v="0"/>
    <n v="0"/>
    <n v="1"/>
    <x v="0"/>
    <n v="0"/>
    <n v="0.25"/>
    <n v="0.25"/>
    <n v="0.25"/>
    <n v="0.25"/>
    <n v="0"/>
    <n v="0"/>
    <x v="1"/>
    <n v="0"/>
    <n v="0"/>
    <n v="0"/>
    <n v="0"/>
    <n v="0"/>
    <x v="6"/>
    <m/>
    <x v="0"/>
    <x v="2"/>
    <x v="0"/>
  </r>
  <r>
    <s v="18/3210/GPD15"/>
    <x v="3"/>
    <x v="1"/>
    <s v="59 North Worple Way_x000a_Mortlake_x000a_London"/>
    <s v="Change use from B1a offices to C3 residential, as a 1 x 2 bedroom flat."/>
    <m/>
    <m/>
    <x v="2"/>
    <x v="0"/>
    <n v="520890"/>
    <n v="175755"/>
    <m/>
    <n v="0"/>
    <n v="0"/>
    <n v="0"/>
    <n v="0"/>
    <m/>
    <m/>
    <m/>
    <n v="0"/>
    <m/>
    <n v="0"/>
    <n v="1"/>
    <n v="0"/>
    <n v="0"/>
    <m/>
    <m/>
    <m/>
    <n v="1"/>
    <m/>
    <n v="0"/>
    <n v="1"/>
    <n v="0"/>
    <n v="0"/>
    <n v="0"/>
    <n v="0"/>
    <n v="0"/>
    <n v="1"/>
    <x v="0"/>
    <n v="0"/>
    <n v="0.25"/>
    <n v="0.25"/>
    <n v="0.25"/>
    <n v="0.25"/>
    <n v="0"/>
    <n v="0"/>
    <x v="1"/>
    <n v="0"/>
    <n v="0"/>
    <n v="0"/>
    <n v="0"/>
    <n v="0"/>
    <x v="11"/>
    <m/>
    <x v="0"/>
    <x v="0"/>
    <x v="0"/>
  </r>
  <r>
    <s v="18/3285/FUL"/>
    <x v="1"/>
    <x v="0"/>
    <s v="74 Lowther Road_x000a_Barnes_x000a_London_x000a_SW13 9NU"/>
    <s v="Demolition of existing house and construction of a new 5 bed house with basement"/>
    <m/>
    <m/>
    <x v="2"/>
    <x v="0"/>
    <n v="521978"/>
    <n v="177062"/>
    <m/>
    <n v="0"/>
    <n v="0"/>
    <n v="0"/>
    <n v="1"/>
    <m/>
    <m/>
    <m/>
    <n v="1"/>
    <m/>
    <n v="0"/>
    <n v="0"/>
    <n v="0"/>
    <n v="0"/>
    <n v="1"/>
    <m/>
    <m/>
    <n v="1"/>
    <m/>
    <n v="0"/>
    <n v="0"/>
    <n v="0"/>
    <n v="-1"/>
    <n v="1"/>
    <n v="0"/>
    <n v="0"/>
    <n v="0"/>
    <x v="0"/>
    <n v="0"/>
    <n v="0"/>
    <n v="0"/>
    <n v="0"/>
    <n v="0"/>
    <n v="0"/>
    <n v="0"/>
    <x v="0"/>
    <n v="0"/>
    <n v="0"/>
    <n v="0"/>
    <n v="0"/>
    <n v="0"/>
    <x v="14"/>
    <m/>
    <x v="0"/>
    <x v="0"/>
    <x v="0"/>
  </r>
  <r>
    <s v="18/3460/FUL"/>
    <x v="0"/>
    <x v="0"/>
    <s v="20A Red Lion Street_x000a_Richmond_x000a_TW9 1RW"/>
    <s v="Infill of internal void with new roof section over to facilitate conversion of existing three-bedroom dwelling (flat) above a retail unit to 2no. one-bed dwellings (flats) above retail unit."/>
    <m/>
    <m/>
    <x v="2"/>
    <x v="0"/>
    <n v="517894"/>
    <n v="174757"/>
    <m/>
    <n v="0"/>
    <n v="0"/>
    <n v="1"/>
    <n v="0"/>
    <m/>
    <m/>
    <m/>
    <n v="1"/>
    <m/>
    <n v="2"/>
    <n v="0"/>
    <n v="0"/>
    <n v="0"/>
    <m/>
    <m/>
    <m/>
    <n v="2"/>
    <m/>
    <n v="2"/>
    <n v="0"/>
    <n v="-1"/>
    <n v="0"/>
    <n v="0"/>
    <n v="0"/>
    <n v="0"/>
    <n v="1"/>
    <x v="0"/>
    <n v="0"/>
    <n v="0.25"/>
    <n v="0.25"/>
    <n v="0.25"/>
    <n v="0.25"/>
    <n v="0"/>
    <n v="0"/>
    <x v="1"/>
    <n v="0"/>
    <n v="0"/>
    <n v="0"/>
    <n v="0"/>
    <n v="0"/>
    <x v="12"/>
    <m/>
    <x v="0"/>
    <x v="3"/>
    <x v="0"/>
  </r>
  <r>
    <s v="18/3515/FUL"/>
    <x v="0"/>
    <x v="0"/>
    <s v="311 Upper Richmond Road West_x000a_East Sheen_x000a_London_x000a_SW14 8QR"/>
    <s v="Conversion of first and second floor flat and construction of rear dormer roof extension to provide 4no. (3 x 1B1P and 1 x 2B3P) residential dwellings and other alterations."/>
    <m/>
    <m/>
    <x v="2"/>
    <x v="0"/>
    <n v="520700"/>
    <n v="175411"/>
    <m/>
    <n v="0"/>
    <n v="2"/>
    <n v="0"/>
    <n v="0"/>
    <m/>
    <m/>
    <m/>
    <n v="0"/>
    <m/>
    <n v="3"/>
    <n v="1"/>
    <n v="0"/>
    <n v="0"/>
    <m/>
    <m/>
    <m/>
    <n v="4"/>
    <m/>
    <n v="3"/>
    <n v="-1"/>
    <n v="0"/>
    <n v="0"/>
    <n v="0"/>
    <n v="0"/>
    <n v="0"/>
    <n v="4"/>
    <x v="0"/>
    <n v="0"/>
    <n v="1"/>
    <n v="1"/>
    <n v="1"/>
    <n v="1"/>
    <n v="0"/>
    <n v="0"/>
    <x v="1"/>
    <n v="0"/>
    <n v="0"/>
    <n v="0"/>
    <n v="0"/>
    <n v="0"/>
    <x v="6"/>
    <m/>
    <x v="0"/>
    <x v="2"/>
    <x v="0"/>
  </r>
  <r>
    <s v="18/3613/GPD15"/>
    <x v="3"/>
    <x v="1"/>
    <s v="108 Shacklegate Lane_x000a_Teddington_x000a_TW11 8SH"/>
    <s v="Change of use from office B1(a) to C3 (Resdiential) use to provide 1 x 1 bed dwellinghouse."/>
    <m/>
    <m/>
    <x v="2"/>
    <x v="0"/>
    <n v="515394"/>
    <n v="171656"/>
    <m/>
    <n v="0"/>
    <n v="0"/>
    <n v="0"/>
    <n v="0"/>
    <m/>
    <m/>
    <m/>
    <n v="0"/>
    <m/>
    <n v="1"/>
    <n v="0"/>
    <n v="0"/>
    <n v="0"/>
    <m/>
    <m/>
    <m/>
    <n v="1"/>
    <m/>
    <n v="1"/>
    <n v="0"/>
    <n v="0"/>
    <n v="0"/>
    <n v="0"/>
    <n v="0"/>
    <n v="0"/>
    <n v="1"/>
    <x v="0"/>
    <n v="0"/>
    <n v="0.25"/>
    <n v="0.25"/>
    <n v="0.25"/>
    <n v="0.25"/>
    <n v="0"/>
    <n v="0"/>
    <x v="1"/>
    <n v="0"/>
    <n v="0"/>
    <n v="0"/>
    <n v="0"/>
    <n v="0"/>
    <x v="5"/>
    <m/>
    <x v="0"/>
    <x v="0"/>
    <x v="0"/>
  </r>
  <r>
    <s v="18/3696/FUL"/>
    <x v="3"/>
    <x v="0"/>
    <s v="192 Heath Road_x000a_Twickenham_x000a_TW2 5TX"/>
    <s v="Change of use of existing A2 (Financial and professional services) to C3 (Residential) to create 1No. 1 bed flat; Fenestration alterations; Insertion of rooflights to single storey front projection and single storey side/rear extension."/>
    <m/>
    <m/>
    <x v="2"/>
    <x v="0"/>
    <n v="515502"/>
    <n v="173093"/>
    <m/>
    <n v="0"/>
    <n v="0"/>
    <n v="0"/>
    <n v="0"/>
    <m/>
    <m/>
    <m/>
    <n v="0"/>
    <m/>
    <n v="1"/>
    <n v="0"/>
    <n v="0"/>
    <n v="0"/>
    <m/>
    <m/>
    <m/>
    <n v="1"/>
    <m/>
    <n v="1"/>
    <n v="0"/>
    <n v="0"/>
    <n v="0"/>
    <n v="0"/>
    <n v="0"/>
    <n v="0"/>
    <n v="1"/>
    <x v="0"/>
    <n v="0"/>
    <n v="0.25"/>
    <n v="0.25"/>
    <n v="0.25"/>
    <n v="0.25"/>
    <n v="0"/>
    <n v="0"/>
    <x v="1"/>
    <n v="0"/>
    <n v="0"/>
    <n v="0"/>
    <n v="0"/>
    <n v="0"/>
    <x v="17"/>
    <m/>
    <x v="16"/>
    <x v="0"/>
    <x v="0"/>
  </r>
  <r>
    <s v="18/3768/FUL"/>
    <x v="3"/>
    <x v="0"/>
    <s v="58 Oldfield Road Hampton TW12 2AE"/>
    <s v="Demolition of two existing workshop buildings. Change of use from current vacant B1 use to C3. Construction of 2No. semi-detached 5-bedroom family houses consisting of 2 storeys plus loft space with integral garaging.  Associated hard &amp; soft landscaping"/>
    <m/>
    <m/>
    <x v="2"/>
    <x v="0"/>
    <n v="513264"/>
    <n v="169738"/>
    <m/>
    <n v="0"/>
    <n v="0"/>
    <n v="0"/>
    <n v="0"/>
    <m/>
    <m/>
    <m/>
    <n v="0"/>
    <m/>
    <n v="0"/>
    <n v="0"/>
    <n v="0"/>
    <n v="0"/>
    <n v="2"/>
    <m/>
    <m/>
    <n v="2"/>
    <m/>
    <n v="0"/>
    <n v="0"/>
    <n v="0"/>
    <n v="0"/>
    <n v="2"/>
    <n v="0"/>
    <n v="0"/>
    <n v="2"/>
    <x v="0"/>
    <n v="0"/>
    <n v="0.5"/>
    <n v="0.5"/>
    <n v="0.5"/>
    <n v="0.5"/>
    <n v="0"/>
    <n v="0"/>
    <x v="1"/>
    <n v="0"/>
    <n v="0"/>
    <n v="0"/>
    <n v="0"/>
    <n v="0"/>
    <x v="8"/>
    <m/>
    <x v="0"/>
    <x v="0"/>
    <x v="0"/>
  </r>
  <r>
    <s v="18/3815/GPD15"/>
    <x v="3"/>
    <x v="1"/>
    <s v="42 - 42A High Street_x000a_Hampton Wick_x000a_Kingston Upon Thames_x000a_KT1 4DB"/>
    <s v="Change of use of two detached buildings and the associated curtilage from light industrial use (Class B1(c)) to residential use (Class C3) to provide 7 x 1 bedroom units and 1 x 2 bedroom unit."/>
    <m/>
    <m/>
    <x v="2"/>
    <x v="0"/>
    <n v="517565"/>
    <n v="169582"/>
    <m/>
    <n v="0"/>
    <n v="0"/>
    <n v="0"/>
    <n v="0"/>
    <m/>
    <m/>
    <m/>
    <n v="0"/>
    <m/>
    <n v="7"/>
    <n v="1"/>
    <n v="0"/>
    <n v="0"/>
    <m/>
    <m/>
    <m/>
    <n v="8"/>
    <m/>
    <n v="7"/>
    <n v="1"/>
    <n v="0"/>
    <n v="0"/>
    <n v="0"/>
    <n v="0"/>
    <n v="0"/>
    <n v="8"/>
    <x v="0"/>
    <n v="0"/>
    <n v="2"/>
    <n v="2"/>
    <n v="2"/>
    <n v="2"/>
    <n v="0"/>
    <n v="0"/>
    <x v="1"/>
    <n v="0"/>
    <n v="0"/>
    <n v="0"/>
    <n v="0"/>
    <n v="0"/>
    <x v="9"/>
    <m/>
    <x v="1"/>
    <x v="0"/>
    <x v="0"/>
  </r>
  <r>
    <s v="18/3952/FUL"/>
    <x v="1"/>
    <x v="0"/>
    <s v="45 Ormond Crescent_x000a_Hampton_x000a_TW12 2TJ"/>
    <s v="Replacement of existing dwelling with 1 no. 2 storey with accommodation in the roof (5B10P) dwellinghouse and new pedestrian gate."/>
    <m/>
    <m/>
    <x v="2"/>
    <x v="0"/>
    <n v="513943"/>
    <n v="170016"/>
    <m/>
    <n v="0"/>
    <n v="0"/>
    <n v="0"/>
    <n v="0"/>
    <n v="1"/>
    <m/>
    <m/>
    <n v="1"/>
    <m/>
    <n v="0"/>
    <n v="0"/>
    <n v="0"/>
    <n v="0"/>
    <n v="1"/>
    <m/>
    <m/>
    <n v="1"/>
    <m/>
    <n v="0"/>
    <n v="0"/>
    <n v="0"/>
    <n v="0"/>
    <n v="0"/>
    <n v="0"/>
    <n v="0"/>
    <n v="0"/>
    <x v="0"/>
    <n v="0"/>
    <n v="0"/>
    <n v="0"/>
    <n v="0"/>
    <n v="0"/>
    <n v="0"/>
    <n v="0"/>
    <x v="0"/>
    <n v="0"/>
    <n v="0"/>
    <n v="0"/>
    <n v="0"/>
    <n v="0"/>
    <x v="8"/>
    <m/>
    <x v="0"/>
    <x v="0"/>
    <x v="0"/>
  </r>
  <r>
    <s v="18/4125/FUL"/>
    <x v="0"/>
    <x v="0"/>
    <s v="85 Connaught Road Teddington TW11 0QQ"/>
    <s v="Alterations and extensions to existing building comprising 1) single storey side/rear extension, 2) new gable roof extension, new window, pitched roof to existing two storey bay window and 1 rooflight to front elevation; 3) dormer roof extension to main"/>
    <m/>
    <m/>
    <x v="2"/>
    <x v="0"/>
    <n v="514632"/>
    <n v="171370"/>
    <m/>
    <n v="0"/>
    <n v="1"/>
    <n v="0"/>
    <n v="1"/>
    <m/>
    <m/>
    <m/>
    <n v="0"/>
    <m/>
    <n v="2"/>
    <n v="1"/>
    <n v="1"/>
    <n v="0"/>
    <m/>
    <m/>
    <m/>
    <n v="4"/>
    <m/>
    <n v="2"/>
    <n v="0"/>
    <n v="1"/>
    <n v="-1"/>
    <n v="0"/>
    <n v="0"/>
    <n v="0"/>
    <n v="4"/>
    <x v="0"/>
    <n v="0"/>
    <n v="1"/>
    <n v="1"/>
    <n v="1"/>
    <n v="1"/>
    <n v="0"/>
    <n v="0"/>
    <x v="1"/>
    <n v="0"/>
    <n v="0"/>
    <n v="0"/>
    <n v="0"/>
    <n v="0"/>
    <x v="5"/>
    <m/>
    <x v="0"/>
    <x v="0"/>
    <x v="0"/>
  </r>
  <r>
    <s v="19/0171/GPD15"/>
    <x v="3"/>
    <x v="1"/>
    <s v="62 Glentham Road Barnes SW13 9JJ"/>
    <s v="Change of use from B1 (Offices) to C3(a) (Dwellings) (2 x 2 bed)."/>
    <m/>
    <m/>
    <x v="2"/>
    <x v="0"/>
    <n v="522531"/>
    <n v="177884"/>
    <m/>
    <n v="0"/>
    <n v="0"/>
    <n v="0"/>
    <n v="0"/>
    <m/>
    <m/>
    <m/>
    <n v="0"/>
    <m/>
    <n v="0"/>
    <n v="2"/>
    <n v="0"/>
    <n v="0"/>
    <m/>
    <m/>
    <m/>
    <n v="2"/>
    <m/>
    <n v="0"/>
    <n v="2"/>
    <n v="0"/>
    <n v="0"/>
    <n v="0"/>
    <n v="0"/>
    <n v="0"/>
    <n v="2"/>
    <x v="0"/>
    <n v="0"/>
    <n v="0.5"/>
    <n v="0.5"/>
    <n v="0.5"/>
    <n v="0.5"/>
    <n v="0"/>
    <n v="0"/>
    <x v="1"/>
    <n v="0"/>
    <n v="0"/>
    <n v="0"/>
    <n v="0"/>
    <n v="0"/>
    <x v="14"/>
    <m/>
    <x v="0"/>
    <x v="0"/>
    <x v="0"/>
  </r>
  <r>
    <s v="19/0181/GPD15"/>
    <x v="3"/>
    <x v="1"/>
    <s v="95 South Worple Way_x000a_East Sheen_x000a_London_x000a_SW14 8ND"/>
    <s v="Change of use from B1 (Offices) to C3(a) (Dwellings) (1 x 1 bed)."/>
    <m/>
    <m/>
    <x v="2"/>
    <x v="0"/>
    <n v="520540"/>
    <n v="175748"/>
    <m/>
    <n v="0"/>
    <n v="0"/>
    <n v="0"/>
    <n v="0"/>
    <m/>
    <m/>
    <m/>
    <n v="0"/>
    <m/>
    <n v="1"/>
    <n v="0"/>
    <n v="0"/>
    <n v="0"/>
    <m/>
    <m/>
    <m/>
    <n v="1"/>
    <m/>
    <n v="1"/>
    <n v="0"/>
    <n v="0"/>
    <n v="0"/>
    <n v="0"/>
    <n v="0"/>
    <n v="0"/>
    <n v="1"/>
    <x v="0"/>
    <n v="0"/>
    <n v="0.25"/>
    <n v="0.25"/>
    <n v="0.25"/>
    <n v="0.25"/>
    <n v="0"/>
    <n v="0"/>
    <x v="1"/>
    <n v="0"/>
    <n v="0"/>
    <n v="0"/>
    <n v="0"/>
    <n v="0"/>
    <x v="6"/>
    <m/>
    <x v="0"/>
    <x v="2"/>
    <x v="0"/>
  </r>
  <r>
    <s v="Local Plan SA 12"/>
    <x v="5"/>
    <x v="2"/>
    <s v="Mereway Day Centre, Mereway Road"/>
    <m/>
    <m/>
    <m/>
    <x v="3"/>
    <x v="5"/>
    <m/>
    <m/>
    <n v="0"/>
    <n v="0"/>
    <n v="0"/>
    <n v="0"/>
    <n v="0"/>
    <n v="0"/>
    <n v="0"/>
    <n v="0"/>
    <n v="0"/>
    <n v="0"/>
    <n v="0"/>
    <n v="0"/>
    <n v="0"/>
    <n v="0"/>
    <n v="0"/>
    <n v="0"/>
    <n v="0"/>
    <n v="0"/>
    <n v="0"/>
    <n v="0"/>
    <n v="0"/>
    <n v="0"/>
    <n v="0"/>
    <n v="0"/>
    <n v="0"/>
    <n v="0"/>
    <n v="10"/>
    <x v="0"/>
    <n v="0"/>
    <n v="0"/>
    <n v="0"/>
    <n v="0"/>
    <n v="0"/>
    <n v="0"/>
    <n v="0"/>
    <x v="0"/>
    <n v="2"/>
    <n v="2"/>
    <n v="2"/>
    <n v="2"/>
    <n v="2"/>
    <x v="17"/>
    <m/>
    <x v="0"/>
    <x v="0"/>
    <x v="0"/>
  </r>
  <r>
    <s v="Local Plan SA 12"/>
    <x v="5"/>
    <x v="2"/>
    <s v="Mereway Day Centre, Mereway Road"/>
    <m/>
    <m/>
    <m/>
    <x v="3"/>
    <x v="0"/>
    <m/>
    <m/>
    <n v="0"/>
    <n v="0"/>
    <n v="0"/>
    <n v="0"/>
    <n v="0"/>
    <n v="0"/>
    <n v="0"/>
    <n v="0"/>
    <n v="0"/>
    <n v="0"/>
    <n v="0"/>
    <n v="0"/>
    <n v="0"/>
    <n v="0"/>
    <n v="0"/>
    <n v="0"/>
    <n v="0"/>
    <n v="0"/>
    <n v="0"/>
    <n v="0"/>
    <n v="0"/>
    <n v="0"/>
    <n v="0"/>
    <n v="0"/>
    <n v="0"/>
    <n v="0"/>
    <n v="10"/>
    <x v="0"/>
    <n v="0"/>
    <n v="0"/>
    <n v="0"/>
    <n v="0"/>
    <n v="0"/>
    <n v="0"/>
    <n v="0"/>
    <x v="0"/>
    <n v="2"/>
    <n v="2"/>
    <n v="2"/>
    <n v="2"/>
    <n v="2"/>
    <x v="17"/>
    <m/>
    <x v="0"/>
    <x v="0"/>
    <x v="0"/>
  </r>
  <r>
    <s v="Local Plan SA 13"/>
    <x v="5"/>
    <x v="2"/>
    <s v="Telephone Exchange, Ashdale Road"/>
    <m/>
    <m/>
    <m/>
    <x v="3"/>
    <x v="5"/>
    <m/>
    <m/>
    <n v="0"/>
    <n v="0"/>
    <n v="0"/>
    <n v="0"/>
    <n v="0"/>
    <n v="0"/>
    <n v="0"/>
    <n v="0"/>
    <n v="0"/>
    <n v="0"/>
    <n v="0"/>
    <n v="0"/>
    <n v="0"/>
    <n v="0"/>
    <n v="0"/>
    <n v="0"/>
    <n v="0"/>
    <n v="0"/>
    <n v="0"/>
    <n v="0"/>
    <n v="0"/>
    <n v="0"/>
    <n v="0"/>
    <n v="0"/>
    <n v="0"/>
    <n v="0"/>
    <n v="10"/>
    <x v="0"/>
    <n v="0"/>
    <n v="0"/>
    <n v="0"/>
    <n v="0"/>
    <n v="0"/>
    <n v="0"/>
    <n v="0"/>
    <x v="0"/>
    <n v="2"/>
    <n v="2"/>
    <n v="2"/>
    <n v="2"/>
    <n v="2"/>
    <x v="15"/>
    <m/>
    <x v="0"/>
    <x v="0"/>
    <x v="0"/>
  </r>
  <r>
    <s v="Local Plan SA 13"/>
    <x v="5"/>
    <x v="2"/>
    <s v="Telephone Exchange, Ashdale Road"/>
    <m/>
    <m/>
    <m/>
    <x v="3"/>
    <x v="0"/>
    <m/>
    <m/>
    <n v="0"/>
    <n v="0"/>
    <n v="0"/>
    <n v="0"/>
    <n v="0"/>
    <n v="0"/>
    <n v="0"/>
    <n v="0"/>
    <n v="0"/>
    <n v="0"/>
    <n v="0"/>
    <n v="0"/>
    <n v="0"/>
    <n v="0"/>
    <n v="0"/>
    <n v="0"/>
    <n v="0"/>
    <n v="0"/>
    <n v="0"/>
    <n v="0"/>
    <n v="0"/>
    <n v="0"/>
    <n v="0"/>
    <n v="0"/>
    <n v="0"/>
    <n v="0"/>
    <n v="10"/>
    <x v="0"/>
    <n v="0"/>
    <n v="0"/>
    <n v="0"/>
    <n v="0"/>
    <n v="0"/>
    <n v="0"/>
    <n v="0"/>
    <x v="0"/>
    <n v="2"/>
    <n v="2"/>
    <n v="2"/>
    <n v="2"/>
    <n v="2"/>
    <x v="15"/>
    <m/>
    <x v="0"/>
    <x v="0"/>
    <x v="0"/>
  </r>
  <r>
    <s v="Local Plan SA 14"/>
    <x v="5"/>
    <x v="2"/>
    <s v="Kneller Hall, Whitton"/>
    <m/>
    <m/>
    <m/>
    <x v="3"/>
    <x v="5"/>
    <m/>
    <m/>
    <n v="0"/>
    <n v="0"/>
    <n v="0"/>
    <n v="0"/>
    <n v="0"/>
    <n v="0"/>
    <n v="0"/>
    <n v="0"/>
    <n v="0"/>
    <n v="0"/>
    <n v="0"/>
    <n v="0"/>
    <n v="0"/>
    <n v="0"/>
    <n v="0"/>
    <n v="0"/>
    <n v="0"/>
    <n v="0"/>
    <n v="0"/>
    <n v="0"/>
    <n v="0"/>
    <n v="0"/>
    <n v="0"/>
    <n v="0"/>
    <n v="0"/>
    <n v="0"/>
    <n v="15"/>
    <x v="0"/>
    <n v="0"/>
    <n v="0"/>
    <n v="0"/>
    <n v="0"/>
    <n v="0"/>
    <n v="0"/>
    <n v="0"/>
    <x v="0"/>
    <n v="3"/>
    <n v="3"/>
    <n v="3"/>
    <n v="3"/>
    <n v="3"/>
    <x v="15"/>
    <m/>
    <x v="0"/>
    <x v="0"/>
    <x v="0"/>
  </r>
  <r>
    <s v="Local Plan SA 14"/>
    <x v="5"/>
    <x v="2"/>
    <s v="Kneller Hall, Whitton"/>
    <m/>
    <m/>
    <m/>
    <x v="3"/>
    <x v="0"/>
    <m/>
    <m/>
    <n v="0"/>
    <n v="0"/>
    <n v="0"/>
    <n v="0"/>
    <n v="0"/>
    <n v="0"/>
    <n v="0"/>
    <n v="0"/>
    <n v="0"/>
    <n v="0"/>
    <n v="0"/>
    <n v="0"/>
    <n v="0"/>
    <n v="0"/>
    <n v="0"/>
    <n v="0"/>
    <n v="0"/>
    <n v="0"/>
    <n v="0"/>
    <n v="0"/>
    <n v="0"/>
    <n v="0"/>
    <n v="0"/>
    <n v="0"/>
    <n v="0"/>
    <n v="0"/>
    <n v="15"/>
    <x v="0"/>
    <n v="0"/>
    <n v="0"/>
    <n v="0"/>
    <n v="0"/>
    <n v="0"/>
    <n v="0"/>
    <n v="0"/>
    <x v="0"/>
    <n v="3"/>
    <n v="3"/>
    <n v="3"/>
    <n v="3"/>
    <n v="3"/>
    <x v="15"/>
    <m/>
    <x v="0"/>
    <x v="0"/>
    <x v="0"/>
  </r>
  <r>
    <s v="Local Plan SA 15"/>
    <x v="5"/>
    <x v="2"/>
    <s v="Ham Central Area"/>
    <m/>
    <m/>
    <m/>
    <x v="3"/>
    <x v="5"/>
    <m/>
    <m/>
    <n v="0"/>
    <n v="0"/>
    <n v="0"/>
    <n v="0"/>
    <n v="0"/>
    <n v="0"/>
    <n v="0"/>
    <n v="0"/>
    <n v="0"/>
    <n v="0"/>
    <n v="0"/>
    <n v="0"/>
    <n v="0"/>
    <n v="0"/>
    <n v="0"/>
    <n v="0"/>
    <n v="0"/>
    <n v="0"/>
    <n v="0"/>
    <n v="0"/>
    <n v="0"/>
    <n v="0"/>
    <n v="0"/>
    <n v="0"/>
    <n v="0"/>
    <n v="0"/>
    <n v="80"/>
    <x v="0"/>
    <n v="0"/>
    <n v="0"/>
    <n v="0"/>
    <n v="0"/>
    <n v="20"/>
    <n v="20"/>
    <n v="20"/>
    <x v="1"/>
    <n v="20"/>
    <n v="0"/>
    <n v="0"/>
    <n v="0"/>
    <n v="0"/>
    <x v="7"/>
    <m/>
    <x v="0"/>
    <x v="0"/>
    <x v="0"/>
  </r>
  <r>
    <s v="Local Plan SA 15"/>
    <x v="5"/>
    <x v="2"/>
    <s v="Ham Central Area"/>
    <m/>
    <m/>
    <m/>
    <x v="3"/>
    <x v="0"/>
    <m/>
    <m/>
    <n v="0"/>
    <n v="0"/>
    <n v="0"/>
    <n v="0"/>
    <n v="0"/>
    <n v="0"/>
    <n v="0"/>
    <n v="0"/>
    <n v="0"/>
    <n v="0"/>
    <n v="0"/>
    <n v="0"/>
    <n v="0"/>
    <n v="0"/>
    <n v="0"/>
    <n v="0"/>
    <n v="0"/>
    <n v="0"/>
    <n v="0"/>
    <n v="0"/>
    <n v="0"/>
    <n v="0"/>
    <n v="0"/>
    <n v="0"/>
    <n v="0"/>
    <n v="0"/>
    <n v="160"/>
    <x v="0"/>
    <n v="0"/>
    <n v="0"/>
    <n v="0"/>
    <n v="0"/>
    <n v="40"/>
    <n v="40"/>
    <n v="40"/>
    <x v="1"/>
    <n v="40"/>
    <n v="0"/>
    <n v="0"/>
    <n v="0"/>
    <n v="0"/>
    <x v="7"/>
    <m/>
    <x v="0"/>
    <x v="0"/>
    <x v="0"/>
  </r>
  <r>
    <s v="Local Plan SA 16"/>
    <x v="5"/>
    <x v="2"/>
    <s v="Cassel Hospital, Ham Common, Ham"/>
    <m/>
    <m/>
    <m/>
    <x v="3"/>
    <x v="5"/>
    <m/>
    <m/>
    <n v="0"/>
    <n v="0"/>
    <n v="0"/>
    <n v="0"/>
    <n v="0"/>
    <n v="0"/>
    <n v="0"/>
    <n v="0"/>
    <n v="0"/>
    <n v="0"/>
    <n v="0"/>
    <n v="0"/>
    <n v="0"/>
    <n v="0"/>
    <n v="0"/>
    <n v="0"/>
    <n v="0"/>
    <n v="0"/>
    <n v="0"/>
    <n v="0"/>
    <n v="0"/>
    <n v="0"/>
    <n v="0"/>
    <n v="0"/>
    <n v="0"/>
    <n v="0"/>
    <n v="10"/>
    <x v="0"/>
    <n v="0"/>
    <n v="0"/>
    <n v="0"/>
    <n v="0"/>
    <n v="0"/>
    <n v="0"/>
    <n v="0"/>
    <x v="0"/>
    <n v="2"/>
    <n v="2"/>
    <n v="2"/>
    <n v="2"/>
    <n v="2"/>
    <x v="7"/>
    <m/>
    <x v="0"/>
    <x v="0"/>
    <x v="0"/>
  </r>
  <r>
    <s v="Local Plan SA 16"/>
    <x v="5"/>
    <x v="2"/>
    <s v="Cassel Hospital, Ham Common, Ham"/>
    <m/>
    <m/>
    <m/>
    <x v="3"/>
    <x v="0"/>
    <m/>
    <m/>
    <n v="0"/>
    <n v="0"/>
    <n v="0"/>
    <n v="0"/>
    <n v="0"/>
    <n v="0"/>
    <n v="0"/>
    <n v="0"/>
    <n v="0"/>
    <n v="0"/>
    <n v="0"/>
    <n v="0"/>
    <n v="0"/>
    <n v="0"/>
    <n v="0"/>
    <n v="0"/>
    <n v="0"/>
    <n v="0"/>
    <n v="0"/>
    <n v="0"/>
    <n v="0"/>
    <n v="0"/>
    <n v="0"/>
    <n v="0"/>
    <n v="0"/>
    <n v="0"/>
    <n v="10"/>
    <x v="0"/>
    <n v="0"/>
    <n v="0"/>
    <n v="0"/>
    <n v="0"/>
    <n v="0"/>
    <n v="0"/>
    <n v="0"/>
    <x v="0"/>
    <n v="2"/>
    <n v="2"/>
    <n v="2"/>
    <n v="2"/>
    <n v="2"/>
    <x v="7"/>
    <m/>
    <x v="0"/>
    <x v="0"/>
    <x v="0"/>
  </r>
  <r>
    <s v="Local Plan SA 19"/>
    <x v="5"/>
    <x v="2"/>
    <s v="Richmond Station and above track, The Quadrant"/>
    <m/>
    <m/>
    <m/>
    <x v="3"/>
    <x v="5"/>
    <m/>
    <m/>
    <n v="0"/>
    <n v="0"/>
    <n v="0"/>
    <n v="0"/>
    <n v="0"/>
    <n v="0"/>
    <n v="0"/>
    <n v="0"/>
    <n v="0"/>
    <n v="0"/>
    <n v="0"/>
    <n v="0"/>
    <n v="0"/>
    <n v="0"/>
    <n v="0"/>
    <n v="0"/>
    <n v="0"/>
    <n v="0"/>
    <n v="0"/>
    <n v="0"/>
    <n v="0"/>
    <n v="0"/>
    <n v="0"/>
    <n v="0"/>
    <n v="0"/>
    <n v="0"/>
    <n v="10"/>
    <x v="0"/>
    <n v="0"/>
    <n v="0"/>
    <n v="0"/>
    <n v="0"/>
    <n v="0"/>
    <n v="0"/>
    <n v="0"/>
    <x v="0"/>
    <n v="2"/>
    <n v="2"/>
    <n v="2"/>
    <n v="2"/>
    <n v="2"/>
    <x v="12"/>
    <m/>
    <x v="0"/>
    <x v="0"/>
    <x v="0"/>
  </r>
  <r>
    <s v="Local Plan SA 19"/>
    <x v="5"/>
    <x v="2"/>
    <s v="Richmond Station and above track, The Quadrant"/>
    <m/>
    <m/>
    <m/>
    <x v="3"/>
    <x v="0"/>
    <m/>
    <m/>
    <n v="0"/>
    <n v="0"/>
    <n v="0"/>
    <n v="0"/>
    <n v="0"/>
    <n v="0"/>
    <n v="0"/>
    <n v="0"/>
    <n v="0"/>
    <n v="0"/>
    <n v="0"/>
    <n v="0"/>
    <n v="0"/>
    <n v="0"/>
    <n v="0"/>
    <n v="0"/>
    <n v="0"/>
    <n v="0"/>
    <n v="0"/>
    <n v="0"/>
    <n v="0"/>
    <n v="0"/>
    <n v="0"/>
    <n v="0"/>
    <n v="0"/>
    <n v="0"/>
    <n v="10"/>
    <x v="0"/>
    <n v="0"/>
    <n v="0"/>
    <n v="0"/>
    <n v="0"/>
    <n v="0"/>
    <n v="0"/>
    <n v="0"/>
    <x v="0"/>
    <n v="2"/>
    <n v="2"/>
    <n v="2"/>
    <n v="2"/>
    <n v="2"/>
    <x v="12"/>
    <m/>
    <x v="0"/>
    <x v="0"/>
    <x v="0"/>
  </r>
  <r>
    <s v="Local Plan SA 2"/>
    <x v="5"/>
    <x v="2"/>
    <s v="Platts Eyot"/>
    <m/>
    <m/>
    <m/>
    <x v="3"/>
    <x v="0"/>
    <m/>
    <m/>
    <n v="0"/>
    <n v="0"/>
    <n v="0"/>
    <n v="0"/>
    <n v="0"/>
    <n v="0"/>
    <n v="0"/>
    <n v="0"/>
    <n v="0"/>
    <n v="0"/>
    <n v="0"/>
    <n v="0"/>
    <n v="0"/>
    <n v="0"/>
    <n v="0"/>
    <n v="0"/>
    <n v="0"/>
    <n v="0"/>
    <n v="0"/>
    <n v="0"/>
    <n v="0"/>
    <n v="0"/>
    <n v="0"/>
    <n v="0"/>
    <n v="0"/>
    <n v="0"/>
    <n v="20"/>
    <x v="0"/>
    <n v="0"/>
    <n v="0"/>
    <n v="0"/>
    <n v="0"/>
    <n v="0"/>
    <n v="0"/>
    <n v="0"/>
    <x v="0"/>
    <n v="4"/>
    <n v="4"/>
    <n v="4"/>
    <n v="4"/>
    <n v="4"/>
    <x v="13"/>
    <m/>
    <x v="0"/>
    <x v="0"/>
    <x v="0"/>
  </r>
  <r>
    <s v="Local Plan SA 20"/>
    <x v="5"/>
    <x v="2"/>
    <s v="Friars Lane Car Park"/>
    <m/>
    <m/>
    <m/>
    <x v="3"/>
    <x v="5"/>
    <m/>
    <m/>
    <n v="0"/>
    <n v="0"/>
    <n v="0"/>
    <n v="0"/>
    <n v="0"/>
    <n v="0"/>
    <n v="0"/>
    <n v="0"/>
    <n v="0"/>
    <n v="0"/>
    <n v="0"/>
    <n v="0"/>
    <n v="0"/>
    <n v="0"/>
    <n v="0"/>
    <n v="0"/>
    <n v="0"/>
    <n v="0"/>
    <n v="0"/>
    <n v="0"/>
    <n v="0"/>
    <n v="0"/>
    <n v="0"/>
    <n v="0"/>
    <n v="0"/>
    <n v="0"/>
    <n v="10"/>
    <x v="0"/>
    <n v="0"/>
    <n v="0"/>
    <n v="0"/>
    <n v="0"/>
    <n v="0"/>
    <n v="0"/>
    <n v="0"/>
    <x v="0"/>
    <n v="2"/>
    <n v="2"/>
    <n v="2"/>
    <n v="2"/>
    <n v="2"/>
    <x v="12"/>
    <m/>
    <x v="0"/>
    <x v="0"/>
    <x v="0"/>
  </r>
  <r>
    <s v="Local Plan SA 20"/>
    <x v="5"/>
    <x v="2"/>
    <s v="Friars Lane Car Park"/>
    <m/>
    <m/>
    <m/>
    <x v="3"/>
    <x v="0"/>
    <m/>
    <m/>
    <n v="0"/>
    <n v="0"/>
    <n v="0"/>
    <n v="0"/>
    <n v="0"/>
    <n v="0"/>
    <n v="0"/>
    <n v="0"/>
    <n v="0"/>
    <n v="0"/>
    <n v="0"/>
    <n v="0"/>
    <n v="0"/>
    <n v="0"/>
    <n v="0"/>
    <n v="0"/>
    <n v="0"/>
    <n v="0"/>
    <n v="0"/>
    <n v="0"/>
    <n v="0"/>
    <n v="0"/>
    <n v="0"/>
    <n v="0"/>
    <n v="0"/>
    <n v="0"/>
    <n v="10"/>
    <x v="0"/>
    <n v="0"/>
    <n v="0"/>
    <n v="0"/>
    <n v="0"/>
    <n v="0"/>
    <n v="0"/>
    <n v="0"/>
    <x v="0"/>
    <n v="2"/>
    <n v="2"/>
    <n v="2"/>
    <n v="2"/>
    <n v="2"/>
    <x v="12"/>
    <m/>
    <x v="0"/>
    <x v="0"/>
    <x v="0"/>
  </r>
  <r>
    <s v="Local Plan SA 24"/>
    <x v="5"/>
    <x v="2"/>
    <s v="Budweiser Stag Brewery, Mortlake"/>
    <m/>
    <m/>
    <m/>
    <x v="3"/>
    <x v="5"/>
    <m/>
    <m/>
    <n v="0"/>
    <n v="0"/>
    <n v="0"/>
    <n v="0"/>
    <n v="0"/>
    <n v="0"/>
    <n v="0"/>
    <n v="0"/>
    <n v="0"/>
    <n v="0"/>
    <n v="0"/>
    <n v="0"/>
    <n v="0"/>
    <n v="0"/>
    <n v="0"/>
    <n v="0"/>
    <n v="0"/>
    <n v="0"/>
    <n v="0"/>
    <n v="0"/>
    <n v="0"/>
    <n v="0"/>
    <n v="0"/>
    <n v="0"/>
    <n v="0"/>
    <n v="0"/>
    <n v="350"/>
    <x v="0"/>
    <n v="0"/>
    <n v="0"/>
    <n v="0"/>
    <n v="0"/>
    <n v="0"/>
    <n v="75"/>
    <n v="75"/>
    <x v="1"/>
    <n v="40"/>
    <n v="40"/>
    <n v="40"/>
    <n v="40"/>
    <n v="40"/>
    <x v="11"/>
    <m/>
    <x v="0"/>
    <x v="0"/>
    <x v="0"/>
  </r>
  <r>
    <s v="Local Plan SA 24"/>
    <x v="5"/>
    <x v="2"/>
    <s v="Budweiser Stag Brewery, Mortlake"/>
    <m/>
    <m/>
    <m/>
    <x v="3"/>
    <x v="0"/>
    <m/>
    <m/>
    <n v="0"/>
    <n v="0"/>
    <n v="0"/>
    <n v="0"/>
    <n v="0"/>
    <n v="0"/>
    <n v="0"/>
    <n v="0"/>
    <n v="0"/>
    <n v="0"/>
    <n v="0"/>
    <n v="0"/>
    <n v="0"/>
    <n v="0"/>
    <n v="0"/>
    <n v="0"/>
    <n v="0"/>
    <n v="0"/>
    <n v="0"/>
    <n v="0"/>
    <n v="0"/>
    <n v="0"/>
    <n v="0"/>
    <n v="0"/>
    <n v="0"/>
    <n v="0"/>
    <n v="350"/>
    <x v="0"/>
    <n v="0"/>
    <n v="0"/>
    <n v="0"/>
    <n v="0"/>
    <n v="0"/>
    <n v="75"/>
    <n v="75"/>
    <x v="1"/>
    <n v="40"/>
    <n v="40"/>
    <n v="40"/>
    <n v="40"/>
    <n v="40"/>
    <x v="11"/>
    <m/>
    <x v="0"/>
    <x v="0"/>
    <x v="0"/>
  </r>
  <r>
    <s v="Local Plan SA 25"/>
    <x v="5"/>
    <x v="2"/>
    <s v="Mortlake And Barnes Delivery Office, 2-12 Mortlake High Street, Mortlake"/>
    <m/>
    <m/>
    <m/>
    <x v="3"/>
    <x v="5"/>
    <m/>
    <m/>
    <n v="0"/>
    <n v="0"/>
    <n v="0"/>
    <n v="0"/>
    <n v="0"/>
    <n v="0"/>
    <n v="0"/>
    <n v="0"/>
    <n v="0"/>
    <n v="0"/>
    <n v="0"/>
    <n v="0"/>
    <n v="0"/>
    <n v="0"/>
    <n v="0"/>
    <n v="0"/>
    <n v="0"/>
    <n v="0"/>
    <n v="0"/>
    <n v="0"/>
    <n v="0"/>
    <n v="0"/>
    <n v="0"/>
    <n v="0"/>
    <n v="0"/>
    <n v="0"/>
    <n v="5"/>
    <x v="0"/>
    <n v="0"/>
    <n v="0"/>
    <n v="0"/>
    <n v="0"/>
    <n v="0"/>
    <n v="0"/>
    <n v="0"/>
    <x v="0"/>
    <n v="1"/>
    <n v="1"/>
    <n v="1"/>
    <n v="1"/>
    <n v="1"/>
    <x v="11"/>
    <m/>
    <x v="0"/>
    <x v="0"/>
    <x v="0"/>
  </r>
  <r>
    <s v="Local Plan SA 25"/>
    <x v="5"/>
    <x v="2"/>
    <s v="Mortlake And Barnes Delivery Office, 2-12 Mortlake High Street, Mortlake"/>
    <m/>
    <m/>
    <m/>
    <x v="3"/>
    <x v="0"/>
    <m/>
    <m/>
    <n v="0"/>
    <n v="0"/>
    <n v="0"/>
    <n v="0"/>
    <n v="0"/>
    <n v="0"/>
    <n v="0"/>
    <n v="0"/>
    <n v="0"/>
    <n v="0"/>
    <n v="0"/>
    <n v="0"/>
    <n v="0"/>
    <n v="0"/>
    <n v="0"/>
    <n v="0"/>
    <n v="0"/>
    <n v="0"/>
    <n v="0"/>
    <n v="0"/>
    <n v="0"/>
    <n v="0"/>
    <n v="0"/>
    <n v="0"/>
    <n v="0"/>
    <n v="0"/>
    <n v="5"/>
    <x v="0"/>
    <n v="0"/>
    <n v="0"/>
    <n v="0"/>
    <n v="0"/>
    <n v="0"/>
    <n v="0"/>
    <n v="0"/>
    <x v="0"/>
    <n v="1"/>
    <n v="1"/>
    <n v="1"/>
    <n v="1"/>
    <n v="1"/>
    <x v="11"/>
    <m/>
    <x v="0"/>
    <x v="0"/>
    <x v="0"/>
  </r>
  <r>
    <s v="Local Plan SA 26"/>
    <x v="5"/>
    <x v="2"/>
    <s v="Kew Biothane Plant, Mellis Avenue"/>
    <m/>
    <m/>
    <m/>
    <x v="3"/>
    <x v="5"/>
    <m/>
    <m/>
    <n v="0"/>
    <n v="0"/>
    <n v="0"/>
    <n v="0"/>
    <n v="0"/>
    <n v="0"/>
    <n v="0"/>
    <n v="0"/>
    <n v="0"/>
    <n v="0"/>
    <n v="0"/>
    <n v="0"/>
    <n v="0"/>
    <n v="0"/>
    <n v="0"/>
    <n v="0"/>
    <n v="0"/>
    <n v="0"/>
    <n v="0"/>
    <n v="0"/>
    <n v="0"/>
    <n v="0"/>
    <n v="0"/>
    <n v="0"/>
    <n v="0"/>
    <n v="0"/>
    <n v="10"/>
    <x v="0"/>
    <n v="0"/>
    <n v="0"/>
    <n v="0"/>
    <n v="0"/>
    <n v="0"/>
    <n v="0"/>
    <n v="0"/>
    <x v="0"/>
    <n v="2"/>
    <n v="2"/>
    <n v="2"/>
    <n v="2"/>
    <n v="2"/>
    <x v="10"/>
    <m/>
    <x v="0"/>
    <x v="0"/>
    <x v="0"/>
  </r>
  <r>
    <s v="Local Plan SA 26"/>
    <x v="5"/>
    <x v="2"/>
    <s v="Kew Biothane Plant, Mellis Avenue"/>
    <m/>
    <m/>
    <m/>
    <x v="3"/>
    <x v="0"/>
    <m/>
    <m/>
    <n v="0"/>
    <n v="0"/>
    <n v="0"/>
    <n v="0"/>
    <n v="0"/>
    <n v="0"/>
    <n v="0"/>
    <n v="0"/>
    <n v="0"/>
    <n v="0"/>
    <n v="0"/>
    <n v="0"/>
    <n v="0"/>
    <n v="0"/>
    <n v="0"/>
    <n v="0"/>
    <n v="0"/>
    <n v="0"/>
    <n v="0"/>
    <n v="0"/>
    <n v="0"/>
    <n v="0"/>
    <n v="0"/>
    <n v="0"/>
    <n v="0"/>
    <n v="0"/>
    <n v="10"/>
    <x v="0"/>
    <n v="0"/>
    <n v="0"/>
    <n v="0"/>
    <n v="0"/>
    <n v="0"/>
    <n v="0"/>
    <n v="0"/>
    <x v="0"/>
    <n v="2"/>
    <n v="2"/>
    <n v="2"/>
    <n v="2"/>
    <n v="2"/>
    <x v="10"/>
    <m/>
    <x v="0"/>
    <x v="0"/>
    <x v="0"/>
  </r>
  <r>
    <s v="Local Plan SA 27"/>
    <x v="5"/>
    <x v="2"/>
    <s v="Telephone Exchange, Upper Richmond Road, East Sheen"/>
    <m/>
    <m/>
    <m/>
    <x v="3"/>
    <x v="5"/>
    <m/>
    <m/>
    <n v="0"/>
    <n v="0"/>
    <n v="0"/>
    <n v="0"/>
    <n v="0"/>
    <n v="0"/>
    <n v="0"/>
    <n v="0"/>
    <n v="0"/>
    <n v="0"/>
    <n v="0"/>
    <n v="0"/>
    <n v="0"/>
    <n v="0"/>
    <n v="0"/>
    <n v="0"/>
    <n v="0"/>
    <n v="0"/>
    <n v="0"/>
    <n v="0"/>
    <n v="0"/>
    <n v="0"/>
    <n v="0"/>
    <n v="0"/>
    <n v="0"/>
    <n v="0"/>
    <n v="5"/>
    <x v="0"/>
    <n v="0"/>
    <n v="0"/>
    <n v="0"/>
    <n v="0"/>
    <n v="0"/>
    <n v="0"/>
    <n v="0"/>
    <x v="0"/>
    <n v="1"/>
    <n v="1"/>
    <n v="1"/>
    <n v="1"/>
    <n v="1"/>
    <x v="6"/>
    <m/>
    <x v="0"/>
    <x v="0"/>
    <x v="0"/>
  </r>
  <r>
    <s v="Local Plan SA 27"/>
    <x v="5"/>
    <x v="2"/>
    <s v="Telephone Exchange, Upper Richmond Road, East Sheen"/>
    <m/>
    <m/>
    <m/>
    <x v="3"/>
    <x v="0"/>
    <m/>
    <m/>
    <n v="0"/>
    <n v="0"/>
    <n v="0"/>
    <n v="0"/>
    <n v="0"/>
    <n v="0"/>
    <n v="0"/>
    <n v="0"/>
    <n v="0"/>
    <n v="0"/>
    <n v="0"/>
    <n v="0"/>
    <n v="0"/>
    <n v="0"/>
    <n v="0"/>
    <n v="0"/>
    <n v="0"/>
    <n v="0"/>
    <n v="0"/>
    <n v="0"/>
    <n v="0"/>
    <n v="0"/>
    <n v="0"/>
    <n v="0"/>
    <n v="0"/>
    <n v="0"/>
    <n v="5"/>
    <x v="0"/>
    <n v="0"/>
    <n v="0"/>
    <n v="0"/>
    <n v="0"/>
    <n v="0"/>
    <n v="0"/>
    <n v="0"/>
    <x v="0"/>
    <n v="1"/>
    <n v="1"/>
    <n v="1"/>
    <n v="1"/>
    <n v="1"/>
    <x v="6"/>
    <m/>
    <x v="0"/>
    <x v="0"/>
    <x v="0"/>
  </r>
  <r>
    <s v="Local Plan SA 28"/>
    <x v="5"/>
    <x v="2"/>
    <s v="Barnes Hospital"/>
    <m/>
    <m/>
    <m/>
    <x v="3"/>
    <x v="5"/>
    <m/>
    <m/>
    <n v="0"/>
    <n v="0"/>
    <n v="0"/>
    <n v="0"/>
    <n v="0"/>
    <n v="0"/>
    <n v="0"/>
    <n v="0"/>
    <n v="0"/>
    <n v="0"/>
    <n v="0"/>
    <n v="0"/>
    <n v="0"/>
    <n v="0"/>
    <n v="0"/>
    <n v="0"/>
    <n v="0"/>
    <n v="0"/>
    <n v="0"/>
    <n v="0"/>
    <n v="0"/>
    <n v="0"/>
    <n v="0"/>
    <n v="0"/>
    <n v="0"/>
    <n v="0"/>
    <n v="65"/>
    <x v="0"/>
    <n v="0"/>
    <n v="0"/>
    <n v="13"/>
    <n v="13"/>
    <n v="13"/>
    <n v="13"/>
    <n v="13"/>
    <x v="1"/>
    <n v="0"/>
    <n v="0"/>
    <n v="0"/>
    <n v="0"/>
    <n v="0"/>
    <x v="11"/>
    <m/>
    <x v="0"/>
    <x v="0"/>
    <x v="0"/>
  </r>
  <r>
    <s v="Local Plan SA 28"/>
    <x v="5"/>
    <x v="2"/>
    <s v="Barnes Hospital"/>
    <m/>
    <m/>
    <m/>
    <x v="3"/>
    <x v="0"/>
    <m/>
    <m/>
    <n v="0"/>
    <n v="0"/>
    <n v="0"/>
    <n v="0"/>
    <n v="0"/>
    <n v="0"/>
    <n v="0"/>
    <n v="0"/>
    <n v="0"/>
    <n v="0"/>
    <n v="0"/>
    <n v="0"/>
    <n v="0"/>
    <n v="0"/>
    <n v="0"/>
    <n v="0"/>
    <n v="0"/>
    <n v="0"/>
    <n v="0"/>
    <n v="0"/>
    <n v="0"/>
    <n v="0"/>
    <n v="0"/>
    <n v="0"/>
    <n v="0"/>
    <n v="0"/>
    <n v="18"/>
    <x v="0"/>
    <n v="0"/>
    <n v="0"/>
    <n v="3.6"/>
    <n v="3.6"/>
    <n v="3.6"/>
    <n v="3.6"/>
    <n v="3.6"/>
    <x v="1"/>
    <n v="0"/>
    <n v="0"/>
    <n v="0"/>
    <n v="0"/>
    <n v="0"/>
    <x v="11"/>
    <m/>
    <x v="0"/>
    <x v="0"/>
    <x v="0"/>
  </r>
  <r>
    <s v="Local Plan SA 4"/>
    <x v="5"/>
    <x v="2"/>
    <s v="Hampton Delivery Office, Rosehill, Hampton"/>
    <m/>
    <m/>
    <m/>
    <x v="3"/>
    <x v="5"/>
    <m/>
    <m/>
    <n v="0"/>
    <n v="0"/>
    <n v="0"/>
    <n v="0"/>
    <n v="0"/>
    <n v="0"/>
    <n v="0"/>
    <n v="0"/>
    <n v="0"/>
    <n v="0"/>
    <n v="0"/>
    <n v="0"/>
    <n v="0"/>
    <n v="0"/>
    <n v="0"/>
    <n v="0"/>
    <n v="0"/>
    <n v="0"/>
    <n v="0"/>
    <n v="0"/>
    <n v="0"/>
    <n v="0"/>
    <n v="0"/>
    <n v="0"/>
    <n v="0"/>
    <n v="0"/>
    <n v="5"/>
    <x v="0"/>
    <n v="0"/>
    <n v="0"/>
    <n v="0"/>
    <n v="0"/>
    <n v="0"/>
    <n v="0"/>
    <n v="0"/>
    <x v="0"/>
    <n v="1"/>
    <n v="1"/>
    <n v="1"/>
    <n v="1"/>
    <n v="1"/>
    <x v="13"/>
    <m/>
    <x v="0"/>
    <x v="0"/>
    <x v="0"/>
  </r>
  <r>
    <s v="Local Plan SA 4"/>
    <x v="5"/>
    <x v="2"/>
    <s v="Hampton Delivery Office, Rosehill, Hampton"/>
    <m/>
    <m/>
    <m/>
    <x v="3"/>
    <x v="0"/>
    <m/>
    <m/>
    <n v="0"/>
    <n v="0"/>
    <n v="0"/>
    <n v="0"/>
    <n v="0"/>
    <n v="0"/>
    <n v="0"/>
    <n v="0"/>
    <n v="0"/>
    <n v="0"/>
    <n v="0"/>
    <n v="0"/>
    <n v="0"/>
    <n v="0"/>
    <n v="0"/>
    <n v="0"/>
    <n v="0"/>
    <n v="0"/>
    <n v="0"/>
    <n v="0"/>
    <n v="0"/>
    <n v="0"/>
    <n v="0"/>
    <n v="0"/>
    <n v="0"/>
    <n v="0"/>
    <n v="5"/>
    <x v="0"/>
    <n v="0"/>
    <n v="0"/>
    <n v="0"/>
    <n v="0"/>
    <n v="0"/>
    <n v="0"/>
    <n v="0"/>
    <x v="0"/>
    <n v="1"/>
    <n v="1"/>
    <n v="1"/>
    <n v="1"/>
    <n v="1"/>
    <x v="13"/>
    <m/>
    <x v="0"/>
    <x v="0"/>
    <x v="0"/>
  </r>
  <r>
    <s v="Local Plan SA 4"/>
    <x v="5"/>
    <x v="2"/>
    <s v="Teddington Delivery Office, 19 High Street, Teddington"/>
    <m/>
    <m/>
    <m/>
    <x v="3"/>
    <x v="5"/>
    <m/>
    <m/>
    <n v="0"/>
    <n v="0"/>
    <n v="0"/>
    <n v="0"/>
    <n v="0"/>
    <n v="0"/>
    <n v="0"/>
    <n v="0"/>
    <n v="0"/>
    <n v="0"/>
    <n v="0"/>
    <n v="0"/>
    <n v="0"/>
    <n v="0"/>
    <n v="0"/>
    <n v="0"/>
    <n v="0"/>
    <n v="0"/>
    <n v="0"/>
    <n v="0"/>
    <n v="0"/>
    <n v="0"/>
    <n v="0"/>
    <n v="0"/>
    <n v="0"/>
    <n v="0"/>
    <n v="5"/>
    <x v="0"/>
    <n v="0"/>
    <n v="0"/>
    <n v="0"/>
    <n v="0"/>
    <n v="0"/>
    <n v="0"/>
    <n v="0"/>
    <x v="0"/>
    <n v="1"/>
    <n v="1"/>
    <n v="1"/>
    <n v="1"/>
    <n v="1"/>
    <x v="2"/>
    <m/>
    <x v="0"/>
    <x v="0"/>
    <x v="0"/>
  </r>
  <r>
    <s v="Local Plan SA 4"/>
    <x v="5"/>
    <x v="2"/>
    <s v="Teddington Delivery Office, 19 High Street, Teddington"/>
    <m/>
    <m/>
    <m/>
    <x v="3"/>
    <x v="0"/>
    <m/>
    <m/>
    <n v="0"/>
    <n v="0"/>
    <n v="0"/>
    <n v="0"/>
    <n v="0"/>
    <n v="0"/>
    <n v="0"/>
    <n v="0"/>
    <n v="0"/>
    <n v="0"/>
    <n v="0"/>
    <n v="0"/>
    <n v="0"/>
    <n v="0"/>
    <n v="0"/>
    <n v="0"/>
    <n v="0"/>
    <n v="0"/>
    <n v="0"/>
    <n v="0"/>
    <n v="0"/>
    <n v="0"/>
    <n v="0"/>
    <n v="0"/>
    <n v="0"/>
    <n v="0"/>
    <n v="5"/>
    <x v="0"/>
    <n v="0"/>
    <n v="0"/>
    <n v="0"/>
    <n v="0"/>
    <n v="0"/>
    <n v="0"/>
    <n v="0"/>
    <x v="0"/>
    <n v="1"/>
    <n v="1"/>
    <n v="1"/>
    <n v="1"/>
    <n v="1"/>
    <x v="2"/>
    <m/>
    <x v="0"/>
    <x v="0"/>
    <x v="0"/>
  </r>
  <r>
    <s v="Local Plan SA 5"/>
    <x v="5"/>
    <x v="2"/>
    <s v="Telephone Exchange, High Street, Teddington"/>
    <m/>
    <m/>
    <m/>
    <x v="3"/>
    <x v="5"/>
    <m/>
    <m/>
    <n v="0"/>
    <n v="0"/>
    <n v="0"/>
    <n v="0"/>
    <n v="0"/>
    <n v="0"/>
    <n v="0"/>
    <n v="0"/>
    <n v="0"/>
    <n v="0"/>
    <n v="0"/>
    <n v="0"/>
    <n v="0"/>
    <n v="0"/>
    <n v="0"/>
    <n v="0"/>
    <n v="0"/>
    <n v="0"/>
    <n v="0"/>
    <n v="0"/>
    <n v="0"/>
    <n v="0"/>
    <n v="0"/>
    <n v="0"/>
    <n v="0"/>
    <n v="0"/>
    <n v="10"/>
    <x v="0"/>
    <n v="0"/>
    <n v="0"/>
    <n v="0"/>
    <n v="0"/>
    <n v="0"/>
    <n v="0"/>
    <n v="0"/>
    <x v="0"/>
    <n v="2"/>
    <n v="2"/>
    <n v="2"/>
    <n v="2"/>
    <n v="2"/>
    <x v="2"/>
    <m/>
    <x v="0"/>
    <x v="0"/>
    <x v="0"/>
  </r>
  <r>
    <s v="Local Plan SA 5"/>
    <x v="5"/>
    <x v="2"/>
    <s v="Telephone Exchange, High Street, Teddington"/>
    <m/>
    <m/>
    <m/>
    <x v="3"/>
    <x v="0"/>
    <m/>
    <m/>
    <n v="0"/>
    <n v="0"/>
    <n v="0"/>
    <n v="0"/>
    <n v="0"/>
    <n v="0"/>
    <n v="0"/>
    <n v="0"/>
    <n v="0"/>
    <n v="0"/>
    <n v="0"/>
    <n v="0"/>
    <n v="0"/>
    <n v="0"/>
    <n v="0"/>
    <n v="0"/>
    <n v="0"/>
    <n v="0"/>
    <n v="0"/>
    <n v="0"/>
    <n v="0"/>
    <n v="0"/>
    <n v="0"/>
    <n v="0"/>
    <n v="0"/>
    <n v="0"/>
    <n v="10"/>
    <x v="0"/>
    <n v="0"/>
    <n v="0"/>
    <n v="0"/>
    <n v="0"/>
    <n v="0"/>
    <n v="0"/>
    <n v="0"/>
    <x v="0"/>
    <n v="2"/>
    <n v="2"/>
    <n v="2"/>
    <n v="2"/>
    <n v="2"/>
    <x v="2"/>
    <m/>
    <x v="0"/>
    <x v="0"/>
    <x v="0"/>
  </r>
  <r>
    <s v="Local Plan SA 7"/>
    <x v="5"/>
    <x v="2"/>
    <s v="Strathmore Centre, Strathmore Road"/>
    <m/>
    <m/>
    <m/>
    <x v="3"/>
    <x v="5"/>
    <m/>
    <m/>
    <n v="0"/>
    <n v="0"/>
    <n v="0"/>
    <n v="0"/>
    <n v="0"/>
    <n v="0"/>
    <n v="0"/>
    <n v="0"/>
    <n v="0"/>
    <n v="0"/>
    <n v="0"/>
    <n v="0"/>
    <n v="0"/>
    <n v="0"/>
    <n v="0"/>
    <n v="0"/>
    <n v="0"/>
    <n v="0"/>
    <n v="0"/>
    <n v="0"/>
    <n v="0"/>
    <n v="0"/>
    <n v="0"/>
    <n v="0"/>
    <n v="0"/>
    <n v="0"/>
    <n v="15"/>
    <x v="0"/>
    <n v="0"/>
    <n v="0"/>
    <n v="0"/>
    <n v="0"/>
    <n v="0"/>
    <n v="0"/>
    <n v="0"/>
    <x v="0"/>
    <n v="3"/>
    <n v="3"/>
    <n v="3"/>
    <n v="3"/>
    <n v="3"/>
    <x v="5"/>
    <m/>
    <x v="0"/>
    <x v="0"/>
    <x v="0"/>
  </r>
  <r>
    <s v="Local Plan SA 7"/>
    <x v="5"/>
    <x v="2"/>
    <s v="Strathmore Centre, Strathmore Road"/>
    <m/>
    <m/>
    <m/>
    <x v="3"/>
    <x v="0"/>
    <m/>
    <m/>
    <n v="0"/>
    <n v="0"/>
    <n v="0"/>
    <n v="0"/>
    <n v="0"/>
    <n v="0"/>
    <n v="0"/>
    <n v="0"/>
    <n v="0"/>
    <n v="0"/>
    <n v="0"/>
    <n v="0"/>
    <n v="0"/>
    <n v="0"/>
    <n v="0"/>
    <n v="0"/>
    <n v="0"/>
    <n v="0"/>
    <n v="0"/>
    <n v="0"/>
    <n v="0"/>
    <n v="0"/>
    <n v="0"/>
    <n v="0"/>
    <n v="0"/>
    <n v="0"/>
    <n v="15"/>
    <x v="0"/>
    <n v="0"/>
    <n v="0"/>
    <n v="0"/>
    <n v="0"/>
    <n v="0"/>
    <n v="0"/>
    <n v="0"/>
    <x v="0"/>
    <n v="3"/>
    <n v="3"/>
    <n v="3"/>
    <n v="3"/>
    <n v="3"/>
    <x v="5"/>
    <m/>
    <x v="0"/>
    <x v="0"/>
    <x v="0"/>
  </r>
  <r>
    <s v="Other known large site"/>
    <x v="5"/>
    <x v="2"/>
    <s v="Richmond Royal Hospital"/>
    <m/>
    <m/>
    <m/>
    <x v="3"/>
    <x v="0"/>
    <m/>
    <m/>
    <n v="0"/>
    <n v="0"/>
    <n v="0"/>
    <n v="0"/>
    <n v="0"/>
    <n v="0"/>
    <n v="0"/>
    <n v="0"/>
    <n v="0"/>
    <n v="0"/>
    <n v="0"/>
    <n v="0"/>
    <n v="0"/>
    <n v="0"/>
    <n v="0"/>
    <n v="0"/>
    <n v="0"/>
    <n v="0"/>
    <n v="0"/>
    <n v="0"/>
    <n v="0"/>
    <n v="0"/>
    <n v="0"/>
    <n v="0"/>
    <n v="0"/>
    <n v="0"/>
    <n v="56"/>
    <x v="0"/>
    <n v="0"/>
    <n v="0"/>
    <n v="0"/>
    <n v="14"/>
    <n v="14"/>
    <n v="14"/>
    <n v="14"/>
    <x v="1"/>
    <n v="0"/>
    <n v="0"/>
    <n v="0"/>
    <n v="0"/>
    <n v="0"/>
    <x v="16"/>
    <m/>
    <x v="0"/>
    <x v="0"/>
    <x v="0"/>
  </r>
  <r>
    <s v="Other known large site"/>
    <x v="5"/>
    <x v="2"/>
    <s v="Richmond Royal Hospital"/>
    <m/>
    <m/>
    <m/>
    <x v="3"/>
    <x v="5"/>
    <m/>
    <m/>
    <n v="0"/>
    <n v="0"/>
    <n v="0"/>
    <n v="0"/>
    <n v="0"/>
    <n v="0"/>
    <n v="0"/>
    <n v="0"/>
    <n v="0"/>
    <n v="0"/>
    <n v="0"/>
    <n v="0"/>
    <n v="0"/>
    <n v="0"/>
    <n v="0"/>
    <n v="0"/>
    <n v="0"/>
    <n v="0"/>
    <n v="0"/>
    <n v="0"/>
    <n v="0"/>
    <n v="0"/>
    <n v="0"/>
    <n v="0"/>
    <n v="0"/>
    <n v="0"/>
    <n v="15"/>
    <x v="0"/>
    <n v="0"/>
    <n v="0"/>
    <n v="0"/>
    <n v="3.75"/>
    <n v="3.75"/>
    <n v="3.75"/>
    <n v="3.75"/>
    <x v="1"/>
    <n v="0"/>
    <n v="0"/>
    <n v="0"/>
    <n v="0"/>
    <n v="0"/>
    <x v="16"/>
    <m/>
    <x v="0"/>
    <x v="0"/>
    <x v="0"/>
  </r>
  <r>
    <s v="Other known large site"/>
    <x v="5"/>
    <x v="2"/>
    <s v="Sainsbury’s, Manor Road/Lower Richmond Road"/>
    <m/>
    <m/>
    <m/>
    <x v="3"/>
    <x v="0"/>
    <m/>
    <m/>
    <n v="0"/>
    <n v="0"/>
    <n v="0"/>
    <n v="0"/>
    <n v="0"/>
    <n v="0"/>
    <n v="0"/>
    <n v="0"/>
    <n v="0"/>
    <n v="0"/>
    <n v="0"/>
    <n v="0"/>
    <n v="0"/>
    <n v="0"/>
    <n v="0"/>
    <n v="0"/>
    <n v="0"/>
    <n v="0"/>
    <n v="0"/>
    <n v="0"/>
    <n v="0"/>
    <n v="0"/>
    <n v="0"/>
    <n v="0"/>
    <n v="0"/>
    <n v="0"/>
    <n v="128"/>
    <x v="0"/>
    <n v="0"/>
    <n v="0"/>
    <n v="0"/>
    <n v="0"/>
    <n v="0"/>
    <n v="0"/>
    <n v="0"/>
    <x v="0"/>
    <n v="25.6"/>
    <n v="25.6"/>
    <n v="25.6"/>
    <n v="25.6"/>
    <n v="25.6"/>
    <x v="16"/>
    <m/>
    <x v="0"/>
    <x v="0"/>
    <x v="0"/>
  </r>
  <r>
    <s v="Other known large site"/>
    <x v="5"/>
    <x v="2"/>
    <s v="Sainsbury’s, Manor Road/Lower Richmond Road"/>
    <m/>
    <m/>
    <m/>
    <x v="3"/>
    <x v="5"/>
    <m/>
    <m/>
    <n v="0"/>
    <n v="0"/>
    <n v="0"/>
    <n v="0"/>
    <n v="0"/>
    <n v="0"/>
    <n v="0"/>
    <n v="0"/>
    <n v="0"/>
    <n v="0"/>
    <n v="0"/>
    <n v="0"/>
    <n v="0"/>
    <n v="0"/>
    <n v="0"/>
    <n v="0"/>
    <n v="0"/>
    <n v="0"/>
    <n v="0"/>
    <n v="0"/>
    <n v="0"/>
    <n v="0"/>
    <n v="0"/>
    <n v="0"/>
    <n v="0"/>
    <n v="0"/>
    <n v="127"/>
    <x v="0"/>
    <n v="0"/>
    <n v="0"/>
    <n v="0"/>
    <n v="0"/>
    <n v="0"/>
    <n v="0"/>
    <n v="0"/>
    <x v="0"/>
    <n v="25.4"/>
    <n v="25.4"/>
    <n v="25.4"/>
    <n v="25.4"/>
    <n v="25.4"/>
    <x v="16"/>
    <m/>
    <x v="0"/>
    <x v="0"/>
    <x v="0"/>
  </r>
  <r>
    <s v="Other known large site"/>
    <x v="5"/>
    <x v="2"/>
    <s v="Homebase, 84 Manor Road, Richmond"/>
    <m/>
    <m/>
    <m/>
    <x v="3"/>
    <x v="0"/>
    <m/>
    <m/>
    <n v="0"/>
    <n v="0"/>
    <n v="0"/>
    <n v="0"/>
    <n v="0"/>
    <n v="0"/>
    <n v="0"/>
    <n v="0"/>
    <n v="0"/>
    <n v="0"/>
    <n v="0"/>
    <n v="0"/>
    <n v="0"/>
    <n v="0"/>
    <n v="0"/>
    <n v="0"/>
    <n v="0"/>
    <n v="0"/>
    <n v="0"/>
    <n v="0"/>
    <n v="0"/>
    <n v="0"/>
    <n v="0"/>
    <n v="0"/>
    <n v="0"/>
    <n v="0"/>
    <n v="150"/>
    <x v="0"/>
    <n v="0"/>
    <n v="0"/>
    <n v="0"/>
    <n v="0"/>
    <n v="0"/>
    <n v="30"/>
    <n v="30"/>
    <x v="1"/>
    <n v="30"/>
    <n v="30"/>
    <n v="30"/>
    <n v="0"/>
    <n v="0"/>
    <x v="16"/>
    <m/>
    <x v="0"/>
    <x v="0"/>
    <x v="0"/>
  </r>
  <r>
    <s v="Other known large site"/>
    <x v="5"/>
    <x v="2"/>
    <s v="Homebase, 84 Manor Road, Richmond"/>
    <m/>
    <m/>
    <m/>
    <x v="3"/>
    <x v="5"/>
    <m/>
    <m/>
    <n v="0"/>
    <n v="0"/>
    <n v="0"/>
    <n v="0"/>
    <n v="0"/>
    <n v="0"/>
    <n v="0"/>
    <n v="0"/>
    <n v="0"/>
    <n v="0"/>
    <n v="0"/>
    <n v="0"/>
    <n v="0"/>
    <n v="0"/>
    <n v="0"/>
    <n v="0"/>
    <n v="0"/>
    <n v="0"/>
    <n v="0"/>
    <n v="0"/>
    <n v="0"/>
    <n v="0"/>
    <n v="0"/>
    <n v="0"/>
    <n v="0"/>
    <n v="0"/>
    <n v="150"/>
    <x v="0"/>
    <n v="0"/>
    <n v="0"/>
    <n v="0"/>
    <n v="0"/>
    <n v="0"/>
    <n v="30"/>
    <n v="30"/>
    <x v="1"/>
    <n v="30"/>
    <n v="30"/>
    <n v="30"/>
    <n v="0"/>
    <n v="0"/>
    <x v="16"/>
    <m/>
    <x v="0"/>
    <x v="0"/>
    <x v="0"/>
  </r>
  <r>
    <s v="TAAP TW2"/>
    <x v="5"/>
    <x v="2"/>
    <s v="Station Yard, Twickenham"/>
    <m/>
    <m/>
    <m/>
    <x v="3"/>
    <x v="5"/>
    <m/>
    <m/>
    <n v="0"/>
    <n v="0"/>
    <n v="0"/>
    <n v="0"/>
    <n v="0"/>
    <n v="0"/>
    <n v="0"/>
    <n v="0"/>
    <n v="0"/>
    <n v="0"/>
    <n v="0"/>
    <n v="0"/>
    <n v="0"/>
    <n v="0"/>
    <n v="0"/>
    <n v="0"/>
    <n v="0"/>
    <n v="0"/>
    <n v="0"/>
    <n v="0"/>
    <n v="0"/>
    <n v="0"/>
    <n v="0"/>
    <n v="0"/>
    <n v="0"/>
    <n v="0"/>
    <n v="10"/>
    <x v="0"/>
    <n v="0"/>
    <n v="0"/>
    <n v="0"/>
    <n v="0"/>
    <n v="0"/>
    <n v="0"/>
    <n v="0"/>
    <x v="0"/>
    <n v="2"/>
    <n v="2"/>
    <n v="2"/>
    <n v="2"/>
    <n v="2"/>
    <x v="4"/>
    <m/>
    <x v="0"/>
    <x v="0"/>
    <x v="0"/>
  </r>
  <r>
    <s v="TAAP TW2"/>
    <x v="5"/>
    <x v="2"/>
    <s v="Station Yard, Twickenham"/>
    <m/>
    <m/>
    <m/>
    <x v="3"/>
    <x v="0"/>
    <m/>
    <m/>
    <n v="0"/>
    <n v="0"/>
    <n v="0"/>
    <n v="0"/>
    <n v="0"/>
    <n v="0"/>
    <n v="0"/>
    <n v="0"/>
    <n v="0"/>
    <n v="0"/>
    <n v="0"/>
    <n v="0"/>
    <n v="0"/>
    <n v="0"/>
    <n v="0"/>
    <n v="0"/>
    <n v="0"/>
    <n v="0"/>
    <n v="0"/>
    <n v="0"/>
    <n v="0"/>
    <n v="0"/>
    <n v="0"/>
    <n v="0"/>
    <n v="0"/>
    <n v="0"/>
    <n v="10"/>
    <x v="0"/>
    <n v="0"/>
    <n v="0"/>
    <n v="0"/>
    <n v="0"/>
    <n v="0"/>
    <n v="0"/>
    <n v="0"/>
    <x v="0"/>
    <n v="2"/>
    <n v="2"/>
    <n v="2"/>
    <n v="2"/>
    <n v="2"/>
    <x v="4"/>
    <m/>
    <x v="0"/>
    <x v="0"/>
    <x v="0"/>
  </r>
  <r>
    <s v="TAAP TW5"/>
    <x v="5"/>
    <x v="2"/>
    <s v="Telephone Exchange, Garfield Road, Twickenham"/>
    <m/>
    <m/>
    <m/>
    <x v="3"/>
    <x v="5"/>
    <m/>
    <m/>
    <n v="0"/>
    <n v="0"/>
    <n v="0"/>
    <n v="0"/>
    <n v="0"/>
    <n v="0"/>
    <n v="0"/>
    <n v="0"/>
    <n v="0"/>
    <n v="0"/>
    <n v="0"/>
    <n v="0"/>
    <n v="0"/>
    <n v="0"/>
    <n v="0"/>
    <n v="0"/>
    <n v="0"/>
    <n v="0"/>
    <n v="0"/>
    <n v="0"/>
    <n v="0"/>
    <n v="0"/>
    <n v="0"/>
    <n v="0"/>
    <n v="0"/>
    <n v="0"/>
    <n v="10"/>
    <x v="0"/>
    <n v="0"/>
    <n v="0"/>
    <n v="0"/>
    <n v="0"/>
    <n v="0"/>
    <n v="0"/>
    <n v="0"/>
    <x v="0"/>
    <n v="2"/>
    <n v="2"/>
    <n v="2"/>
    <n v="2"/>
    <n v="2"/>
    <x v="4"/>
    <m/>
    <x v="0"/>
    <x v="0"/>
    <x v="0"/>
  </r>
  <r>
    <s v="TAAP TW5"/>
    <x v="5"/>
    <x v="2"/>
    <s v="Telephone Exchange, Garfield Road, Twickenham"/>
    <m/>
    <m/>
    <m/>
    <x v="3"/>
    <x v="0"/>
    <m/>
    <m/>
    <n v="0"/>
    <n v="0"/>
    <n v="0"/>
    <n v="0"/>
    <n v="0"/>
    <n v="0"/>
    <n v="0"/>
    <n v="0"/>
    <n v="0"/>
    <n v="0"/>
    <n v="0"/>
    <n v="0"/>
    <n v="0"/>
    <n v="0"/>
    <n v="0"/>
    <n v="0"/>
    <n v="0"/>
    <n v="0"/>
    <n v="0"/>
    <n v="0"/>
    <n v="0"/>
    <n v="0"/>
    <n v="0"/>
    <n v="0"/>
    <n v="0"/>
    <n v="0"/>
    <n v="10"/>
    <x v="0"/>
    <n v="0"/>
    <n v="0"/>
    <n v="0"/>
    <n v="0"/>
    <n v="0"/>
    <n v="0"/>
    <n v="0"/>
    <x v="0"/>
    <n v="2"/>
    <n v="2"/>
    <n v="2"/>
    <n v="2"/>
    <n v="2"/>
    <x v="4"/>
    <m/>
    <x v="0"/>
    <x v="0"/>
    <x v="0"/>
  </r>
  <r>
    <s v="TAAP TW6"/>
    <x v="5"/>
    <x v="2"/>
    <s v="Police Station, London Road, Twickenham"/>
    <m/>
    <m/>
    <m/>
    <x v="3"/>
    <x v="5"/>
    <m/>
    <m/>
    <n v="0"/>
    <n v="0"/>
    <n v="0"/>
    <n v="0"/>
    <n v="0"/>
    <n v="0"/>
    <n v="0"/>
    <n v="0"/>
    <n v="0"/>
    <n v="0"/>
    <n v="0"/>
    <n v="0"/>
    <n v="0"/>
    <n v="0"/>
    <n v="0"/>
    <n v="0"/>
    <n v="0"/>
    <n v="0"/>
    <n v="0"/>
    <n v="0"/>
    <n v="0"/>
    <n v="0"/>
    <n v="0"/>
    <n v="0"/>
    <n v="0"/>
    <n v="0"/>
    <n v="10"/>
    <x v="0"/>
    <n v="0"/>
    <n v="0"/>
    <n v="0"/>
    <n v="0"/>
    <n v="0"/>
    <n v="0"/>
    <n v="0"/>
    <x v="0"/>
    <n v="2"/>
    <n v="2"/>
    <n v="2"/>
    <n v="2"/>
    <n v="2"/>
    <x v="4"/>
    <m/>
    <x v="0"/>
    <x v="0"/>
    <x v="0"/>
  </r>
  <r>
    <s v="TAAP TW6"/>
    <x v="5"/>
    <x v="2"/>
    <s v="Police Station, London Road, Twickenham"/>
    <m/>
    <m/>
    <m/>
    <x v="3"/>
    <x v="0"/>
    <m/>
    <m/>
    <n v="0"/>
    <n v="0"/>
    <n v="0"/>
    <n v="0"/>
    <n v="0"/>
    <n v="0"/>
    <n v="0"/>
    <n v="0"/>
    <n v="0"/>
    <n v="0"/>
    <n v="0"/>
    <n v="0"/>
    <n v="0"/>
    <n v="0"/>
    <n v="0"/>
    <n v="0"/>
    <n v="0"/>
    <n v="0"/>
    <n v="0"/>
    <n v="0"/>
    <n v="0"/>
    <n v="0"/>
    <n v="0"/>
    <n v="0"/>
    <n v="0"/>
    <n v="0"/>
    <n v="10"/>
    <x v="0"/>
    <n v="0"/>
    <n v="0"/>
    <n v="0"/>
    <n v="0"/>
    <n v="0"/>
    <n v="0"/>
    <n v="0"/>
    <x v="0"/>
    <n v="2"/>
    <n v="2"/>
    <n v="2"/>
    <n v="2"/>
    <n v="2"/>
    <x v="4"/>
    <m/>
    <x v="0"/>
    <x v="0"/>
    <x v="0"/>
  </r>
  <r>
    <s v="TAAP TW7"/>
    <x v="5"/>
    <x v="2"/>
    <s v="Twickenham Riverside (Former Pool Site) and south of King Street"/>
    <m/>
    <m/>
    <m/>
    <x v="3"/>
    <x v="5"/>
    <m/>
    <m/>
    <n v="0"/>
    <n v="0"/>
    <n v="0"/>
    <n v="0"/>
    <n v="0"/>
    <n v="0"/>
    <n v="0"/>
    <n v="0"/>
    <n v="0"/>
    <n v="0"/>
    <n v="0"/>
    <n v="0"/>
    <n v="0"/>
    <n v="0"/>
    <n v="0"/>
    <n v="0"/>
    <n v="0"/>
    <n v="0"/>
    <n v="0"/>
    <n v="0"/>
    <n v="0"/>
    <n v="0"/>
    <n v="0"/>
    <n v="0"/>
    <n v="0"/>
    <n v="0"/>
    <n v="5"/>
    <x v="0"/>
    <n v="0"/>
    <n v="0"/>
    <n v="0"/>
    <n v="0"/>
    <n v="0"/>
    <n v="0"/>
    <n v="0"/>
    <x v="0"/>
    <n v="1"/>
    <n v="1"/>
    <n v="1"/>
    <n v="1"/>
    <n v="1"/>
    <x v="4"/>
    <m/>
    <x v="0"/>
    <x v="0"/>
    <x v="0"/>
  </r>
  <r>
    <s v="TAAP TW7"/>
    <x v="5"/>
    <x v="2"/>
    <s v="Twickenham Riverside (Former Pool Site) and south of King Street"/>
    <m/>
    <m/>
    <m/>
    <x v="3"/>
    <x v="0"/>
    <m/>
    <m/>
    <n v="0"/>
    <n v="0"/>
    <n v="0"/>
    <n v="0"/>
    <n v="0"/>
    <n v="0"/>
    <n v="0"/>
    <n v="0"/>
    <n v="0"/>
    <n v="0"/>
    <n v="0"/>
    <n v="0"/>
    <n v="0"/>
    <n v="0"/>
    <n v="0"/>
    <n v="0"/>
    <n v="0"/>
    <n v="0"/>
    <n v="0"/>
    <n v="0"/>
    <n v="0"/>
    <n v="0"/>
    <n v="0"/>
    <n v="0"/>
    <n v="0"/>
    <n v="0"/>
    <n v="5"/>
    <x v="0"/>
    <n v="0"/>
    <n v="0"/>
    <n v="0"/>
    <n v="0"/>
    <n v="0"/>
    <n v="0"/>
    <n v="0"/>
    <x v="0"/>
    <n v="1"/>
    <n v="1"/>
    <n v="1"/>
    <n v="1"/>
    <n v="1"/>
    <x v="4"/>
    <m/>
    <x v="0"/>
    <x v="0"/>
    <x v="0"/>
  </r>
  <r>
    <s v="Small Sites"/>
    <x v="5"/>
    <x v="0"/>
    <s v="Small Sites Trend"/>
    <m/>
    <m/>
    <m/>
    <x v="4"/>
    <x v="6"/>
    <m/>
    <m/>
    <n v="0"/>
    <n v="0"/>
    <n v="0"/>
    <n v="0"/>
    <n v="0"/>
    <n v="0"/>
    <n v="0"/>
    <n v="0"/>
    <n v="0"/>
    <n v="0"/>
    <n v="0"/>
    <n v="0"/>
    <n v="0"/>
    <n v="0"/>
    <n v="0"/>
    <n v="0"/>
    <n v="0"/>
    <n v="0"/>
    <n v="0"/>
    <n v="0"/>
    <n v="0"/>
    <n v="0"/>
    <n v="0"/>
    <n v="0"/>
    <n v="0"/>
    <n v="0"/>
    <m/>
    <x v="0"/>
    <n v="0"/>
    <n v="0"/>
    <n v="0"/>
    <n v="0"/>
    <n v="0"/>
    <n v="0"/>
    <n v="0"/>
    <x v="0"/>
    <n v="204"/>
    <n v="204"/>
    <n v="204"/>
    <n v="204"/>
    <n v="204"/>
    <x v="18"/>
    <m/>
    <x v="0"/>
    <x v="0"/>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3">
  <r>
    <s v="07/2346/FUL"/>
    <s v="CON"/>
    <m/>
    <s v="62 Mill Farm Crescent_x000d_Whitton_x000d_Middlesex_x000d_TW4 5PG"/>
    <s v="Conversion of house into three units incorporating: one studio unit, one 1-bedroom unit,one 3-bedroom unit. Rear Extension And Associated Parking, Refuse And Cycle Storage Facilities."/>
    <d v="2008-07-15T00:00:00"/>
    <d v="2018-06-27T00:00:00"/>
    <x v="0"/>
    <s v="Open Market"/>
    <n v="512461"/>
    <n v="173391"/>
    <n v="0"/>
    <n v="0"/>
    <n v="0"/>
    <n v="1"/>
    <n v="0"/>
    <m/>
    <m/>
    <m/>
    <n v="1"/>
    <n v="1"/>
    <n v="1"/>
    <n v="0"/>
    <n v="1"/>
    <n v="0"/>
    <m/>
    <m/>
    <m/>
    <n v="3"/>
    <n v="1"/>
    <n v="1"/>
    <n v="0"/>
    <n v="0"/>
    <n v="0"/>
    <n v="0"/>
    <n v="0"/>
    <n v="0"/>
    <n v="2"/>
    <m/>
    <n v="2"/>
    <n v="0"/>
    <n v="0"/>
    <n v="0"/>
    <n v="0"/>
    <n v="0"/>
    <n v="0"/>
    <n v="0"/>
    <n v="0"/>
    <n v="0"/>
    <n v="0"/>
    <n v="0"/>
    <n v="0"/>
    <s v="Heathfield"/>
    <m/>
    <m/>
    <m/>
    <m/>
    <x v="0"/>
  </r>
  <r>
    <s v="08/0225/FUL"/>
    <s v="NEW"/>
    <m/>
    <s v="Pouparts Yard And Land Rear Of 84A_x000d_Hampton Road_x000d_Twickenham_x000d_Middlesex"/>
    <s v="Demolition of Pouparts Yard workshop and the erection of a mixed use development comprising 9 No. residential units and 348 square metres of commercial floor space with associated parking and landscaping."/>
    <d v="2012-12-06T00:00:00"/>
    <d v="2018-08-31T00:00:00"/>
    <x v="0"/>
    <s v="Open Market"/>
    <n v="514981"/>
    <n v="172687"/>
    <n v="0"/>
    <n v="0"/>
    <n v="0"/>
    <n v="0"/>
    <n v="0"/>
    <m/>
    <m/>
    <m/>
    <n v="0"/>
    <n v="1"/>
    <n v="2"/>
    <n v="5"/>
    <n v="1"/>
    <n v="0"/>
    <m/>
    <m/>
    <m/>
    <n v="9"/>
    <n v="1"/>
    <n v="2"/>
    <n v="5"/>
    <n v="1"/>
    <n v="0"/>
    <n v="0"/>
    <n v="0"/>
    <n v="0"/>
    <n v="9"/>
    <m/>
    <n v="9"/>
    <n v="0"/>
    <n v="0"/>
    <n v="0"/>
    <n v="0"/>
    <n v="0"/>
    <n v="0"/>
    <n v="0"/>
    <n v="0"/>
    <n v="0"/>
    <n v="0"/>
    <n v="0"/>
    <n v="0"/>
    <s v="West Twickenham"/>
    <m/>
    <m/>
    <m/>
    <m/>
    <x v="0"/>
  </r>
  <r>
    <s v="09/3265/FUL"/>
    <s v="NEW"/>
    <m/>
    <s v="Newland House School_x000d_28 - 36 Waldegrave Park_x000d_Twickenham"/>
    <s v="Demolish no. 28 Waldegrave Park, replace with pre-preparatory unit and change of use to educational. Demolish storage units rear of 36 Waldegrave Park. New vehicular access. Create 8 new car parking spaces inc.1 disabled space. Rearrange parking at front"/>
    <m/>
    <d v="2018-06-08T00:00:00"/>
    <x v="0"/>
    <s v="Open Market"/>
    <n v="515893"/>
    <n v="171816"/>
    <n v="0"/>
    <n v="0"/>
    <n v="0"/>
    <n v="0"/>
    <n v="1"/>
    <m/>
    <m/>
    <m/>
    <n v="1"/>
    <n v="0"/>
    <n v="0"/>
    <n v="0"/>
    <n v="0"/>
    <n v="0"/>
    <m/>
    <m/>
    <m/>
    <n v="0"/>
    <n v="0"/>
    <n v="0"/>
    <n v="0"/>
    <n v="0"/>
    <n v="-1"/>
    <n v="0"/>
    <n v="0"/>
    <n v="0"/>
    <n v="-1"/>
    <m/>
    <n v="-1"/>
    <n v="0"/>
    <n v="0"/>
    <n v="0"/>
    <n v="0"/>
    <n v="0"/>
    <n v="0"/>
    <n v="0"/>
    <n v="0"/>
    <n v="0"/>
    <n v="0"/>
    <n v="0"/>
    <n v="0"/>
    <s v="Teddington"/>
    <m/>
    <m/>
    <m/>
    <m/>
    <x v="0"/>
  </r>
  <r>
    <s v="10/1026/FUL"/>
    <s v="CON"/>
    <m/>
    <s v="21 St Georges Road_x000d_Twickenham"/>
    <s v="Change of use from 3 no. self contained flats to a single family dwelling house incorporating minor internal alterations."/>
    <d v="2013-06-13T00:00:00"/>
    <d v="2018-08-14T00:00:00"/>
    <x v="0"/>
    <s v="Open Market"/>
    <n v="516929"/>
    <n v="174807"/>
    <m/>
    <n v="0"/>
    <n v="0"/>
    <n v="3"/>
    <n v="0"/>
    <m/>
    <m/>
    <m/>
    <n v="3"/>
    <m/>
    <n v="0"/>
    <n v="0"/>
    <n v="0"/>
    <n v="1"/>
    <m/>
    <m/>
    <m/>
    <n v="1"/>
    <m/>
    <n v="0"/>
    <n v="0"/>
    <n v="-3"/>
    <n v="1"/>
    <n v="0"/>
    <n v="0"/>
    <n v="0"/>
    <n v="-2"/>
    <m/>
    <n v="-2"/>
    <n v="0"/>
    <n v="0"/>
    <n v="0"/>
    <n v="0"/>
    <n v="0"/>
    <n v="0"/>
    <n v="0"/>
    <n v="0"/>
    <n v="0"/>
    <n v="0"/>
    <n v="0"/>
    <n v="0"/>
    <s v="St. Margarets and North Twickenham"/>
    <m/>
    <m/>
    <m/>
    <m/>
    <x v="0"/>
  </r>
  <r>
    <s v="10/1864/FUL"/>
    <s v="NEW"/>
    <m/>
    <s v="84 Whitton Road_x000d_Twickenham_x000d_TW1 1BS"/>
    <s v="Erection of 9 residential units."/>
    <d v="2016-02-01T00:00:00"/>
    <d v="2018-07-31T00:00:00"/>
    <x v="0"/>
    <s v="Open Market"/>
    <n v="515818"/>
    <n v="173973"/>
    <m/>
    <n v="0"/>
    <n v="0"/>
    <n v="0"/>
    <n v="0"/>
    <m/>
    <m/>
    <m/>
    <n v="0"/>
    <m/>
    <n v="3"/>
    <n v="0"/>
    <n v="6"/>
    <n v="0"/>
    <m/>
    <m/>
    <m/>
    <n v="9"/>
    <m/>
    <n v="3"/>
    <n v="0"/>
    <n v="6"/>
    <n v="0"/>
    <n v="0"/>
    <n v="0"/>
    <n v="0"/>
    <n v="9"/>
    <m/>
    <n v="9"/>
    <n v="0"/>
    <n v="0"/>
    <n v="0"/>
    <n v="0"/>
    <n v="0"/>
    <n v="0"/>
    <n v="0"/>
    <n v="0"/>
    <n v="0"/>
    <n v="0"/>
    <n v="0"/>
    <n v="0"/>
    <s v="St. Margarets and North Twickenham"/>
    <m/>
    <m/>
    <m/>
    <m/>
    <x v="0"/>
  </r>
  <r>
    <s v="11/3248/FUL"/>
    <s v="NEW"/>
    <m/>
    <s v="37 Grosvenor Road Twickenham"/>
    <s v="Amendments to planning permission 08/4334/FUL during the course of construction to amend 3x 1 bed units of accommodation at the rear of No. 37 Grosvenor Road into 1x2 bed unit with associated internal alterations."/>
    <d v="2012-10-01T00:00:00"/>
    <d v="2018-04-02T00:00:00"/>
    <x v="0"/>
    <s v="Open Market"/>
    <n v="516120"/>
    <n v="173429"/>
    <m/>
    <n v="0"/>
    <n v="0"/>
    <n v="0"/>
    <n v="0"/>
    <m/>
    <m/>
    <m/>
    <n v="0"/>
    <m/>
    <n v="6"/>
    <n v="1"/>
    <n v="0"/>
    <n v="0"/>
    <m/>
    <m/>
    <m/>
    <n v="7"/>
    <m/>
    <n v="6"/>
    <n v="1"/>
    <n v="0"/>
    <n v="0"/>
    <n v="0"/>
    <n v="0"/>
    <n v="0"/>
    <n v="7"/>
    <m/>
    <n v="7"/>
    <n v="0"/>
    <n v="0"/>
    <n v="0"/>
    <n v="0"/>
    <n v="0"/>
    <n v="0"/>
    <n v="0"/>
    <n v="0"/>
    <n v="0"/>
    <n v="0"/>
    <n v="0"/>
    <n v="0"/>
    <s v="Twickenham Riverside"/>
    <m/>
    <m/>
    <s v="Twickenham"/>
    <m/>
    <x v="0"/>
  </r>
  <r>
    <s v="12/3452/FUL"/>
    <s v="EXT"/>
    <m/>
    <s v="105 Church Road_x000d_Teddington_x000d_TW11 8QH"/>
    <s v="Extension at ground and roof level to create an additional residential unit, to form 2 no. 1 bed flats"/>
    <d v="2017-10-01T00:00:00"/>
    <d v="2019-03-27T00:00:00"/>
    <x v="0"/>
    <s v="Open Market"/>
    <n v="515521"/>
    <n v="171408"/>
    <m/>
    <n v="0"/>
    <n v="1"/>
    <n v="0"/>
    <n v="0"/>
    <m/>
    <m/>
    <m/>
    <n v="1"/>
    <m/>
    <n v="2"/>
    <n v="0"/>
    <n v="0"/>
    <n v="0"/>
    <m/>
    <m/>
    <m/>
    <n v="2"/>
    <m/>
    <n v="2"/>
    <n v="-1"/>
    <n v="0"/>
    <n v="0"/>
    <n v="0"/>
    <n v="0"/>
    <n v="0"/>
    <n v="1"/>
    <m/>
    <n v="1"/>
    <n v="0"/>
    <n v="0"/>
    <n v="0"/>
    <n v="0"/>
    <n v="0"/>
    <n v="0"/>
    <n v="0"/>
    <n v="0"/>
    <n v="0"/>
    <n v="0"/>
    <n v="0"/>
    <n v="0"/>
    <s v="Fulwell and Hampton Hill"/>
    <m/>
    <m/>
    <m/>
    <m/>
    <x v="0"/>
  </r>
  <r>
    <s v="13/2845/P3JPA"/>
    <s v="CHU"/>
    <s v="PA"/>
    <s v="99 South Worple Way_x000d_East Sheen_x000d_London"/>
    <s v="Change of use from class B1 (offices) to C3 (residential)."/>
    <d v="2016-04-01T00:00:00"/>
    <d v="2018-12-11T00:00:00"/>
    <x v="0"/>
    <s v="Open Market"/>
    <n v="520540"/>
    <n v="175748"/>
    <m/>
    <n v="0"/>
    <n v="0"/>
    <n v="0"/>
    <n v="0"/>
    <m/>
    <m/>
    <m/>
    <n v="0"/>
    <m/>
    <n v="1"/>
    <n v="5"/>
    <n v="0"/>
    <n v="0"/>
    <m/>
    <m/>
    <m/>
    <n v="6"/>
    <m/>
    <n v="1"/>
    <n v="5"/>
    <n v="0"/>
    <n v="0"/>
    <n v="0"/>
    <n v="0"/>
    <n v="0"/>
    <n v="6"/>
    <m/>
    <n v="6"/>
    <n v="0"/>
    <n v="0"/>
    <n v="0"/>
    <n v="0"/>
    <n v="0"/>
    <n v="0"/>
    <n v="0"/>
    <n v="0"/>
    <n v="0"/>
    <n v="0"/>
    <n v="0"/>
    <n v="0"/>
    <s v="East Sheen"/>
    <m/>
    <m/>
    <s v="East Sheen"/>
    <m/>
    <x v="0"/>
  </r>
  <r>
    <s v="13/4409/FUL"/>
    <s v="CHU"/>
    <m/>
    <s v="Royal Star And Garter Home_x000d_Richmond Hill_x000d_Richmond_x000d_TW10 6RR"/>
    <s v="Change of use from care home (use class C2) to residential (use class C3), comprising 86 dwelling units, including reconfiguration of the listed building and minor demolition to modern additions, new basement car park and associated landscaping."/>
    <d v="2015-02-05T00:00:00"/>
    <d v="2018-07-09T00:00:00"/>
    <x v="0"/>
    <s v="Open Market"/>
    <n v="518424"/>
    <n v="173759"/>
    <m/>
    <n v="0"/>
    <n v="0"/>
    <n v="0"/>
    <n v="0"/>
    <m/>
    <m/>
    <m/>
    <n v="0"/>
    <m/>
    <n v="29"/>
    <n v="24"/>
    <n v="30"/>
    <n v="3"/>
    <m/>
    <m/>
    <m/>
    <n v="86"/>
    <m/>
    <n v="29"/>
    <n v="24"/>
    <n v="30"/>
    <n v="3"/>
    <n v="0"/>
    <n v="0"/>
    <n v="0"/>
    <n v="86"/>
    <s v="Y"/>
    <n v="86"/>
    <n v="0"/>
    <n v="0"/>
    <n v="0"/>
    <n v="0"/>
    <n v="0"/>
    <n v="0"/>
    <n v="0"/>
    <n v="0"/>
    <n v="0"/>
    <n v="0"/>
    <n v="0"/>
    <n v="0"/>
    <s v="Ham, Petersham and Richmond Riverside"/>
    <m/>
    <m/>
    <m/>
    <s v="Thames Policy Area"/>
    <x v="0"/>
  </r>
  <r>
    <s v="13/4790/FUL"/>
    <s v="NEW"/>
    <m/>
    <s v="5 Chestnut Avenue_x000d_Hampton_x000d_TW12 2NY"/>
    <s v="Construction of a pair of three storey, semi detached three/four bedroom houses on site of recently demolished bungalow."/>
    <d v="2012-06-11T00:00:00"/>
    <d v="2019-01-11T00:00:00"/>
    <x v="0"/>
    <s v="Open Market"/>
    <n v="513223"/>
    <n v="170169"/>
    <m/>
    <n v="0"/>
    <n v="0"/>
    <n v="1"/>
    <n v="0"/>
    <m/>
    <m/>
    <m/>
    <n v="1"/>
    <m/>
    <n v="0"/>
    <n v="0"/>
    <n v="0"/>
    <n v="2"/>
    <m/>
    <m/>
    <m/>
    <n v="2"/>
    <m/>
    <n v="0"/>
    <n v="0"/>
    <n v="-1"/>
    <n v="2"/>
    <n v="0"/>
    <n v="0"/>
    <n v="0"/>
    <n v="1"/>
    <m/>
    <n v="1"/>
    <n v="0"/>
    <n v="0"/>
    <n v="0"/>
    <n v="0"/>
    <n v="0"/>
    <n v="0"/>
    <n v="0"/>
    <n v="0"/>
    <n v="0"/>
    <n v="0"/>
    <n v="0"/>
    <n v="0"/>
    <s v="Hampton"/>
    <m/>
    <m/>
    <m/>
    <m/>
    <x v="1"/>
  </r>
  <r>
    <s v="14/0790/FUL"/>
    <s v="CHU"/>
    <m/>
    <s v="6 And 8 And 10_x000d_High Street_x000d_Hampton Wick"/>
    <s v="Conversion of existing listed buildings from disused bakery and joinery workshop to provide two houses (within no6-8) and flat over shop/office (no10). Demolition of part-three, part-two and single storey rear (later extensions) within the curtilage (and"/>
    <d v="2016-02-01T00:00:00"/>
    <d v="2018-09-03T00:00:00"/>
    <x v="0"/>
    <s v="Open Market"/>
    <n v="517592"/>
    <n v="169473"/>
    <m/>
    <n v="0"/>
    <n v="0"/>
    <n v="0"/>
    <n v="0"/>
    <m/>
    <m/>
    <m/>
    <n v="0"/>
    <m/>
    <n v="0"/>
    <n v="0"/>
    <n v="2"/>
    <n v="1"/>
    <m/>
    <m/>
    <m/>
    <n v="3"/>
    <m/>
    <n v="0"/>
    <n v="0"/>
    <n v="2"/>
    <n v="1"/>
    <n v="0"/>
    <n v="0"/>
    <n v="0"/>
    <n v="3"/>
    <m/>
    <n v="3"/>
    <n v="0"/>
    <n v="0"/>
    <n v="0"/>
    <n v="0"/>
    <n v="0"/>
    <n v="0"/>
    <n v="0"/>
    <n v="0"/>
    <n v="0"/>
    <n v="0"/>
    <n v="0"/>
    <n v="0"/>
    <s v="Hampton Wick"/>
    <m/>
    <s v="Hampton Wick"/>
    <m/>
    <s v="Thames Policy Area"/>
    <x v="0"/>
  </r>
  <r>
    <s v="14/1488/FUL"/>
    <s v="NEW"/>
    <m/>
    <s v="Inland Revenue_x000d_Ruskin Avenue_x000d_Kew"/>
    <s v="Erection of 4 blocks containing 170 no. 1, 2 and 3 bedroom apartments (including 27 affordable housing 16%) and a GP surgery with associated semi-basement car and cycle parking, open space, play space, landscaping and new access arrangements."/>
    <d v="2015-08-02T00:00:00"/>
    <d v="2018-08-31T00:00:00"/>
    <x v="0"/>
    <s v="Affordable Rent"/>
    <n v="519650"/>
    <n v="177074"/>
    <m/>
    <n v="0"/>
    <n v="0"/>
    <n v="0"/>
    <n v="0"/>
    <m/>
    <m/>
    <m/>
    <n v="0"/>
    <m/>
    <n v="4"/>
    <n v="16"/>
    <n v="0"/>
    <n v="0"/>
    <m/>
    <m/>
    <m/>
    <n v="20"/>
    <m/>
    <n v="4"/>
    <n v="16"/>
    <n v="0"/>
    <n v="0"/>
    <n v="0"/>
    <n v="0"/>
    <n v="0"/>
    <n v="20"/>
    <s v="Y"/>
    <n v="20"/>
    <n v="0"/>
    <n v="0"/>
    <n v="0"/>
    <n v="0"/>
    <n v="0"/>
    <n v="0"/>
    <n v="0"/>
    <n v="0"/>
    <n v="0"/>
    <n v="0"/>
    <n v="0"/>
    <n v="0"/>
    <s v="Kew"/>
    <m/>
    <m/>
    <m/>
    <m/>
    <x v="0"/>
  </r>
  <r>
    <s v="14/1488/FUL"/>
    <s v="NEW"/>
    <m/>
    <s v="Inland Revenue_x000d_Ruskin Avenue_x000d_Kew"/>
    <s v="Erection of 4 blocks containing 170 no. 1, 2 and 3 bedroom apartments (including 27 affordable housing 16%) and a GP surgery with associated semi-basement car and cycle parking, open space, play space, landscaping and new access arrangements."/>
    <d v="2015-08-02T00:00:00"/>
    <d v="2018-08-31T00:00:00"/>
    <x v="0"/>
    <s v="Open Market"/>
    <n v="519650"/>
    <n v="177074"/>
    <m/>
    <n v="0"/>
    <n v="0"/>
    <n v="0"/>
    <n v="0"/>
    <m/>
    <m/>
    <m/>
    <n v="0"/>
    <m/>
    <n v="3"/>
    <n v="12"/>
    <n v="0"/>
    <n v="0"/>
    <m/>
    <m/>
    <m/>
    <n v="15"/>
    <m/>
    <n v="3"/>
    <n v="12"/>
    <n v="0"/>
    <n v="0"/>
    <n v="0"/>
    <n v="0"/>
    <n v="0"/>
    <n v="15"/>
    <s v="Y"/>
    <n v="15"/>
    <n v="0"/>
    <n v="0"/>
    <n v="0"/>
    <n v="0"/>
    <n v="0"/>
    <n v="0"/>
    <n v="0"/>
    <n v="0"/>
    <n v="0"/>
    <n v="0"/>
    <n v="0"/>
    <n v="0"/>
    <s v="Kew"/>
    <m/>
    <m/>
    <m/>
    <m/>
    <x v="0"/>
  </r>
  <r>
    <s v="14/1488/FUL"/>
    <s v="NEW"/>
    <m/>
    <s v="Inland Revenue_x000d_Ruskin Avenue_x000d_Kew"/>
    <s v="Erection of 4 blocks containing 170 no. 1, 2 and 3 bedroom apartments (including 27 affordable housing 16%) and a GP surgery with associated semi-basement car and cycle parking, open space, play space, landscaping and new access arrangements."/>
    <d v="2015-08-02T00:00:00"/>
    <d v="2018-08-31T00:00:00"/>
    <x v="0"/>
    <s v="Intermediate"/>
    <n v="519650"/>
    <n v="177074"/>
    <m/>
    <n v="0"/>
    <n v="0"/>
    <n v="0"/>
    <n v="0"/>
    <m/>
    <m/>
    <m/>
    <n v="0"/>
    <m/>
    <n v="1"/>
    <n v="4"/>
    <n v="0"/>
    <n v="0"/>
    <m/>
    <m/>
    <m/>
    <n v="5"/>
    <m/>
    <n v="1"/>
    <n v="4"/>
    <n v="0"/>
    <n v="0"/>
    <n v="0"/>
    <n v="0"/>
    <n v="0"/>
    <n v="5"/>
    <s v="Y"/>
    <n v="5"/>
    <n v="0"/>
    <n v="0"/>
    <n v="0"/>
    <n v="0"/>
    <n v="0"/>
    <n v="0"/>
    <n v="0"/>
    <n v="0"/>
    <n v="0"/>
    <n v="0"/>
    <n v="0"/>
    <n v="0"/>
    <s v="Kew"/>
    <m/>
    <m/>
    <m/>
    <m/>
    <x v="0"/>
  </r>
  <r>
    <s v="14/1865/FUL"/>
    <s v="EXT"/>
    <m/>
    <s v="211 Staines Road_x000d_Twickenham_x000d_TW2 5AY"/>
    <s v="Demolition of existing single storey side extension and detached garage to rear, alterations and erection of a new two-storey dwelling (including basement and accommodation within roof) adjoining No.211 Staines Road with associated landscaping and parkin"/>
    <d v="2017-03-01T00:00:00"/>
    <d v="2018-06-01T00:00:00"/>
    <x v="0"/>
    <s v="Open Market"/>
    <n v="514566"/>
    <n v="172678"/>
    <m/>
    <n v="0"/>
    <n v="0"/>
    <n v="0"/>
    <n v="1"/>
    <m/>
    <m/>
    <m/>
    <n v="1"/>
    <m/>
    <n v="0"/>
    <n v="0"/>
    <n v="2"/>
    <n v="0"/>
    <m/>
    <m/>
    <m/>
    <n v="2"/>
    <m/>
    <n v="0"/>
    <n v="0"/>
    <n v="2"/>
    <n v="-1"/>
    <n v="0"/>
    <n v="0"/>
    <n v="0"/>
    <n v="1"/>
    <m/>
    <n v="1"/>
    <n v="0"/>
    <n v="0"/>
    <n v="0"/>
    <n v="0"/>
    <n v="0"/>
    <n v="0"/>
    <n v="0"/>
    <n v="0"/>
    <n v="0"/>
    <n v="0"/>
    <n v="0"/>
    <n v="0"/>
    <s v="West Twickenham"/>
    <m/>
    <m/>
    <m/>
    <m/>
    <x v="0"/>
  </r>
  <r>
    <s v="14/2490/FUL"/>
    <s v="NEW"/>
    <m/>
    <s v="29 Charles Street_x000d_Barnes_x000d_London"/>
    <s v="Demolition of existing lock up garages and car repair garage and redevelopment to provide five dwellings (four houses on ground and basement level and one first floor flat) and 148 sqm of office (B1) accommodation, with associated parking and landscaping"/>
    <d v="2017-04-01T00:00:00"/>
    <d v="2018-08-14T00:00:00"/>
    <x v="0"/>
    <s v="Open Market"/>
    <n v="521356"/>
    <n v="176060"/>
    <m/>
    <n v="0"/>
    <n v="0"/>
    <n v="0"/>
    <n v="0"/>
    <m/>
    <m/>
    <m/>
    <n v="0"/>
    <m/>
    <n v="1"/>
    <n v="3"/>
    <n v="1"/>
    <n v="0"/>
    <m/>
    <m/>
    <m/>
    <n v="5"/>
    <m/>
    <n v="1"/>
    <n v="3"/>
    <n v="1"/>
    <n v="0"/>
    <n v="0"/>
    <n v="0"/>
    <n v="0"/>
    <n v="5"/>
    <m/>
    <n v="5"/>
    <n v="0"/>
    <n v="0"/>
    <n v="0"/>
    <n v="0"/>
    <n v="0"/>
    <n v="0"/>
    <n v="0"/>
    <n v="0"/>
    <n v="0"/>
    <n v="0"/>
    <n v="0"/>
    <n v="0"/>
    <s v="Mortlake and Barnes Common"/>
    <m/>
    <m/>
    <m/>
    <m/>
    <x v="0"/>
  </r>
  <r>
    <s v="14/2543/FUL"/>
    <s v="CHU"/>
    <m/>
    <s v="305 Sandycombe Road Richmond TW9 3NA"/>
    <s v="Change of use of the ground floor of the building from Estate Agents (Use Class A2) to a residential flat (Use Class C3) with rear infill extension, the conversion of the upper floor self-contained maisonette to two self-contained flats (one on each floo"/>
    <d v="2016-02-01T00:00:00"/>
    <d v="2019-02-11T00:00:00"/>
    <x v="0"/>
    <s v="Open Market"/>
    <n v="519109"/>
    <n v="176524"/>
    <m/>
    <n v="2"/>
    <n v="0"/>
    <n v="0"/>
    <n v="0"/>
    <m/>
    <m/>
    <m/>
    <n v="2"/>
    <m/>
    <n v="0"/>
    <n v="2"/>
    <n v="1"/>
    <n v="0"/>
    <m/>
    <m/>
    <m/>
    <n v="3"/>
    <m/>
    <n v="-2"/>
    <n v="2"/>
    <n v="1"/>
    <n v="0"/>
    <n v="0"/>
    <n v="0"/>
    <n v="0"/>
    <n v="1"/>
    <m/>
    <n v="2"/>
    <n v="0"/>
    <n v="0"/>
    <n v="0"/>
    <n v="0"/>
    <n v="0"/>
    <n v="0"/>
    <n v="0"/>
    <n v="0"/>
    <n v="0"/>
    <n v="0"/>
    <n v="0"/>
    <n v="0"/>
    <s v="Kew"/>
    <m/>
    <m/>
    <m/>
    <m/>
    <x v="0"/>
  </r>
  <r>
    <s v="14/2687/FUL"/>
    <s v="CON"/>
    <m/>
    <s v="6 Cambrian Road_x000d_Richmond"/>
    <s v="Reversion from two flats into one single 4 bed dwellinghouse and addition of solar panels"/>
    <m/>
    <d v="2018-07-31T00:00:00"/>
    <x v="0"/>
    <s v="Open Market"/>
    <n v="518693"/>
    <n v="174117"/>
    <m/>
    <n v="1"/>
    <n v="1"/>
    <n v="0"/>
    <n v="0"/>
    <m/>
    <m/>
    <m/>
    <n v="2"/>
    <m/>
    <n v="0"/>
    <n v="0"/>
    <n v="0"/>
    <n v="1"/>
    <m/>
    <m/>
    <m/>
    <n v="1"/>
    <m/>
    <n v="-1"/>
    <n v="-1"/>
    <n v="0"/>
    <n v="1"/>
    <n v="0"/>
    <n v="0"/>
    <n v="0"/>
    <n v="-1"/>
    <m/>
    <n v="-1"/>
    <n v="0"/>
    <n v="0"/>
    <n v="0"/>
    <n v="0"/>
    <n v="0"/>
    <n v="0"/>
    <n v="0"/>
    <n v="0"/>
    <n v="0"/>
    <n v="0"/>
    <n v="0"/>
    <n v="0"/>
    <s v="South Richmond"/>
    <m/>
    <m/>
    <m/>
    <m/>
    <x v="0"/>
  </r>
  <r>
    <s v="14/2736/FUL"/>
    <s v="NEW"/>
    <m/>
    <s v="40 Wellington Road_x000a_Hampton_x000a_TW12 1JT"/>
    <s v="Demolition and the replacement of an existing bungalow with a single family dwelling."/>
    <d v="2017-01-01T00:00:00"/>
    <d v="2018-08-31T00:00:00"/>
    <x v="0"/>
    <s v="Open Market"/>
    <n v="514662"/>
    <n v="171639"/>
    <m/>
    <n v="0"/>
    <n v="0"/>
    <n v="1"/>
    <n v="0"/>
    <m/>
    <m/>
    <m/>
    <n v="1"/>
    <m/>
    <n v="0"/>
    <n v="0"/>
    <n v="0"/>
    <n v="1"/>
    <m/>
    <m/>
    <m/>
    <n v="1"/>
    <m/>
    <n v="0"/>
    <n v="0"/>
    <n v="-1"/>
    <n v="1"/>
    <n v="0"/>
    <n v="0"/>
    <n v="0"/>
    <n v="0"/>
    <m/>
    <n v="0"/>
    <n v="0"/>
    <n v="0"/>
    <n v="0"/>
    <n v="0"/>
    <n v="0"/>
    <n v="0"/>
    <n v="0"/>
    <n v="0"/>
    <n v="0"/>
    <n v="0"/>
    <n v="0"/>
    <n v="0"/>
    <s v="Fulwell and Hampton Hill"/>
    <m/>
    <m/>
    <m/>
    <m/>
    <x v="0"/>
  </r>
  <r>
    <s v="14/3003/P3JPA"/>
    <s v="CHU"/>
    <s v="PA"/>
    <s v="Third Floor_x000a_34A York Street_x000a_Twickenham_x000a_TW1 3LJ"/>
    <s v="Change of use from offices (B1a) to residential (C3) comprising of 1 one-bed flat."/>
    <m/>
    <d v="2018-04-01T00:00:00"/>
    <x v="0"/>
    <s v="Open Market"/>
    <n v="516358"/>
    <n v="173374"/>
    <m/>
    <n v="0"/>
    <n v="0"/>
    <n v="0"/>
    <n v="0"/>
    <m/>
    <m/>
    <m/>
    <n v="0"/>
    <m/>
    <n v="1"/>
    <n v="0"/>
    <n v="0"/>
    <n v="0"/>
    <m/>
    <m/>
    <m/>
    <n v="1"/>
    <m/>
    <n v="1"/>
    <n v="0"/>
    <n v="0"/>
    <n v="0"/>
    <n v="0"/>
    <n v="0"/>
    <n v="0"/>
    <n v="1"/>
    <m/>
    <n v="1"/>
    <n v="0"/>
    <n v="0"/>
    <n v="0"/>
    <n v="0"/>
    <n v="0"/>
    <n v="0"/>
    <n v="0"/>
    <n v="0"/>
    <n v="0"/>
    <n v="0"/>
    <n v="0"/>
    <n v="0"/>
    <s v="Twickenham Riverside"/>
    <m/>
    <m/>
    <s v="Twickenham"/>
    <m/>
    <x v="0"/>
  </r>
  <r>
    <s v="14/3027/P3JPA"/>
    <s v="CHU"/>
    <s v="PA"/>
    <s v="Barnes Police Station_x000d_92 - 102 Station Road_x000d_Barnes_x000d_London_x000d_SW13 0NG"/>
    <s v="Change of use from office building (use class B1a) to residential use (use class C3)."/>
    <d v="2016-03-01T00:00:00"/>
    <d v="2018-11-01T00:00:00"/>
    <x v="0"/>
    <s v="Open Market"/>
    <n v="521980"/>
    <n v="176064"/>
    <m/>
    <n v="0"/>
    <n v="0"/>
    <n v="0"/>
    <n v="0"/>
    <m/>
    <m/>
    <m/>
    <n v="0"/>
    <m/>
    <n v="0"/>
    <n v="0"/>
    <n v="0"/>
    <n v="0"/>
    <n v="7"/>
    <m/>
    <m/>
    <n v="7"/>
    <m/>
    <n v="0"/>
    <n v="0"/>
    <n v="0"/>
    <n v="0"/>
    <n v="7"/>
    <n v="0"/>
    <n v="0"/>
    <n v="7"/>
    <m/>
    <n v="7"/>
    <n v="0"/>
    <n v="0"/>
    <n v="0"/>
    <n v="0"/>
    <n v="0"/>
    <n v="0"/>
    <n v="0"/>
    <n v="0"/>
    <n v="0"/>
    <n v="0"/>
    <n v="0"/>
    <n v="0"/>
    <s v="Mortlake and Barnes Common"/>
    <m/>
    <m/>
    <m/>
    <m/>
    <x v="0"/>
  </r>
  <r>
    <s v="14/3783/FUL"/>
    <s v="NEW"/>
    <m/>
    <s v="51 Burtons Road_x000d_Hampton Hill_x000d_Hampton_x000d_TW12 1DE"/>
    <s v="Erection of 2 bedroom house on land adjacent to 51 Burtons Road"/>
    <d v="2017-06-22T00:00:00"/>
    <d v="2018-06-13T00:00:00"/>
    <x v="0"/>
    <s v="Open Market"/>
    <n v="514252"/>
    <n v="171505"/>
    <m/>
    <n v="0"/>
    <n v="0"/>
    <n v="0"/>
    <n v="0"/>
    <m/>
    <m/>
    <m/>
    <n v="0"/>
    <m/>
    <n v="0"/>
    <n v="1"/>
    <n v="0"/>
    <n v="0"/>
    <m/>
    <m/>
    <m/>
    <n v="1"/>
    <m/>
    <n v="0"/>
    <n v="1"/>
    <n v="0"/>
    <n v="0"/>
    <n v="0"/>
    <n v="0"/>
    <n v="0"/>
    <n v="1"/>
    <m/>
    <n v="1"/>
    <n v="0"/>
    <n v="0"/>
    <n v="0"/>
    <n v="0"/>
    <n v="0"/>
    <n v="0"/>
    <n v="0"/>
    <n v="0"/>
    <n v="0"/>
    <n v="0"/>
    <n v="0"/>
    <n v="0"/>
    <s v="Fulwell and Hampton Hill"/>
    <m/>
    <m/>
    <m/>
    <m/>
    <x v="1"/>
  </r>
  <r>
    <s v="14/4801/FUL"/>
    <s v="NEW"/>
    <m/>
    <s v="65 Heathside_x000d_Whitton_x000d_Hounslow_x000d_TW4 5NJ"/>
    <s v="Erection of a detached 3 bedroom dwelling with associated landscaping, 2 no. off-street parking spaces and new vehicle crossover."/>
    <d v="2016-09-26T00:00:00"/>
    <d v="2018-08-31T00:00:00"/>
    <x v="0"/>
    <s v="Open Market"/>
    <n v="512996"/>
    <n v="173588"/>
    <m/>
    <n v="0"/>
    <n v="0"/>
    <n v="0"/>
    <n v="0"/>
    <m/>
    <m/>
    <m/>
    <n v="0"/>
    <m/>
    <n v="0"/>
    <n v="0"/>
    <n v="1"/>
    <n v="0"/>
    <m/>
    <m/>
    <m/>
    <n v="1"/>
    <m/>
    <n v="0"/>
    <n v="0"/>
    <n v="1"/>
    <n v="0"/>
    <n v="0"/>
    <n v="0"/>
    <n v="0"/>
    <n v="1"/>
    <m/>
    <n v="1"/>
    <n v="0"/>
    <n v="0"/>
    <n v="0"/>
    <n v="0"/>
    <n v="0"/>
    <n v="0"/>
    <n v="0"/>
    <n v="0"/>
    <n v="0"/>
    <n v="0"/>
    <n v="0"/>
    <n v="0"/>
    <s v="Heathfield"/>
    <m/>
    <m/>
    <m/>
    <m/>
    <x v="1"/>
  </r>
  <r>
    <s v="14/4842/FUL"/>
    <s v="CHU"/>
    <m/>
    <s v="Queens House_x000d_2 Holly Road_x000d_Twickenham"/>
    <s v="Conversion, elevational alterations and infill extension of the existing Queens House building from office (B1) to residential use comprising 10 x 1 bed and 22 x 2 bed flats (100% affordable housing). Demolition of existing 2 storey extension to Queens H"/>
    <d v="2016-06-06T00:00:00"/>
    <d v="2018-09-04T00:00:00"/>
    <x v="0"/>
    <s v="Intermediate"/>
    <n v="516146"/>
    <n v="173335"/>
    <m/>
    <n v="0"/>
    <n v="0"/>
    <n v="0"/>
    <n v="0"/>
    <m/>
    <m/>
    <m/>
    <n v="0"/>
    <m/>
    <n v="11"/>
    <n v="18"/>
    <n v="0"/>
    <n v="0"/>
    <m/>
    <m/>
    <m/>
    <n v="29"/>
    <m/>
    <n v="11"/>
    <n v="18"/>
    <n v="0"/>
    <n v="0"/>
    <n v="0"/>
    <n v="0"/>
    <n v="0"/>
    <n v="29"/>
    <s v="Y"/>
    <n v="29"/>
    <n v="0"/>
    <n v="0"/>
    <n v="0"/>
    <n v="0"/>
    <n v="0"/>
    <n v="0"/>
    <n v="0"/>
    <n v="0"/>
    <n v="0"/>
    <n v="0"/>
    <n v="0"/>
    <n v="0"/>
    <s v="Twickenham Riverside"/>
    <m/>
    <m/>
    <s v="Twickenham"/>
    <m/>
    <x v="0"/>
  </r>
  <r>
    <s v="14/4842/FUL"/>
    <s v="CHU"/>
    <m/>
    <s v="Queens House_x000d_2 Holly Road_x000d_Twickenham"/>
    <s v="Conversion, elevational alterations and infill extension of the existing Queens House building from office (B1) to residential use comprising 10 x 1 bed and 22 x 2 bed flats (100% affordable housing). Demolition of existing 2 storey extension to Queens H"/>
    <d v="2016-06-06T00:00:00"/>
    <d v="2018-09-04T00:00:00"/>
    <x v="0"/>
    <s v="Affordable Rent"/>
    <n v="516146"/>
    <n v="173335"/>
    <m/>
    <n v="0"/>
    <n v="0"/>
    <n v="0"/>
    <n v="0"/>
    <m/>
    <m/>
    <m/>
    <n v="0"/>
    <m/>
    <n v="3"/>
    <n v="13"/>
    <n v="0"/>
    <n v="0"/>
    <m/>
    <m/>
    <m/>
    <n v="16"/>
    <m/>
    <n v="3"/>
    <n v="13"/>
    <n v="0"/>
    <n v="0"/>
    <n v="0"/>
    <n v="0"/>
    <n v="0"/>
    <n v="16"/>
    <s v="Y"/>
    <n v="16"/>
    <n v="0"/>
    <n v="0"/>
    <n v="0"/>
    <n v="0"/>
    <n v="0"/>
    <n v="0"/>
    <n v="0"/>
    <n v="0"/>
    <n v="0"/>
    <n v="0"/>
    <n v="0"/>
    <n v="0"/>
    <s v="Twickenham Riverside"/>
    <m/>
    <m/>
    <s v="Twickenham"/>
    <m/>
    <x v="0"/>
  </r>
  <r>
    <s v="14/5167/FUL"/>
    <s v="NEW"/>
    <m/>
    <s v="24 Denbigh Gardens_x000a_Richmond_x000a_TW10 6EL"/>
    <s v="Demolition of existing house. Erection of a new house with similar footprint and heights"/>
    <d v="2017-03-01T00:00:00"/>
    <d v="2019-03-30T00:00:00"/>
    <x v="0"/>
    <s v="Open Market"/>
    <n v="518835"/>
    <n v="174669"/>
    <m/>
    <n v="0"/>
    <n v="0"/>
    <n v="0"/>
    <n v="1"/>
    <m/>
    <m/>
    <m/>
    <n v="1"/>
    <m/>
    <n v="0"/>
    <n v="0"/>
    <n v="0"/>
    <n v="1"/>
    <m/>
    <m/>
    <m/>
    <n v="1"/>
    <m/>
    <n v="0"/>
    <n v="0"/>
    <n v="0"/>
    <n v="0"/>
    <n v="0"/>
    <n v="0"/>
    <n v="0"/>
    <n v="0"/>
    <m/>
    <n v="0"/>
    <n v="0"/>
    <n v="0"/>
    <n v="0"/>
    <n v="0"/>
    <n v="0"/>
    <n v="0"/>
    <n v="0"/>
    <n v="0"/>
    <n v="0"/>
    <n v="0"/>
    <n v="0"/>
    <n v="0"/>
    <s v="South Richmond"/>
    <m/>
    <m/>
    <m/>
    <m/>
    <x v="0"/>
  </r>
  <r>
    <s v="15/0182/FUL"/>
    <s v="NEW"/>
    <m/>
    <s v="2 Longford Close_x000d_Hampton Hill_x000d_TW12 1AB"/>
    <s v="Extension to the side of the existing building, that will become a new 2 bedroom family dwelling."/>
    <d v="2016-03-14T00:00:00"/>
    <d v="2018-05-10T00:00:00"/>
    <x v="0"/>
    <s v="Open Market"/>
    <n v="513256"/>
    <n v="171788"/>
    <m/>
    <n v="0"/>
    <n v="0"/>
    <n v="0"/>
    <n v="0"/>
    <m/>
    <m/>
    <m/>
    <n v="0"/>
    <m/>
    <n v="0"/>
    <n v="1"/>
    <n v="0"/>
    <n v="0"/>
    <m/>
    <m/>
    <m/>
    <n v="1"/>
    <m/>
    <n v="0"/>
    <n v="1"/>
    <n v="0"/>
    <n v="0"/>
    <n v="0"/>
    <n v="0"/>
    <n v="0"/>
    <n v="1"/>
    <m/>
    <n v="1"/>
    <n v="0"/>
    <n v="0"/>
    <n v="0"/>
    <n v="0"/>
    <n v="0"/>
    <n v="0"/>
    <n v="0"/>
    <n v="0"/>
    <n v="0"/>
    <n v="0"/>
    <n v="0"/>
    <n v="0"/>
    <s v="Hampton North"/>
    <m/>
    <m/>
    <m/>
    <m/>
    <x v="0"/>
  </r>
  <r>
    <s v="15/0429/FUL"/>
    <s v="EXT"/>
    <m/>
    <s v="1 Ham Farm Road_x000d_Ham_x000d_Richmond_x000d_TW10 5ND"/>
    <s v="Ground floor and first floor extension to rear of existing garage to create a self-contained residential unit."/>
    <m/>
    <d v="2018-09-05T00:00:00"/>
    <x v="0"/>
    <s v="Open Market"/>
    <n v="517863"/>
    <n v="171889"/>
    <m/>
    <n v="0"/>
    <n v="0"/>
    <n v="0"/>
    <n v="0"/>
    <m/>
    <m/>
    <m/>
    <n v="0"/>
    <m/>
    <n v="0"/>
    <n v="0"/>
    <n v="1"/>
    <n v="0"/>
    <m/>
    <m/>
    <m/>
    <n v="1"/>
    <m/>
    <n v="0"/>
    <n v="0"/>
    <n v="1"/>
    <n v="0"/>
    <n v="0"/>
    <n v="0"/>
    <n v="0"/>
    <n v="1"/>
    <m/>
    <n v="1"/>
    <n v="0"/>
    <n v="0"/>
    <n v="0"/>
    <n v="0"/>
    <n v="0"/>
    <n v="0"/>
    <n v="0"/>
    <n v="0"/>
    <n v="0"/>
    <n v="0"/>
    <n v="0"/>
    <n v="0"/>
    <s v="Ham, Petersham and Richmond Riverside"/>
    <m/>
    <m/>
    <m/>
    <m/>
    <x v="0"/>
  </r>
  <r>
    <s v="15/0736/FUL"/>
    <s v="CON"/>
    <m/>
    <s v="10A Red Lion Street Richmond TW9 1RW"/>
    <s v="Change of use from a single two bedroom flat on first and second floor to two no. one bedroom flats"/>
    <d v="2018-03-29T00:00:00"/>
    <d v="2019-03-30T00:00:00"/>
    <x v="0"/>
    <s v="Open Market"/>
    <n v="517868"/>
    <n v="174750"/>
    <m/>
    <n v="0"/>
    <n v="1"/>
    <n v="0"/>
    <n v="0"/>
    <m/>
    <m/>
    <m/>
    <n v="1"/>
    <m/>
    <n v="2"/>
    <n v="0"/>
    <n v="0"/>
    <n v="0"/>
    <m/>
    <m/>
    <m/>
    <n v="2"/>
    <m/>
    <n v="2"/>
    <n v="-1"/>
    <n v="0"/>
    <n v="0"/>
    <n v="0"/>
    <n v="0"/>
    <n v="0"/>
    <n v="1"/>
    <m/>
    <n v="1"/>
    <n v="0"/>
    <n v="0"/>
    <n v="0"/>
    <n v="0"/>
    <n v="0"/>
    <n v="0"/>
    <n v="0"/>
    <n v="0"/>
    <n v="0"/>
    <n v="0"/>
    <n v="0"/>
    <n v="0"/>
    <s v="South Richmond"/>
    <m/>
    <m/>
    <s v="Richmond"/>
    <m/>
    <x v="0"/>
  </r>
  <r>
    <s v="15/1135/PS192"/>
    <s v="CHU"/>
    <m/>
    <s v="Ground Floor_x000d_18 Water Lane_x000d_Richmond_x000d_TW9 1TJ"/>
    <s v="Change of use from Office (B1) to residential (C3)."/>
    <m/>
    <d v="2018-07-31T00:00:00"/>
    <x v="0"/>
    <s v="Open Market"/>
    <n v="517679"/>
    <n v="174711"/>
    <m/>
    <n v="0"/>
    <n v="0"/>
    <n v="0"/>
    <n v="0"/>
    <m/>
    <m/>
    <m/>
    <n v="0"/>
    <m/>
    <n v="1"/>
    <n v="0"/>
    <n v="0"/>
    <n v="0"/>
    <m/>
    <m/>
    <m/>
    <n v="1"/>
    <m/>
    <n v="1"/>
    <n v="0"/>
    <n v="0"/>
    <n v="0"/>
    <n v="0"/>
    <n v="0"/>
    <n v="0"/>
    <n v="1"/>
    <m/>
    <n v="1"/>
    <n v="0"/>
    <n v="0"/>
    <n v="0"/>
    <n v="0"/>
    <n v="0"/>
    <n v="0"/>
    <n v="0"/>
    <n v="0"/>
    <n v="0"/>
    <n v="0"/>
    <n v="0"/>
    <n v="0"/>
    <s v="South Richmond"/>
    <m/>
    <m/>
    <s v="Richmond"/>
    <s v="Thames Policy Area"/>
    <x v="0"/>
  </r>
  <r>
    <s v="15/1397/P3JPA"/>
    <s v="CHU"/>
    <s v="PA"/>
    <s v="38-42 Hampton Road_x000d_Teddington_x000d_TW11 0JE"/>
    <s v="Change of use from B1 office use to C3 residential use (17 x 1 bed units (2 person), 10 x 2 bed units (3 person), 8 x 2 bed units (4 person) units (totalling 35 residential units)."/>
    <d v="2017-10-02T00:00:00"/>
    <d v="2018-05-25T00:00:00"/>
    <x v="0"/>
    <s v="Open Market"/>
    <n v="515085"/>
    <n v="171148"/>
    <m/>
    <n v="0"/>
    <n v="0"/>
    <n v="0"/>
    <n v="0"/>
    <m/>
    <m/>
    <m/>
    <n v="0"/>
    <m/>
    <n v="17"/>
    <n v="18"/>
    <n v="0"/>
    <n v="0"/>
    <m/>
    <m/>
    <m/>
    <n v="35"/>
    <m/>
    <n v="17"/>
    <n v="18"/>
    <n v="0"/>
    <n v="0"/>
    <n v="0"/>
    <n v="0"/>
    <n v="0"/>
    <n v="35"/>
    <s v="Y"/>
    <n v="35"/>
    <n v="0"/>
    <n v="0"/>
    <n v="0"/>
    <n v="0"/>
    <n v="0"/>
    <n v="0"/>
    <n v="0"/>
    <n v="0"/>
    <n v="0"/>
    <n v="0"/>
    <n v="0"/>
    <n v="0"/>
    <s v="Fulwell and Hampton Hill"/>
    <m/>
    <m/>
    <m/>
    <m/>
    <x v="0"/>
  </r>
  <r>
    <s v="15/1444/FUL"/>
    <s v="CHU"/>
    <m/>
    <s v="3 - 5 Richmond Hill Richmond"/>
    <s v="The reversion of the interconnected Buildings of Townscape Merit from vacant office premises (Use Class B1: Business) to residential use single-family dwelling (Use Class C3: Dwelling Houses) with external alterations and associated works."/>
    <d v="2014-12-01T00:00:00"/>
    <d v="2018-04-02T00:00:00"/>
    <x v="0"/>
    <s v="Open Market"/>
    <n v="517973"/>
    <n v="174455"/>
    <m/>
    <n v="0"/>
    <n v="0"/>
    <n v="0"/>
    <n v="0"/>
    <m/>
    <m/>
    <m/>
    <n v="0"/>
    <m/>
    <n v="0"/>
    <n v="0"/>
    <n v="0"/>
    <n v="1"/>
    <m/>
    <m/>
    <m/>
    <n v="1"/>
    <m/>
    <n v="0"/>
    <n v="0"/>
    <n v="0"/>
    <n v="1"/>
    <n v="0"/>
    <n v="0"/>
    <n v="0"/>
    <n v="1"/>
    <m/>
    <n v="1"/>
    <n v="0"/>
    <n v="0"/>
    <n v="0"/>
    <n v="0"/>
    <n v="0"/>
    <n v="0"/>
    <n v="0"/>
    <n v="0"/>
    <n v="0"/>
    <n v="0"/>
    <n v="0"/>
    <n v="0"/>
    <s v="Ham, Petersham and Richmond Riverside"/>
    <m/>
    <m/>
    <s v="Richmond"/>
    <m/>
    <x v="0"/>
  </r>
  <r>
    <s v="15/1687/FUL"/>
    <s v="CHU"/>
    <m/>
    <s v="186 Castelnau_x000d_Barnes_x000d_London_x000d_SW13 9DH"/>
    <s v="Change of use for part of the ground floor (A1 use) shop to (C3 use) residential and single storey rear extension to create a new 1 bedroom residential dwelling."/>
    <m/>
    <d v="2018-11-20T00:00:00"/>
    <x v="0"/>
    <s v="Open Market"/>
    <n v="522786"/>
    <n v="177761"/>
    <m/>
    <n v="0"/>
    <n v="0"/>
    <n v="0"/>
    <n v="0"/>
    <m/>
    <m/>
    <m/>
    <n v="0"/>
    <m/>
    <n v="1"/>
    <n v="0"/>
    <n v="0"/>
    <n v="0"/>
    <m/>
    <m/>
    <m/>
    <n v="1"/>
    <m/>
    <n v="1"/>
    <n v="0"/>
    <n v="0"/>
    <n v="0"/>
    <n v="0"/>
    <n v="0"/>
    <n v="0"/>
    <n v="1"/>
    <m/>
    <n v="1"/>
    <n v="0"/>
    <n v="0"/>
    <n v="0"/>
    <n v="0"/>
    <n v="0"/>
    <n v="0"/>
    <n v="0"/>
    <n v="0"/>
    <n v="0"/>
    <n v="0"/>
    <n v="0"/>
    <n v="0"/>
    <s v="Barnes"/>
    <m/>
    <s v="Castelnau"/>
    <m/>
    <m/>
    <x v="0"/>
  </r>
  <r>
    <s v="15/2757/FUL"/>
    <s v="NEW"/>
    <m/>
    <s v="Land Adjacent To 32 Bexhill Road East Sheen"/>
    <s v="Erection of a single two-bedroom house and the demolition of three lock-up garages."/>
    <d v="2018-03-01T00:00:00"/>
    <d v="2018-11-30T00:00:00"/>
    <x v="0"/>
    <s v="Open Market"/>
    <n v="520254"/>
    <n v="175724"/>
    <m/>
    <n v="0"/>
    <n v="0"/>
    <n v="0"/>
    <n v="0"/>
    <m/>
    <m/>
    <m/>
    <n v="0"/>
    <m/>
    <n v="0"/>
    <n v="1"/>
    <n v="0"/>
    <n v="0"/>
    <m/>
    <m/>
    <m/>
    <n v="1"/>
    <m/>
    <n v="0"/>
    <n v="1"/>
    <n v="0"/>
    <n v="0"/>
    <n v="0"/>
    <n v="0"/>
    <n v="0"/>
    <n v="1"/>
    <m/>
    <n v="1"/>
    <n v="0"/>
    <n v="0"/>
    <n v="0"/>
    <n v="0"/>
    <n v="0"/>
    <n v="0"/>
    <n v="0"/>
    <n v="0"/>
    <n v="0"/>
    <n v="0"/>
    <n v="0"/>
    <n v="0"/>
    <s v="East Sheen"/>
    <m/>
    <m/>
    <m/>
    <m/>
    <x v="0"/>
  </r>
  <r>
    <s v="15/3256/GPD15"/>
    <s v="CHU"/>
    <s v="PA"/>
    <s v="1D Becketts Place_x000d_Hampton Wick"/>
    <s v="Change of use of B1 office to C3 residential use of ground and mezzanine floors (2 x 1 bed flats at ground floor level, 1 x 1 bed flat at first floor level)"/>
    <d v="2018-04-14T00:00:00"/>
    <d v="2018-09-24T00:00:00"/>
    <x v="0"/>
    <s v="Open Market"/>
    <n v="517622"/>
    <n v="169605"/>
    <m/>
    <n v="0"/>
    <n v="0"/>
    <n v="0"/>
    <n v="0"/>
    <m/>
    <m/>
    <m/>
    <n v="0"/>
    <m/>
    <n v="3"/>
    <n v="0"/>
    <n v="0"/>
    <n v="0"/>
    <m/>
    <m/>
    <m/>
    <n v="3"/>
    <m/>
    <n v="3"/>
    <n v="0"/>
    <n v="0"/>
    <n v="0"/>
    <n v="0"/>
    <n v="0"/>
    <n v="0"/>
    <n v="3"/>
    <m/>
    <n v="3"/>
    <n v="0"/>
    <n v="0"/>
    <n v="0"/>
    <n v="0"/>
    <n v="0"/>
    <n v="0"/>
    <n v="0"/>
    <n v="0"/>
    <n v="0"/>
    <n v="0"/>
    <n v="0"/>
    <n v="0"/>
    <s v="Hampton Wick"/>
    <m/>
    <s v="Hampton Wick"/>
    <m/>
    <s v="Thames Policy Area"/>
    <x v="0"/>
  </r>
  <r>
    <s v="15/4257/FUL"/>
    <s v="CON"/>
    <m/>
    <s v="13 Rectory Road_x000d_Barnes_x000d_London_x000d_SW13 0DU"/>
    <s v="Re-unification of two flats into a single house."/>
    <d v="2016-02-18T00:00:00"/>
    <d v="2018-12-07T00:00:00"/>
    <x v="0"/>
    <s v="Open Market"/>
    <n v="522332"/>
    <n v="176284"/>
    <m/>
    <n v="1"/>
    <n v="0"/>
    <n v="1"/>
    <n v="0"/>
    <m/>
    <m/>
    <m/>
    <n v="2"/>
    <m/>
    <n v="0"/>
    <n v="0"/>
    <n v="0"/>
    <n v="1"/>
    <m/>
    <m/>
    <m/>
    <n v="1"/>
    <m/>
    <n v="-1"/>
    <n v="0"/>
    <n v="-1"/>
    <n v="1"/>
    <n v="0"/>
    <n v="0"/>
    <n v="0"/>
    <n v="-1"/>
    <m/>
    <n v="-1"/>
    <n v="0"/>
    <n v="0"/>
    <n v="0"/>
    <n v="0"/>
    <n v="0"/>
    <n v="0"/>
    <n v="0"/>
    <n v="0"/>
    <n v="0"/>
    <n v="0"/>
    <n v="0"/>
    <n v="0"/>
    <s v="Barnes"/>
    <m/>
    <m/>
    <m/>
    <m/>
    <x v="0"/>
  </r>
  <r>
    <s v="15/4337/FUL"/>
    <s v="NEW"/>
    <m/>
    <s v="27 Grove Terrace_x000d_Teddington_x000d_TW11 8AU"/>
    <s v="Construction of detached house with amenity space and off street car parking following removal of trees &amp; part removal/ replacement of boundary fence."/>
    <m/>
    <d v="2018-08-31T00:00:00"/>
    <x v="0"/>
    <s v="Open Market"/>
    <n v="516231"/>
    <n v="171721"/>
    <m/>
    <n v="0"/>
    <n v="0"/>
    <n v="0"/>
    <n v="0"/>
    <m/>
    <m/>
    <m/>
    <n v="0"/>
    <m/>
    <n v="1"/>
    <n v="0"/>
    <n v="0"/>
    <n v="0"/>
    <m/>
    <m/>
    <m/>
    <n v="1"/>
    <m/>
    <n v="1"/>
    <n v="0"/>
    <n v="0"/>
    <n v="0"/>
    <n v="0"/>
    <n v="0"/>
    <n v="0"/>
    <n v="1"/>
    <m/>
    <n v="1"/>
    <n v="0"/>
    <n v="0"/>
    <n v="0"/>
    <n v="0"/>
    <n v="0"/>
    <n v="0"/>
    <n v="0"/>
    <n v="0"/>
    <n v="0"/>
    <n v="0"/>
    <n v="0"/>
    <n v="0"/>
    <s v="Teddington"/>
    <m/>
    <m/>
    <m/>
    <m/>
    <x v="1"/>
  </r>
  <r>
    <s v="15/4691/FUL"/>
    <s v="NEW"/>
    <m/>
    <s v="26 Runnymede Road_x000d_Twickenham_x000d_TW2 7HF"/>
    <s v="Demolition of existing single storey dwelling and erection of three new three storey houses, with off street parking."/>
    <d v="2017-02-15T00:00:00"/>
    <d v="2018-04-25T00:00:00"/>
    <x v="0"/>
    <s v="Open Market"/>
    <n v="513852"/>
    <n v="174314"/>
    <m/>
    <n v="0"/>
    <n v="0"/>
    <n v="0"/>
    <n v="1"/>
    <m/>
    <m/>
    <m/>
    <n v="1"/>
    <m/>
    <n v="0"/>
    <n v="0"/>
    <n v="0"/>
    <n v="3"/>
    <m/>
    <m/>
    <m/>
    <n v="3"/>
    <m/>
    <n v="0"/>
    <n v="0"/>
    <n v="0"/>
    <n v="2"/>
    <n v="0"/>
    <n v="0"/>
    <n v="0"/>
    <n v="2"/>
    <m/>
    <n v="2"/>
    <n v="0"/>
    <n v="0"/>
    <n v="0"/>
    <n v="0"/>
    <n v="0"/>
    <n v="0"/>
    <n v="0"/>
    <n v="0"/>
    <n v="0"/>
    <n v="0"/>
    <n v="0"/>
    <n v="0"/>
    <s v="Whitton"/>
    <m/>
    <m/>
    <m/>
    <m/>
    <x v="1"/>
  </r>
  <r>
    <s v="15/4822/FUL"/>
    <s v="CON"/>
    <m/>
    <s v="88 Church Road Barnes SW13 0DQ"/>
    <s v="Conversion of first and second floors into two self-contained flats, new external staircase with refuse storage under and conversion of existing out building for cycle storage."/>
    <d v="2018-03-01T00:00:00"/>
    <d v="2018-12-01T00:00:00"/>
    <x v="0"/>
    <s v="Open Market"/>
    <n v="522318"/>
    <n v="176582"/>
    <m/>
    <n v="0"/>
    <n v="0"/>
    <n v="1"/>
    <n v="0"/>
    <m/>
    <m/>
    <m/>
    <n v="1"/>
    <m/>
    <n v="0"/>
    <n v="2"/>
    <n v="0"/>
    <n v="0"/>
    <m/>
    <m/>
    <m/>
    <n v="2"/>
    <m/>
    <n v="0"/>
    <n v="2"/>
    <n v="-1"/>
    <n v="0"/>
    <n v="0"/>
    <n v="0"/>
    <n v="0"/>
    <n v="1"/>
    <m/>
    <n v="1"/>
    <n v="0"/>
    <n v="0"/>
    <n v="0"/>
    <n v="0"/>
    <n v="0"/>
    <n v="0"/>
    <n v="0"/>
    <n v="0"/>
    <n v="0"/>
    <n v="0"/>
    <n v="0"/>
    <n v="0"/>
    <s v="Barnes"/>
    <m/>
    <s v="Church Road/Castelnau"/>
    <m/>
    <m/>
    <x v="0"/>
  </r>
  <r>
    <s v="15/4878/FUL"/>
    <s v="NEW"/>
    <m/>
    <s v="6 Ham Farm Road_x000a_Ham_x000a_Richmond_x000a_TW10 5LZ"/>
    <s v="Demolition of existing dwelling and detached garage and erection of a 2-storey replacement dwellinghouse and detached carport with altered driveway road access."/>
    <d v="2017-05-22T00:00:00"/>
    <d v="2018-05-18T00:00:00"/>
    <x v="0"/>
    <s v="Open Market"/>
    <n v="518127"/>
    <n v="171610"/>
    <m/>
    <n v="0"/>
    <n v="0"/>
    <n v="0"/>
    <n v="1"/>
    <m/>
    <m/>
    <m/>
    <n v="1"/>
    <m/>
    <n v="0"/>
    <n v="0"/>
    <n v="0"/>
    <n v="1"/>
    <m/>
    <m/>
    <m/>
    <n v="1"/>
    <m/>
    <n v="0"/>
    <n v="0"/>
    <n v="0"/>
    <n v="0"/>
    <n v="0"/>
    <n v="0"/>
    <n v="0"/>
    <n v="0"/>
    <m/>
    <n v="0"/>
    <n v="0"/>
    <n v="0"/>
    <n v="0"/>
    <n v="0"/>
    <n v="0"/>
    <n v="0"/>
    <n v="0"/>
    <n v="0"/>
    <n v="0"/>
    <n v="0"/>
    <n v="0"/>
    <n v="0"/>
    <s v="Ham, Petersham and Richmond Riverside"/>
    <m/>
    <m/>
    <m/>
    <m/>
    <x v="0"/>
  </r>
  <r>
    <s v="16/0046/FUL"/>
    <s v="NEW"/>
    <m/>
    <s v="283 Lonsdale Road_x000d_Barnes_x000d_London_x000d_SW13 9QB"/>
    <s v="Demolition of the existing building and the erection of three x 2 bed dwellings with associated parking, landscaping and basement."/>
    <d v="2017-04-01T00:00:00"/>
    <d v="2019-02-19T00:00:00"/>
    <x v="0"/>
    <s v="Open Market"/>
    <n v="521655"/>
    <n v="176613"/>
    <m/>
    <n v="0"/>
    <n v="0"/>
    <n v="1"/>
    <n v="0"/>
    <m/>
    <m/>
    <m/>
    <n v="1"/>
    <m/>
    <n v="0"/>
    <n v="3"/>
    <n v="0"/>
    <n v="0"/>
    <m/>
    <m/>
    <m/>
    <n v="3"/>
    <m/>
    <n v="0"/>
    <n v="3"/>
    <n v="-1"/>
    <n v="0"/>
    <n v="0"/>
    <n v="0"/>
    <n v="0"/>
    <n v="2"/>
    <m/>
    <n v="2"/>
    <n v="0"/>
    <n v="0"/>
    <n v="0"/>
    <n v="0"/>
    <n v="0"/>
    <n v="0"/>
    <n v="0"/>
    <n v="0"/>
    <n v="0"/>
    <n v="0"/>
    <n v="0"/>
    <n v="0"/>
    <s v="Barnes"/>
    <m/>
    <m/>
    <m/>
    <s v="Thames Policy Area"/>
    <x v="0"/>
  </r>
  <r>
    <s v="16/0279/FUL"/>
    <s v="NEW"/>
    <m/>
    <s v="Wild Thyme_x000a_Eel Pie Island_x000a_Twickenham_x000a_TW1 3DY"/>
    <s v="Demolition of existing single-storey dwelling and creation of new single-storey, single family residential dwelling."/>
    <d v="2017-07-01T00:00:00"/>
    <d v="2019-03-01T00:00:00"/>
    <x v="0"/>
    <s v="Open Market"/>
    <n v="516367"/>
    <n v="173082"/>
    <m/>
    <n v="1"/>
    <n v="0"/>
    <n v="0"/>
    <n v="0"/>
    <m/>
    <m/>
    <m/>
    <n v="1"/>
    <m/>
    <n v="0"/>
    <n v="0"/>
    <n v="1"/>
    <n v="0"/>
    <m/>
    <m/>
    <m/>
    <n v="1"/>
    <m/>
    <n v="-1"/>
    <n v="0"/>
    <n v="1"/>
    <n v="0"/>
    <n v="0"/>
    <n v="0"/>
    <n v="0"/>
    <n v="0"/>
    <m/>
    <n v="0"/>
    <n v="0"/>
    <n v="0"/>
    <n v="0"/>
    <n v="0"/>
    <n v="0"/>
    <n v="0"/>
    <n v="0"/>
    <n v="0"/>
    <n v="0"/>
    <n v="0"/>
    <n v="0"/>
    <n v="0"/>
    <s v="Twickenham Riverside"/>
    <m/>
    <m/>
    <m/>
    <s v="Thames Policy Area"/>
    <x v="0"/>
  </r>
  <r>
    <s v="16/0400/FUL"/>
    <s v="CON"/>
    <m/>
    <s v="16A Red Lion Street_x000d_Richmond_x000d_TW9 1RW"/>
    <s v="Subdivision of existing flat to create an additional residential unit. Infill of light well on first and second floors."/>
    <d v="2017-01-19T00:00:00"/>
    <d v="2018-06-29T00:00:00"/>
    <x v="0"/>
    <s v="Open Market"/>
    <n v="517884"/>
    <n v="174754"/>
    <m/>
    <n v="0"/>
    <n v="0"/>
    <n v="1"/>
    <n v="0"/>
    <m/>
    <m/>
    <m/>
    <n v="1"/>
    <m/>
    <n v="2"/>
    <n v="0"/>
    <n v="0"/>
    <n v="0"/>
    <m/>
    <m/>
    <m/>
    <n v="2"/>
    <m/>
    <n v="2"/>
    <n v="0"/>
    <n v="-1"/>
    <n v="0"/>
    <n v="0"/>
    <n v="0"/>
    <n v="0"/>
    <n v="1"/>
    <m/>
    <n v="1"/>
    <n v="0"/>
    <n v="0"/>
    <n v="0"/>
    <n v="0"/>
    <n v="0"/>
    <n v="0"/>
    <n v="0"/>
    <n v="0"/>
    <n v="0"/>
    <n v="0"/>
    <n v="0"/>
    <n v="0"/>
    <s v="South Richmond"/>
    <m/>
    <m/>
    <s v="Richmond"/>
    <m/>
    <x v="0"/>
  </r>
  <r>
    <s v="16/0401/FUL"/>
    <s v="CON"/>
    <m/>
    <s v="18A Red Lion Street_x000d_Richmond"/>
    <s v="Subdivision of existing flat to create an additional unit at same time as filling in the light well on first and second floors."/>
    <d v="2017-01-19T00:00:00"/>
    <d v="2018-06-29T00:00:00"/>
    <x v="0"/>
    <s v="Open Market"/>
    <n v="517889"/>
    <n v="174757"/>
    <m/>
    <n v="0"/>
    <n v="0"/>
    <n v="1"/>
    <n v="0"/>
    <m/>
    <m/>
    <m/>
    <n v="1"/>
    <m/>
    <n v="2"/>
    <n v="0"/>
    <n v="0"/>
    <n v="0"/>
    <m/>
    <m/>
    <m/>
    <n v="2"/>
    <m/>
    <n v="2"/>
    <n v="0"/>
    <n v="-1"/>
    <n v="0"/>
    <n v="0"/>
    <n v="0"/>
    <n v="0"/>
    <n v="1"/>
    <m/>
    <n v="1"/>
    <n v="0"/>
    <n v="0"/>
    <n v="0"/>
    <n v="0"/>
    <n v="0"/>
    <n v="0"/>
    <n v="0"/>
    <n v="0"/>
    <n v="0"/>
    <n v="0"/>
    <n v="0"/>
    <n v="0"/>
    <s v="South Richmond"/>
    <m/>
    <m/>
    <s v="Richmond"/>
    <m/>
    <x v="0"/>
  </r>
  <r>
    <s v="16/0537/FUL"/>
    <s v="NEW"/>
    <m/>
    <s v="51A Third Cross Road_x000d_Twickenham_x000d_TW2 5DY"/>
    <s v="Replacement of existing single storey dwelling house with new two storey dwellinghouse."/>
    <m/>
    <d v="2018-08-31T00:00:00"/>
    <x v="0"/>
    <s v="Open Market"/>
    <n v="514973"/>
    <n v="172813"/>
    <m/>
    <n v="1"/>
    <n v="0"/>
    <n v="0"/>
    <n v="0"/>
    <m/>
    <m/>
    <m/>
    <n v="1"/>
    <m/>
    <n v="1"/>
    <n v="0"/>
    <n v="0"/>
    <n v="0"/>
    <m/>
    <m/>
    <m/>
    <n v="1"/>
    <m/>
    <n v="0"/>
    <n v="0"/>
    <n v="0"/>
    <n v="0"/>
    <n v="0"/>
    <n v="0"/>
    <n v="0"/>
    <n v="0"/>
    <m/>
    <n v="0"/>
    <n v="0"/>
    <n v="0"/>
    <n v="0"/>
    <n v="0"/>
    <n v="0"/>
    <n v="0"/>
    <n v="0"/>
    <n v="0"/>
    <n v="0"/>
    <n v="0"/>
    <n v="0"/>
    <n v="0"/>
    <s v="West Twickenham"/>
    <m/>
    <m/>
    <m/>
    <m/>
    <x v="0"/>
  </r>
  <r>
    <s v="16/0553/FUL"/>
    <s v="CON"/>
    <m/>
    <s v="56A High Street_x000a_Hampton Hill_x000a_TW12 1PD"/>
    <s v="Rear dormer and conversion of existing flat into 2x2 bedroom flats with a roof terrace and 2 roof lights and sun pipes on the outrigger."/>
    <m/>
    <d v="2018-12-01T00:00:00"/>
    <x v="0"/>
    <s v="Open Market"/>
    <n v="514372"/>
    <n v="170959"/>
    <m/>
    <n v="0"/>
    <n v="0"/>
    <n v="0"/>
    <n v="1"/>
    <m/>
    <m/>
    <m/>
    <n v="1"/>
    <m/>
    <n v="0"/>
    <n v="2"/>
    <n v="0"/>
    <n v="0"/>
    <m/>
    <m/>
    <m/>
    <n v="2"/>
    <m/>
    <n v="0"/>
    <n v="2"/>
    <n v="0"/>
    <n v="-1"/>
    <n v="0"/>
    <n v="0"/>
    <n v="0"/>
    <n v="1"/>
    <m/>
    <n v="1"/>
    <n v="0"/>
    <n v="0"/>
    <n v="0"/>
    <n v="0"/>
    <n v="0"/>
    <n v="0"/>
    <n v="0"/>
    <n v="0"/>
    <n v="0"/>
    <n v="0"/>
    <n v="0"/>
    <n v="0"/>
    <s v="Fulwell and Hampton Hill"/>
    <m/>
    <s v="High Street"/>
    <m/>
    <m/>
    <x v="0"/>
  </r>
  <r>
    <s v="16/0602/FUL"/>
    <s v="CHU"/>
    <m/>
    <s v="The Idle Hour _x000d_62 Railway Side_x000d_Barnes_x000d_London_x000d_SW13 0PQ"/>
    <s v="Extension and conversion of existing pub and three-bedroom flat to create a two-bedroom house and two two-bedroom flats."/>
    <d v="2017-05-15T00:00:00"/>
    <d v="2018-05-31T00:00:00"/>
    <x v="0"/>
    <s v="Open Market"/>
    <n v="521683"/>
    <n v="175950"/>
    <m/>
    <n v="0"/>
    <n v="0"/>
    <n v="1"/>
    <n v="0"/>
    <m/>
    <m/>
    <m/>
    <n v="1"/>
    <m/>
    <n v="0"/>
    <n v="3"/>
    <n v="0"/>
    <n v="0"/>
    <m/>
    <m/>
    <m/>
    <n v="3"/>
    <m/>
    <n v="0"/>
    <n v="3"/>
    <n v="-1"/>
    <n v="0"/>
    <n v="0"/>
    <n v="0"/>
    <n v="0"/>
    <n v="2"/>
    <m/>
    <n v="2"/>
    <n v="0"/>
    <n v="0"/>
    <n v="0"/>
    <n v="0"/>
    <n v="0"/>
    <n v="0"/>
    <n v="0"/>
    <n v="0"/>
    <n v="0"/>
    <n v="0"/>
    <n v="0"/>
    <n v="0"/>
    <s v="Mortlake and Barnes Common"/>
    <m/>
    <m/>
    <m/>
    <m/>
    <x v="0"/>
  </r>
  <r>
    <s v="16/0693/FUL"/>
    <s v="CON"/>
    <m/>
    <s v="25 School House Lane_x000d_Teddington_x000d_TW11 9DP"/>
    <s v="Conversion of one dwelling into two new homes. Retention of and alteration to openings in the front façade with an additional front entrance. part single, part two storey extension to the rear. Internal works throughout to create new layout"/>
    <m/>
    <d v="2018-04-18T00:00:00"/>
    <x v="0"/>
    <s v="Open Market"/>
    <n v="517058"/>
    <n v="170060"/>
    <m/>
    <n v="0"/>
    <n v="0"/>
    <n v="0"/>
    <n v="1"/>
    <m/>
    <m/>
    <m/>
    <n v="1"/>
    <m/>
    <n v="0"/>
    <n v="2"/>
    <n v="0"/>
    <n v="0"/>
    <m/>
    <m/>
    <m/>
    <n v="2"/>
    <m/>
    <n v="0"/>
    <n v="2"/>
    <n v="0"/>
    <n v="-1"/>
    <n v="0"/>
    <n v="0"/>
    <n v="0"/>
    <n v="1"/>
    <m/>
    <n v="1"/>
    <n v="0"/>
    <n v="0"/>
    <n v="0"/>
    <n v="0"/>
    <n v="0"/>
    <n v="0"/>
    <n v="0"/>
    <n v="0"/>
    <n v="0"/>
    <n v="0"/>
    <n v="0"/>
    <n v="0"/>
    <s v="Hampton Wick"/>
    <m/>
    <m/>
    <m/>
    <m/>
    <x v="0"/>
  </r>
  <r>
    <s v="16/0726/FUL"/>
    <s v="CON"/>
    <m/>
    <s v="5 St Johns Road_x000d_Richmond_x000d_TW9 2PE"/>
    <s v="Change of use from a basement flat and a maisonette to a single dwelling, with minor alterations."/>
    <m/>
    <d v="2018-06-30T00:00:00"/>
    <x v="0"/>
    <s v="Open Market"/>
    <n v="518202"/>
    <n v="175297"/>
    <m/>
    <n v="1"/>
    <n v="0"/>
    <n v="0"/>
    <n v="1"/>
    <m/>
    <m/>
    <m/>
    <n v="2"/>
    <m/>
    <n v="0"/>
    <n v="0"/>
    <n v="0"/>
    <n v="1"/>
    <m/>
    <m/>
    <m/>
    <n v="1"/>
    <m/>
    <n v="-1"/>
    <n v="0"/>
    <n v="0"/>
    <n v="0"/>
    <n v="0"/>
    <n v="0"/>
    <n v="0"/>
    <n v="-1"/>
    <m/>
    <n v="-1"/>
    <n v="0"/>
    <n v="0"/>
    <n v="0"/>
    <n v="0"/>
    <n v="0"/>
    <n v="0"/>
    <n v="0"/>
    <n v="0"/>
    <n v="0"/>
    <n v="0"/>
    <n v="0"/>
    <n v="0"/>
    <s v="North Richmond"/>
    <m/>
    <m/>
    <s v="Richmond"/>
    <m/>
    <x v="0"/>
  </r>
  <r>
    <s v="16/0775/FUL"/>
    <s v="CON"/>
    <m/>
    <s v="The Chaplains House_x000a_164 Sheen Road_x000a_Richmond_x000a_TW9 1XD"/>
    <s v="Conversion of existing house to 1 x 1 bed and 1 x 3 bed flats."/>
    <m/>
    <d v="2018-04-01T00:00:00"/>
    <x v="0"/>
    <s v="Open Market"/>
    <n v="518893"/>
    <n v="175056"/>
    <m/>
    <n v="0"/>
    <n v="0"/>
    <n v="0"/>
    <n v="1"/>
    <m/>
    <m/>
    <m/>
    <n v="1"/>
    <m/>
    <n v="1"/>
    <n v="0"/>
    <n v="1"/>
    <n v="0"/>
    <m/>
    <m/>
    <m/>
    <n v="2"/>
    <m/>
    <n v="1"/>
    <n v="0"/>
    <n v="1"/>
    <n v="-1"/>
    <n v="0"/>
    <n v="0"/>
    <n v="0"/>
    <n v="1"/>
    <m/>
    <n v="1"/>
    <n v="0"/>
    <n v="0"/>
    <n v="0"/>
    <n v="0"/>
    <n v="0"/>
    <n v="0"/>
    <n v="0"/>
    <n v="0"/>
    <n v="0"/>
    <n v="0"/>
    <n v="0"/>
    <n v="0"/>
    <s v="North Richmond"/>
    <m/>
    <m/>
    <m/>
    <m/>
    <x v="0"/>
  </r>
  <r>
    <s v="16/0966/GPD15"/>
    <s v="CHU"/>
    <s v="PA"/>
    <s v="Sheen Stables Rear Of 119_x000d_Sheen Lane_x000d_East Sheen_x000d_London_x000d_SW14 8AE"/>
    <s v="Change of use from 5 no. offices (B1a use) to 2 no. residential houses (C3 use)."/>
    <d v="2017-10-01T00:00:00"/>
    <d v="2018-10-15T00:00:00"/>
    <x v="0"/>
    <s v="Open Market"/>
    <n v="520522"/>
    <n v="175477"/>
    <m/>
    <n v="0"/>
    <n v="0"/>
    <n v="0"/>
    <n v="0"/>
    <m/>
    <m/>
    <m/>
    <n v="0"/>
    <m/>
    <n v="2"/>
    <n v="0"/>
    <n v="0"/>
    <n v="0"/>
    <m/>
    <m/>
    <m/>
    <n v="2"/>
    <m/>
    <n v="2"/>
    <n v="0"/>
    <n v="0"/>
    <n v="0"/>
    <n v="0"/>
    <n v="0"/>
    <n v="0"/>
    <n v="2"/>
    <m/>
    <n v="2"/>
    <n v="0"/>
    <n v="0"/>
    <n v="0"/>
    <n v="0"/>
    <n v="0"/>
    <n v="0"/>
    <n v="0"/>
    <n v="0"/>
    <n v="0"/>
    <n v="0"/>
    <n v="0"/>
    <n v="0"/>
    <s v="East Sheen"/>
    <m/>
    <m/>
    <s v="East Sheen"/>
    <m/>
    <x v="0"/>
  </r>
  <r>
    <s v="16/1344/FUL"/>
    <s v="CHU"/>
    <m/>
    <s v="208 - 210 Amyand Park Road_x000d_Twickenham_x000d_TW1 3HY"/>
    <s v="Conversion works to lower ground floor to provide 1No 1-bedroom flat and basement storage for use ancillary to upper ground floor minicab offices.  Conversion of first floor to 2No. 1-bedroom flats (including conversion of part upper ground floor to prov"/>
    <d v="2018-01-08T00:00:00"/>
    <d v="2018-05-01T00:00:00"/>
    <x v="0"/>
    <s v="Open Market"/>
    <n v="516815"/>
    <n v="174220"/>
    <m/>
    <n v="0"/>
    <n v="0"/>
    <n v="0"/>
    <n v="0"/>
    <m/>
    <m/>
    <m/>
    <n v="0"/>
    <m/>
    <n v="3"/>
    <n v="0"/>
    <n v="0"/>
    <n v="0"/>
    <m/>
    <m/>
    <m/>
    <n v="3"/>
    <m/>
    <n v="3"/>
    <n v="0"/>
    <n v="0"/>
    <n v="0"/>
    <n v="0"/>
    <n v="0"/>
    <n v="0"/>
    <n v="3"/>
    <m/>
    <n v="3"/>
    <n v="0"/>
    <n v="0"/>
    <n v="0"/>
    <n v="0"/>
    <n v="0"/>
    <n v="0"/>
    <n v="0"/>
    <n v="0"/>
    <n v="0"/>
    <n v="0"/>
    <n v="0"/>
    <n v="0"/>
    <s v="St. Margarets and North Twickenham"/>
    <m/>
    <s v="St Margarets"/>
    <m/>
    <m/>
    <x v="0"/>
  </r>
  <r>
    <s v="16/1537/FUL"/>
    <s v="CON"/>
    <m/>
    <s v="85 Station Road_x000d_Hampton_x000d_TW12 2BJ"/>
    <s v="Convert the house into two family dwellings."/>
    <m/>
    <d v="2018-08-01T00:00:00"/>
    <x v="0"/>
    <s v="Open Market"/>
    <n v="513716"/>
    <n v="169674"/>
    <m/>
    <n v="0"/>
    <n v="0"/>
    <n v="0"/>
    <n v="1"/>
    <m/>
    <m/>
    <m/>
    <n v="1"/>
    <m/>
    <n v="0"/>
    <n v="1"/>
    <n v="1"/>
    <n v="0"/>
    <m/>
    <m/>
    <m/>
    <n v="2"/>
    <m/>
    <n v="0"/>
    <n v="1"/>
    <n v="1"/>
    <n v="-1"/>
    <n v="0"/>
    <n v="0"/>
    <n v="0"/>
    <n v="1"/>
    <m/>
    <n v="1"/>
    <n v="0"/>
    <n v="0"/>
    <n v="0"/>
    <n v="0"/>
    <n v="0"/>
    <n v="0"/>
    <n v="0"/>
    <n v="0"/>
    <n v="0"/>
    <n v="0"/>
    <n v="0"/>
    <n v="0"/>
    <s v="Hampton"/>
    <m/>
    <s v="Station Road"/>
    <m/>
    <m/>
    <x v="0"/>
  </r>
  <r>
    <s v="16/1624/FUL"/>
    <s v="CON"/>
    <m/>
    <s v="18 Cambrian Road_x000d_Richmond_x000d_TW10 6JQ"/>
    <s v="Conversion of the existing house into 2No. self-contained split level maisonettes. Installation of solar photovoltaic panels to the rear roofslope and storage enclosure to front garden."/>
    <d v="2017-05-01T00:00:00"/>
    <d v="2018-04-03T00:00:00"/>
    <x v="0"/>
    <s v="Open Market"/>
    <n v="518724"/>
    <n v="174102"/>
    <m/>
    <n v="0"/>
    <n v="0"/>
    <n v="0"/>
    <n v="1"/>
    <m/>
    <m/>
    <m/>
    <n v="1"/>
    <m/>
    <n v="0"/>
    <n v="2"/>
    <n v="0"/>
    <n v="0"/>
    <m/>
    <m/>
    <m/>
    <n v="2"/>
    <m/>
    <n v="0"/>
    <n v="2"/>
    <n v="0"/>
    <n v="-1"/>
    <n v="0"/>
    <n v="0"/>
    <n v="0"/>
    <n v="1"/>
    <m/>
    <n v="1"/>
    <n v="0"/>
    <n v="0"/>
    <n v="0"/>
    <n v="0"/>
    <n v="0"/>
    <n v="0"/>
    <n v="0"/>
    <n v="0"/>
    <n v="0"/>
    <n v="0"/>
    <n v="0"/>
    <n v="0"/>
    <s v="South Richmond"/>
    <m/>
    <m/>
    <m/>
    <m/>
    <x v="0"/>
  </r>
  <r>
    <s v="16/1891/FUL"/>
    <s v="NEW"/>
    <m/>
    <s v="14A St Peters Road_x000d_Twickenham_x000d_TW1 1QX"/>
    <s v="Demolition of existing dwelling and erection of a two storey replacement dwellinghouse."/>
    <m/>
    <d v="2018-07-02T00:00:00"/>
    <x v="0"/>
    <s v="Open Market"/>
    <n v="516971"/>
    <n v="174886"/>
    <m/>
    <n v="0"/>
    <n v="0"/>
    <n v="0"/>
    <n v="0"/>
    <n v="1"/>
    <m/>
    <m/>
    <n v="1"/>
    <m/>
    <n v="0"/>
    <n v="0"/>
    <n v="1"/>
    <n v="0"/>
    <m/>
    <m/>
    <m/>
    <n v="1"/>
    <m/>
    <n v="0"/>
    <n v="0"/>
    <n v="1"/>
    <n v="0"/>
    <n v="-1"/>
    <n v="0"/>
    <n v="0"/>
    <n v="0"/>
    <m/>
    <n v="0"/>
    <n v="0"/>
    <n v="0"/>
    <n v="0"/>
    <n v="0"/>
    <n v="0"/>
    <n v="0"/>
    <n v="0"/>
    <n v="0"/>
    <n v="0"/>
    <n v="0"/>
    <n v="0"/>
    <n v="0"/>
    <s v="St. Margarets and North Twickenham"/>
    <m/>
    <m/>
    <m/>
    <s v="Thames Policy Area"/>
    <x v="0"/>
  </r>
  <r>
    <s v="16/1900/FUL"/>
    <s v="CHU"/>
    <m/>
    <s v="Former St Johns Hospital Amyand Park Road And Newland House Oak Lane Twickenham"/>
    <s v="Formation of two 2-bed flats through a change of use at first floor level; together with alterations to the elevations comprising the provision of two conservation-style roof lights and one inset roof terrace; and the provision of four cycle spaces and r"/>
    <d v="2018-09-03T00:00:00"/>
    <d v="2018-12-03T00:00:00"/>
    <x v="0"/>
    <s v="Open Market"/>
    <n v="516408"/>
    <n v="173636"/>
    <m/>
    <n v="0"/>
    <n v="0"/>
    <n v="0"/>
    <n v="0"/>
    <m/>
    <m/>
    <m/>
    <n v="0"/>
    <m/>
    <n v="0"/>
    <n v="2"/>
    <n v="0"/>
    <n v="0"/>
    <m/>
    <m/>
    <m/>
    <n v="2"/>
    <m/>
    <n v="0"/>
    <n v="2"/>
    <n v="0"/>
    <n v="0"/>
    <n v="0"/>
    <n v="0"/>
    <n v="0"/>
    <n v="2"/>
    <m/>
    <n v="2"/>
    <n v="0"/>
    <n v="0"/>
    <n v="0"/>
    <n v="0"/>
    <n v="0"/>
    <n v="0"/>
    <n v="0"/>
    <n v="0"/>
    <n v="0"/>
    <n v="0"/>
    <n v="0"/>
    <n v="0"/>
    <s v="Twickenham Riverside"/>
    <m/>
    <m/>
    <m/>
    <m/>
    <x v="0"/>
  </r>
  <r>
    <s v="16/2006/FUL"/>
    <s v="NEW"/>
    <m/>
    <s v="15 High Street Hampton Hill TW12 1NB"/>
    <s v="Erection of 3 No. 3 bedroom terraced houses with associated parking and landscaping."/>
    <d v="2018-05-01T00:00:00"/>
    <d v="2019-03-30T00:00:00"/>
    <x v="0"/>
    <s v="Open Market"/>
    <n v="514188"/>
    <n v="170597"/>
    <m/>
    <n v="0"/>
    <n v="0"/>
    <n v="0"/>
    <n v="0"/>
    <m/>
    <m/>
    <m/>
    <n v="0"/>
    <m/>
    <n v="0"/>
    <n v="0"/>
    <n v="3"/>
    <n v="0"/>
    <m/>
    <m/>
    <m/>
    <n v="3"/>
    <m/>
    <n v="0"/>
    <n v="0"/>
    <n v="3"/>
    <n v="0"/>
    <n v="0"/>
    <n v="0"/>
    <n v="0"/>
    <n v="3"/>
    <m/>
    <n v="3"/>
    <n v="0"/>
    <n v="0"/>
    <n v="0"/>
    <n v="0"/>
    <n v="0"/>
    <n v="0"/>
    <n v="0"/>
    <n v="0"/>
    <n v="0"/>
    <n v="0"/>
    <n v="0"/>
    <n v="0"/>
    <s v="Fulwell and Hampton Hill"/>
    <m/>
    <s v="High Street"/>
    <m/>
    <m/>
    <x v="0"/>
  </r>
  <r>
    <s v="16/2032/FUL"/>
    <s v="NEW"/>
    <m/>
    <s v="188 Amyand Park Road_x000d_Twickenham_x000d_TW1 3HY"/>
    <s v="Demolition of existing building. Erection of 2x terraced town houses (1 x 3 bed and 1 x 5 bed) with associated bin store and rear car parking area with 2x turntables. Demolition of the garage to the rear of property on Bridle Lane and the construction of"/>
    <d v="2016-06-15T00:00:00"/>
    <d v="2018-08-01T00:00:00"/>
    <x v="0"/>
    <s v="Open Market"/>
    <n v="516738"/>
    <n v="174132"/>
    <m/>
    <n v="0"/>
    <n v="0"/>
    <n v="0"/>
    <n v="1"/>
    <m/>
    <m/>
    <m/>
    <n v="1"/>
    <m/>
    <n v="0"/>
    <n v="0"/>
    <n v="1"/>
    <n v="1"/>
    <m/>
    <m/>
    <m/>
    <n v="2"/>
    <m/>
    <n v="0"/>
    <n v="0"/>
    <n v="1"/>
    <n v="0"/>
    <n v="0"/>
    <n v="0"/>
    <n v="0"/>
    <n v="1"/>
    <m/>
    <n v="1"/>
    <n v="0"/>
    <n v="0"/>
    <n v="0"/>
    <n v="0"/>
    <n v="0"/>
    <n v="0"/>
    <n v="0"/>
    <n v="0"/>
    <n v="0"/>
    <n v="0"/>
    <n v="0"/>
    <n v="0"/>
    <s v="St. Margarets and North Twickenham"/>
    <m/>
    <m/>
    <m/>
    <m/>
    <x v="0"/>
  </r>
  <r>
    <s v="16/2151/FUL"/>
    <s v="CHU"/>
    <m/>
    <s v="Basement Flat_x000d_57 Church Road_x000d_Richmond_x000d_TW10 6LX"/>
    <s v="Change of use from current use by the Labour Party (D2) to use as a residential dwelling (C3) and rear extension."/>
    <d v="2018-02-01T00:00:00"/>
    <d v="2019-03-27T00:00:00"/>
    <x v="0"/>
    <s v="Open Market"/>
    <n v="518356"/>
    <n v="174881"/>
    <m/>
    <n v="0"/>
    <n v="0"/>
    <n v="0"/>
    <n v="0"/>
    <m/>
    <m/>
    <m/>
    <n v="0"/>
    <m/>
    <n v="0"/>
    <n v="0"/>
    <n v="1"/>
    <n v="0"/>
    <m/>
    <m/>
    <m/>
    <n v="1"/>
    <m/>
    <n v="0"/>
    <n v="0"/>
    <n v="1"/>
    <n v="0"/>
    <n v="0"/>
    <n v="0"/>
    <n v="0"/>
    <n v="1"/>
    <m/>
    <n v="1"/>
    <n v="0"/>
    <n v="0"/>
    <n v="0"/>
    <n v="0"/>
    <n v="0"/>
    <n v="0"/>
    <n v="0"/>
    <n v="0"/>
    <n v="0"/>
    <n v="0"/>
    <n v="0"/>
    <n v="0"/>
    <s v="South Richmond"/>
    <m/>
    <m/>
    <m/>
    <m/>
    <x v="0"/>
  </r>
  <r>
    <s v="16/2259/FUL"/>
    <s v="CHU"/>
    <m/>
    <s v="1 Hill Rise Richmond"/>
    <s v="Application for change of use from C4 Residential to B1 (a) office."/>
    <m/>
    <d v="2019-02-01T00:00:00"/>
    <x v="0"/>
    <s v="Open Market"/>
    <n v="517817"/>
    <n v="174592"/>
    <m/>
    <n v="1"/>
    <n v="0"/>
    <n v="0"/>
    <n v="0"/>
    <m/>
    <m/>
    <m/>
    <n v="1"/>
    <m/>
    <n v="0"/>
    <n v="0"/>
    <n v="0"/>
    <n v="0"/>
    <m/>
    <m/>
    <m/>
    <n v="0"/>
    <m/>
    <n v="-1"/>
    <n v="0"/>
    <n v="0"/>
    <n v="0"/>
    <n v="0"/>
    <n v="0"/>
    <n v="0"/>
    <n v="-1"/>
    <m/>
    <n v="-1"/>
    <n v="0"/>
    <n v="0"/>
    <n v="0"/>
    <n v="0"/>
    <n v="0"/>
    <n v="0"/>
    <n v="0"/>
    <n v="0"/>
    <n v="0"/>
    <n v="0"/>
    <n v="0"/>
    <n v="0"/>
    <s v="South Richmond"/>
    <m/>
    <m/>
    <s v="Richmond"/>
    <s v="Thames Policy Area"/>
    <x v="0"/>
  </r>
  <r>
    <s v="16/2489/FUL"/>
    <s v="EXT"/>
    <m/>
    <s v="34 - 40 The Quadrant_x000d_Richmond"/>
    <s v="Erection of an extension to the third storey of an existing residential building to provide 2 no. (2 x one-bedroom) flats including roof terrace."/>
    <d v="2017-11-01T00:00:00"/>
    <d v="2018-08-31T00:00:00"/>
    <x v="0"/>
    <s v="Open Market"/>
    <n v="518013"/>
    <n v="175053"/>
    <m/>
    <n v="0"/>
    <n v="0"/>
    <n v="0"/>
    <n v="0"/>
    <m/>
    <m/>
    <m/>
    <n v="0"/>
    <m/>
    <n v="2"/>
    <n v="0"/>
    <n v="0"/>
    <n v="0"/>
    <m/>
    <m/>
    <m/>
    <n v="2"/>
    <m/>
    <n v="2"/>
    <n v="0"/>
    <n v="0"/>
    <n v="0"/>
    <n v="0"/>
    <n v="0"/>
    <n v="0"/>
    <n v="2"/>
    <m/>
    <n v="2"/>
    <n v="0"/>
    <n v="0"/>
    <n v="0"/>
    <n v="0"/>
    <n v="0"/>
    <n v="0"/>
    <n v="0"/>
    <n v="0"/>
    <n v="0"/>
    <n v="0"/>
    <n v="0"/>
    <n v="0"/>
    <s v="South Richmond"/>
    <m/>
    <m/>
    <s v="Richmond"/>
    <m/>
    <x v="0"/>
  </r>
  <r>
    <s v="16/2642/FUL"/>
    <s v="NEW"/>
    <m/>
    <s v="Garages Rear Of Salliesfield_x000d_Kneller Road_x000d_Twickenham"/>
    <s v="Demolition of existing garages for development of 4 no. residential units (3 no. 1 bed and 1 no. 2 bed units) and associated parking, cycle and refuse store, hard and soft landscaping.  Resiting of existing refuse store/area serving Salliesfield developm"/>
    <m/>
    <d v="2018-06-30T00:00:00"/>
    <x v="0"/>
    <s v="Open Market"/>
    <n v="514815"/>
    <n v="173985"/>
    <m/>
    <n v="0"/>
    <n v="0"/>
    <n v="0"/>
    <n v="0"/>
    <m/>
    <m/>
    <m/>
    <n v="0"/>
    <m/>
    <n v="3"/>
    <n v="1"/>
    <n v="0"/>
    <n v="0"/>
    <m/>
    <m/>
    <m/>
    <n v="4"/>
    <m/>
    <n v="3"/>
    <n v="1"/>
    <n v="0"/>
    <n v="0"/>
    <n v="0"/>
    <n v="0"/>
    <n v="0"/>
    <n v="4"/>
    <m/>
    <n v="4"/>
    <n v="0"/>
    <n v="0"/>
    <n v="0"/>
    <n v="0"/>
    <n v="0"/>
    <n v="0"/>
    <n v="0"/>
    <n v="0"/>
    <n v="0"/>
    <n v="0"/>
    <n v="0"/>
    <n v="0"/>
    <s v="Whitton"/>
    <m/>
    <m/>
    <m/>
    <m/>
    <x v="0"/>
  </r>
  <r>
    <s v="16/2959/FUL"/>
    <s v="NEW"/>
    <m/>
    <s v="Prince House_x000d_116 High Street_x000d_Hampton Hill"/>
    <s v="Erection of a single storey two bedroom house, with associated parking and amenity space."/>
    <d v="2017-11-01T00:00:00"/>
    <d v="2019-02-15T00:00:00"/>
    <x v="0"/>
    <s v="Open Market"/>
    <n v="514512"/>
    <n v="171251"/>
    <m/>
    <n v="0"/>
    <n v="0"/>
    <n v="0"/>
    <n v="0"/>
    <m/>
    <m/>
    <m/>
    <n v="0"/>
    <m/>
    <n v="0"/>
    <n v="1"/>
    <n v="0"/>
    <n v="0"/>
    <m/>
    <m/>
    <m/>
    <n v="1"/>
    <m/>
    <n v="0"/>
    <n v="1"/>
    <n v="0"/>
    <n v="0"/>
    <n v="0"/>
    <n v="0"/>
    <n v="0"/>
    <n v="1"/>
    <m/>
    <n v="1"/>
    <n v="0"/>
    <n v="0"/>
    <n v="0"/>
    <n v="0"/>
    <n v="0"/>
    <n v="0"/>
    <n v="0"/>
    <n v="0"/>
    <n v="0"/>
    <n v="0"/>
    <n v="0"/>
    <n v="0"/>
    <s v="Fulwell and Hampton Hill"/>
    <m/>
    <s v="High Street"/>
    <m/>
    <m/>
    <x v="0"/>
  </r>
  <r>
    <s v="16/3019/FUL"/>
    <s v="NEW"/>
    <m/>
    <s v="9 Tudor Road And_x000d_27 Milton Road_x000d_Hampton"/>
    <s v="Redevelopment of the site to provide seven houses, associated landscaping and parking following the demolition of all existing buildings."/>
    <d v="2017-10-02T00:00:00"/>
    <d v="2018-09-28T00:00:00"/>
    <x v="0"/>
    <s v="Open Market"/>
    <n v="513405"/>
    <n v="170033"/>
    <m/>
    <n v="0"/>
    <n v="0"/>
    <n v="1"/>
    <n v="0"/>
    <m/>
    <m/>
    <m/>
    <n v="1"/>
    <m/>
    <n v="0"/>
    <n v="0"/>
    <n v="1"/>
    <n v="6"/>
    <m/>
    <m/>
    <m/>
    <n v="7"/>
    <m/>
    <n v="0"/>
    <n v="0"/>
    <n v="0"/>
    <n v="6"/>
    <n v="0"/>
    <n v="0"/>
    <n v="0"/>
    <n v="6"/>
    <m/>
    <n v="6"/>
    <n v="0"/>
    <n v="0"/>
    <n v="0"/>
    <n v="0"/>
    <n v="0"/>
    <n v="0"/>
    <n v="0"/>
    <n v="0"/>
    <n v="0"/>
    <n v="0"/>
    <n v="0"/>
    <n v="0"/>
    <s v="Hampton"/>
    <m/>
    <m/>
    <m/>
    <m/>
    <x v="0"/>
  </r>
  <r>
    <s v="16/3206/FUL"/>
    <s v="EXT"/>
    <m/>
    <s v="349 - 351 Upper Richmond Road West_x000d_East Sheen_x000d_London"/>
    <s v="Construction of two self contained flats at second floor level and accompanying interior alterations at first floor level to allow access to the new units [revised description]."/>
    <d v="2017-11-01T00:00:00"/>
    <d v="2018-09-01T00:00:00"/>
    <x v="0"/>
    <s v="Open Market"/>
    <n v="520568"/>
    <n v="175399"/>
    <m/>
    <n v="0"/>
    <n v="0"/>
    <n v="0"/>
    <n v="0"/>
    <m/>
    <m/>
    <m/>
    <n v="0"/>
    <m/>
    <n v="2"/>
    <n v="0"/>
    <n v="0"/>
    <n v="0"/>
    <m/>
    <m/>
    <m/>
    <n v="2"/>
    <m/>
    <n v="2"/>
    <n v="0"/>
    <n v="0"/>
    <n v="0"/>
    <n v="0"/>
    <n v="0"/>
    <n v="0"/>
    <n v="2"/>
    <m/>
    <n v="2"/>
    <n v="0"/>
    <n v="0"/>
    <n v="0"/>
    <n v="0"/>
    <n v="0"/>
    <n v="0"/>
    <n v="0"/>
    <n v="0"/>
    <n v="0"/>
    <n v="0"/>
    <n v="0"/>
    <n v="0"/>
    <s v="East Sheen"/>
    <m/>
    <m/>
    <s v="East Sheen"/>
    <m/>
    <x v="0"/>
  </r>
  <r>
    <s v="16/3297/FUL"/>
    <s v="CHU"/>
    <m/>
    <s v="36 Hampton Road Twickenham TW2 5QB"/>
    <s v="Change of use of ground floor retail unit (A1) and ground, first and second floor residential unit (C3) to create a single live/work unity (sui generis) with dedicated work area (B1a)."/>
    <m/>
    <d v="2018-04-02T00:00:00"/>
    <x v="0"/>
    <s v="Open Market"/>
    <n v="515150"/>
    <n v="172741"/>
    <m/>
    <n v="1"/>
    <n v="0"/>
    <n v="0"/>
    <n v="0"/>
    <m/>
    <m/>
    <m/>
    <n v="1"/>
    <m/>
    <n v="0"/>
    <n v="1"/>
    <n v="0"/>
    <n v="0"/>
    <m/>
    <m/>
    <m/>
    <n v="1"/>
    <m/>
    <n v="-1"/>
    <n v="1"/>
    <n v="0"/>
    <n v="0"/>
    <n v="0"/>
    <n v="0"/>
    <n v="0"/>
    <n v="0"/>
    <m/>
    <n v="0"/>
    <n v="0"/>
    <n v="0"/>
    <n v="0"/>
    <n v="0"/>
    <n v="0"/>
    <n v="0"/>
    <n v="0"/>
    <n v="0"/>
    <n v="0"/>
    <n v="0"/>
    <n v="0"/>
    <n v="0"/>
    <s v="West Twickenham"/>
    <m/>
    <s v="Hampton Road"/>
    <m/>
    <m/>
    <x v="0"/>
  </r>
  <r>
    <s v="16/3460/FUL"/>
    <s v="CON"/>
    <m/>
    <s v="19 The Hermitage Richmond"/>
    <s v="Conversion of existing building from four flats to single family dwelling. Replace existing conservatory to lower ground floor with new single storey rear extension, rear extension at upper ground floor level. All materials to match existing."/>
    <d v="2017-05-01T00:00:00"/>
    <d v="2019-02-01T00:00:00"/>
    <x v="0"/>
    <s v="Open Market"/>
    <n v="518019"/>
    <n v="174650"/>
    <m/>
    <n v="4"/>
    <n v="0"/>
    <n v="0"/>
    <n v="0"/>
    <m/>
    <m/>
    <m/>
    <n v="4"/>
    <m/>
    <n v="0"/>
    <n v="0"/>
    <n v="1"/>
    <n v="0"/>
    <m/>
    <m/>
    <m/>
    <n v="1"/>
    <m/>
    <n v="-4"/>
    <n v="0"/>
    <n v="1"/>
    <n v="0"/>
    <n v="0"/>
    <n v="0"/>
    <n v="0"/>
    <n v="-3"/>
    <m/>
    <n v="-3"/>
    <n v="0"/>
    <n v="0"/>
    <n v="0"/>
    <n v="0"/>
    <n v="0"/>
    <n v="0"/>
    <n v="0"/>
    <n v="0"/>
    <n v="0"/>
    <n v="0"/>
    <n v="0"/>
    <n v="0"/>
    <s v="South Richmond"/>
    <m/>
    <m/>
    <m/>
    <m/>
    <x v="0"/>
  </r>
  <r>
    <s v="16/3605/PS192"/>
    <s v="CHU"/>
    <m/>
    <s v="57 - 58 George Street_x000d_Richmond_x000d_TW9 1HE"/>
    <s v="Proposed change of use from retail to mixed use. Alterations to configuration of internal walls."/>
    <m/>
    <d v="2018-11-30T00:00:00"/>
    <x v="0"/>
    <s v="Open Market"/>
    <n v="517850"/>
    <n v="174885"/>
    <m/>
    <n v="0"/>
    <n v="0"/>
    <n v="0"/>
    <n v="0"/>
    <m/>
    <m/>
    <m/>
    <n v="0"/>
    <m/>
    <n v="2"/>
    <n v="1"/>
    <n v="0"/>
    <n v="0"/>
    <m/>
    <m/>
    <m/>
    <n v="3"/>
    <m/>
    <n v="2"/>
    <n v="1"/>
    <n v="0"/>
    <n v="0"/>
    <n v="0"/>
    <n v="0"/>
    <n v="0"/>
    <n v="3"/>
    <m/>
    <n v="3"/>
    <n v="0"/>
    <n v="0"/>
    <n v="0"/>
    <n v="0"/>
    <n v="0"/>
    <n v="0"/>
    <n v="0"/>
    <n v="0"/>
    <n v="0"/>
    <n v="0"/>
    <n v="0"/>
    <n v="0"/>
    <s v="South Richmond"/>
    <m/>
    <m/>
    <s v="Richmond"/>
    <m/>
    <x v="0"/>
  </r>
  <r>
    <s v="16/3670/FUL"/>
    <s v="NEW"/>
    <m/>
    <s v="36 Denbigh Gardens_x000d_Richmond_x000d_TW10 6EL"/>
    <s v="Demolition of existing two storey detached four bedroom house and construction of new detached two storey five bedroom house."/>
    <d v="2017-09-01T00:00:00"/>
    <d v="2018-11-23T00:00:00"/>
    <x v="0"/>
    <s v="Open Market"/>
    <n v="518841"/>
    <n v="174738"/>
    <m/>
    <n v="0"/>
    <n v="0"/>
    <n v="0"/>
    <n v="1"/>
    <m/>
    <m/>
    <m/>
    <n v="1"/>
    <m/>
    <n v="0"/>
    <n v="0"/>
    <n v="0"/>
    <n v="1"/>
    <m/>
    <m/>
    <m/>
    <n v="1"/>
    <m/>
    <n v="0"/>
    <n v="0"/>
    <n v="0"/>
    <n v="0"/>
    <n v="0"/>
    <n v="0"/>
    <n v="0"/>
    <n v="0"/>
    <m/>
    <n v="0"/>
    <n v="0"/>
    <n v="0"/>
    <n v="0"/>
    <n v="0"/>
    <n v="0"/>
    <n v="0"/>
    <n v="0"/>
    <n v="0"/>
    <n v="0"/>
    <n v="0"/>
    <n v="0"/>
    <n v="0"/>
    <s v="South Richmond"/>
    <m/>
    <m/>
    <m/>
    <m/>
    <x v="0"/>
  </r>
  <r>
    <s v="16/3791/FUL"/>
    <s v="NEW"/>
    <m/>
    <s v="92 - 94 Station Road_x000d_Hampton_x000d_TW12 2AX"/>
    <s v="Erection of a single-storey, two-bedroom house with accommodation at roof level and associated car parking, cycle and refuse store."/>
    <m/>
    <d v="2018-08-31T00:00:00"/>
    <x v="0"/>
    <s v="Open Market"/>
    <n v="513648"/>
    <n v="169737"/>
    <m/>
    <n v="0"/>
    <n v="0"/>
    <n v="0"/>
    <n v="0"/>
    <m/>
    <m/>
    <m/>
    <n v="0"/>
    <m/>
    <n v="0"/>
    <n v="1"/>
    <n v="0"/>
    <n v="0"/>
    <m/>
    <m/>
    <m/>
    <n v="1"/>
    <m/>
    <n v="0"/>
    <n v="1"/>
    <n v="0"/>
    <n v="0"/>
    <n v="0"/>
    <n v="0"/>
    <n v="0"/>
    <n v="1"/>
    <m/>
    <n v="1"/>
    <n v="0"/>
    <n v="0"/>
    <n v="0"/>
    <n v="0"/>
    <n v="0"/>
    <n v="0"/>
    <n v="0"/>
    <n v="0"/>
    <n v="0"/>
    <n v="0"/>
    <n v="0"/>
    <n v="0"/>
    <s v="Hampton"/>
    <m/>
    <s v="Station Road"/>
    <m/>
    <m/>
    <x v="0"/>
  </r>
  <r>
    <s v="16/3876/FUL"/>
    <s v="NEW"/>
    <m/>
    <s v="26 The Terrace_x000a_Barnes_x000a_London_x000a_SW13 0NR"/>
    <s v="Demolition of remaining damaged ground floor structure and stairwell, following the collapse of the original building and subsequent demolition by the Council, and erection of a new house to be built over existing basement from ground to third floor leve"/>
    <d v="2018-03-01T00:00:00"/>
    <d v="2018-12-01T00:00:00"/>
    <x v="0"/>
    <s v="Open Market"/>
    <n v="521327"/>
    <n v="176153"/>
    <m/>
    <n v="0"/>
    <n v="0"/>
    <n v="0"/>
    <n v="0"/>
    <m/>
    <n v="1"/>
    <m/>
    <n v="1"/>
    <m/>
    <n v="0"/>
    <n v="0"/>
    <n v="0"/>
    <n v="0"/>
    <n v="1"/>
    <m/>
    <m/>
    <n v="1"/>
    <m/>
    <n v="0"/>
    <n v="0"/>
    <n v="0"/>
    <n v="0"/>
    <n v="1"/>
    <n v="-1"/>
    <n v="0"/>
    <n v="0"/>
    <m/>
    <n v="0"/>
    <n v="0"/>
    <n v="0"/>
    <n v="0"/>
    <n v="0"/>
    <n v="0"/>
    <n v="0"/>
    <n v="0"/>
    <n v="0"/>
    <n v="0"/>
    <n v="0"/>
    <n v="0"/>
    <n v="0"/>
    <s v="Mortlake and Barnes Common"/>
    <m/>
    <m/>
    <m/>
    <s v="Thames Policy Area"/>
    <x v="0"/>
  </r>
  <r>
    <s v="16/4000/FUL"/>
    <s v="CON"/>
    <m/>
    <s v="10 Stretton Road_x000d_Ham_x000d_Richmond_x000d_TW10 7QQ"/>
    <s v="Conversion of an end-of-terrace 3-bed house into 2 no. flats."/>
    <m/>
    <d v="2018-11-07T00:00:00"/>
    <x v="0"/>
    <s v="Open Market"/>
    <n v="517154"/>
    <n v="172520"/>
    <m/>
    <n v="0"/>
    <n v="0"/>
    <n v="1"/>
    <n v="0"/>
    <m/>
    <m/>
    <m/>
    <n v="1"/>
    <m/>
    <n v="1"/>
    <n v="1"/>
    <n v="0"/>
    <n v="0"/>
    <m/>
    <m/>
    <m/>
    <n v="2"/>
    <m/>
    <n v="1"/>
    <n v="1"/>
    <n v="-1"/>
    <n v="0"/>
    <n v="0"/>
    <n v="0"/>
    <n v="0"/>
    <n v="1"/>
    <m/>
    <n v="1"/>
    <n v="0"/>
    <n v="0"/>
    <n v="0"/>
    <n v="0"/>
    <n v="0"/>
    <n v="0"/>
    <n v="0"/>
    <n v="0"/>
    <n v="0"/>
    <n v="0"/>
    <n v="0"/>
    <n v="0"/>
    <s v="Ham, Petersham and Richmond Riverside"/>
    <m/>
    <m/>
    <m/>
    <m/>
    <x v="0"/>
  </r>
  <r>
    <s v="16/4058/FUL"/>
    <s v="CHU"/>
    <m/>
    <s v="59 - 61 High Street_x000a_Hampton Wick_x000a_Kingston Upon Thames_x000a_KT1 4DG"/>
    <s v="Internal configuration of existing ancillary accommodation to create 4 self-contained flats; removal of external first floor fire escape, removal, repositioning and replacement of rear windows at first and second floor level including (including the installation one new window at each level totalling 5); replacement rooftiles to the front and rear roofslope; removal of defective chimney to the rear and raising and pitching of the front roofslope (retrospective)."/>
    <m/>
    <d v="2019-03-01T00:00:00"/>
    <x v="0"/>
    <s v="Open Market"/>
    <n v="517463"/>
    <n v="169661"/>
    <m/>
    <n v="0"/>
    <n v="0"/>
    <n v="0"/>
    <n v="0"/>
    <n v="1"/>
    <m/>
    <m/>
    <n v="1"/>
    <m/>
    <n v="2"/>
    <n v="2"/>
    <n v="0"/>
    <n v="0"/>
    <m/>
    <m/>
    <m/>
    <n v="4"/>
    <m/>
    <n v="2"/>
    <n v="2"/>
    <n v="0"/>
    <n v="0"/>
    <n v="-1"/>
    <n v="0"/>
    <n v="0"/>
    <n v="3"/>
    <m/>
    <n v="3"/>
    <n v="0"/>
    <n v="0"/>
    <n v="0"/>
    <n v="0"/>
    <n v="0"/>
    <n v="0"/>
    <n v="0"/>
    <n v="0"/>
    <n v="0"/>
    <n v="0"/>
    <n v="0"/>
    <n v="0"/>
    <s v="Hampton Wick"/>
    <m/>
    <s v="Hampton Wick"/>
    <m/>
    <m/>
    <x v="0"/>
  </r>
  <r>
    <s v="16/4231/FUL"/>
    <s v="CON"/>
    <m/>
    <s v="202 Upper Richmond Road West_x000d_East Sheen_x000d_London_x000d_SW14 8AN"/>
    <s v="Alterations with dormer extensions to existing first floor dwelling, conversion into 3 no. apartments incorporating a loft conversion."/>
    <m/>
    <d v="2018-07-14T00:00:00"/>
    <x v="0"/>
    <s v="Open Market"/>
    <n v="520691"/>
    <n v="175442"/>
    <m/>
    <n v="0"/>
    <n v="1"/>
    <n v="0"/>
    <n v="0"/>
    <m/>
    <m/>
    <m/>
    <n v="1"/>
    <m/>
    <n v="1"/>
    <n v="2"/>
    <n v="0"/>
    <n v="0"/>
    <m/>
    <m/>
    <m/>
    <n v="3"/>
    <m/>
    <n v="1"/>
    <n v="1"/>
    <n v="0"/>
    <n v="0"/>
    <n v="0"/>
    <n v="0"/>
    <n v="0"/>
    <n v="2"/>
    <m/>
    <n v="2"/>
    <n v="0"/>
    <n v="0"/>
    <n v="0"/>
    <n v="0"/>
    <n v="0"/>
    <n v="0"/>
    <n v="0"/>
    <n v="0"/>
    <n v="0"/>
    <n v="0"/>
    <n v="0"/>
    <n v="0"/>
    <s v="East Sheen"/>
    <m/>
    <m/>
    <s v="East Sheen"/>
    <m/>
    <x v="0"/>
  </r>
  <r>
    <s v="16/4590/FUL"/>
    <s v="NEW"/>
    <m/>
    <s v="2A Suffolk Road_x000d_Barnes_x000d_London_x000d_SW13 9PH"/>
    <s v="Demolition of existing property and the construction of a new 4 bed house with basement with associated landscaping (bin and bike store)."/>
    <d v="2017-05-15T00:00:00"/>
    <d v="2018-07-02T00:00:00"/>
    <x v="0"/>
    <s v="Open Market"/>
    <n v="522330"/>
    <n v="177038"/>
    <m/>
    <n v="0"/>
    <n v="2"/>
    <n v="0"/>
    <n v="0"/>
    <m/>
    <m/>
    <m/>
    <n v="2"/>
    <m/>
    <n v="0"/>
    <n v="0"/>
    <n v="0"/>
    <n v="1"/>
    <m/>
    <m/>
    <m/>
    <n v="1"/>
    <m/>
    <n v="0"/>
    <n v="-2"/>
    <n v="0"/>
    <n v="1"/>
    <n v="0"/>
    <n v="0"/>
    <n v="0"/>
    <n v="-1"/>
    <m/>
    <n v="-1"/>
    <n v="0"/>
    <n v="0"/>
    <n v="0"/>
    <n v="0"/>
    <n v="0"/>
    <n v="0"/>
    <n v="0"/>
    <n v="0"/>
    <n v="0"/>
    <n v="0"/>
    <n v="0"/>
    <n v="0"/>
    <s v="Barnes"/>
    <m/>
    <m/>
    <m/>
    <m/>
    <x v="0"/>
  </r>
  <r>
    <s v="16/4669/FUL"/>
    <s v="CHU"/>
    <m/>
    <s v="42 George Street_x000d_Richmond_x000d_TW9 1HJ"/>
    <s v="Change of use of first and second floors from A1 ancillary to C3 residential to create 1 No. Studio apartment and 1 No. 2-bedroom apartment. First floor rear extension and alterations to fenestration."/>
    <m/>
    <d v="2018-04-18T00:00:00"/>
    <x v="0"/>
    <s v="Open Market"/>
    <n v="517929"/>
    <n v="174954"/>
    <m/>
    <n v="0"/>
    <n v="0"/>
    <n v="0"/>
    <n v="0"/>
    <m/>
    <m/>
    <m/>
    <n v="0"/>
    <n v="1"/>
    <n v="0"/>
    <n v="1"/>
    <n v="0"/>
    <n v="0"/>
    <m/>
    <m/>
    <m/>
    <n v="2"/>
    <n v="1"/>
    <n v="0"/>
    <n v="1"/>
    <n v="0"/>
    <n v="0"/>
    <n v="0"/>
    <n v="0"/>
    <n v="0"/>
    <n v="2"/>
    <m/>
    <n v="2"/>
    <n v="0"/>
    <n v="0"/>
    <n v="0"/>
    <n v="0"/>
    <n v="0"/>
    <n v="0"/>
    <n v="0"/>
    <n v="0"/>
    <n v="0"/>
    <n v="0"/>
    <n v="0"/>
    <n v="0"/>
    <s v="South Richmond"/>
    <m/>
    <m/>
    <s v="Richmond"/>
    <m/>
    <x v="0"/>
  </r>
  <r>
    <s v="16/4794/FUL"/>
    <s v="EXT"/>
    <m/>
    <s v="Boatrace House_x000a_63 Mortlake High Street_x000a_Mortlake_x000a_London"/>
    <s v="Erection of one additional storey to provide two residential units and alterations to the elevations of the building"/>
    <d v="2018-03-01T00:00:00"/>
    <d v="2019-03-01T00:00:00"/>
    <x v="0"/>
    <s v="Open Market"/>
    <n v="520696"/>
    <n v="175985"/>
    <m/>
    <n v="0"/>
    <n v="0"/>
    <n v="0"/>
    <n v="0"/>
    <m/>
    <m/>
    <m/>
    <n v="0"/>
    <m/>
    <n v="0"/>
    <n v="2"/>
    <n v="0"/>
    <n v="0"/>
    <m/>
    <m/>
    <m/>
    <n v="2"/>
    <m/>
    <n v="0"/>
    <n v="2"/>
    <n v="0"/>
    <n v="0"/>
    <n v="0"/>
    <n v="0"/>
    <n v="0"/>
    <n v="2"/>
    <m/>
    <n v="2"/>
    <n v="0"/>
    <n v="0"/>
    <n v="0"/>
    <n v="0"/>
    <n v="0"/>
    <n v="0"/>
    <n v="0"/>
    <n v="0"/>
    <n v="0"/>
    <n v="0"/>
    <n v="0"/>
    <n v="0"/>
    <s v="Mortlake and Barnes Common"/>
    <m/>
    <s v="Mortlake"/>
    <m/>
    <m/>
    <x v="0"/>
  </r>
  <r>
    <s v="16/4798/FUL"/>
    <s v="NEW"/>
    <m/>
    <s v="19 Stanley Road East Sheen SW14 7EB"/>
    <s v="Demolition of existing dwelling and the construction of a 2.5/3-storey dwelling with basement including front and rear light well with walk-over covering. Additional construction of car port/storage building to rear of site including vehicular footway cr"/>
    <d v="2017-11-01T00:00:00"/>
    <d v="2019-02-01T00:00:00"/>
    <x v="0"/>
    <s v="Open Market"/>
    <n v="519759"/>
    <n v="175240"/>
    <m/>
    <n v="0"/>
    <n v="0"/>
    <n v="0"/>
    <n v="1"/>
    <m/>
    <m/>
    <m/>
    <n v="1"/>
    <m/>
    <n v="0"/>
    <n v="0"/>
    <n v="0"/>
    <n v="1"/>
    <m/>
    <m/>
    <m/>
    <n v="1"/>
    <m/>
    <n v="0"/>
    <n v="0"/>
    <n v="0"/>
    <n v="0"/>
    <n v="0"/>
    <n v="0"/>
    <n v="0"/>
    <n v="0"/>
    <m/>
    <n v="0"/>
    <n v="0"/>
    <n v="0"/>
    <n v="0"/>
    <n v="0"/>
    <n v="0"/>
    <n v="0"/>
    <n v="0"/>
    <n v="0"/>
    <n v="0"/>
    <n v="0"/>
    <n v="0"/>
    <n v="0"/>
    <s v="East Sheen"/>
    <m/>
    <m/>
    <m/>
    <m/>
    <x v="0"/>
  </r>
  <r>
    <s v="17/0259/FUL"/>
    <s v="CHU"/>
    <m/>
    <s v="2 Queens Road_x000d_East Sheen_x000d_London_x000d_SW14 8PJ"/>
    <s v="Demolition of building and erection of new dwelling with basement."/>
    <d v="2018-04-01T00:00:00"/>
    <d v="2019-02-15T00:00:00"/>
    <x v="0"/>
    <s v="Open Market"/>
    <n v="520956"/>
    <n v="175694"/>
    <m/>
    <n v="1"/>
    <n v="0"/>
    <n v="0"/>
    <n v="0"/>
    <m/>
    <m/>
    <m/>
    <n v="1"/>
    <m/>
    <n v="0"/>
    <n v="0"/>
    <n v="0"/>
    <n v="1"/>
    <m/>
    <m/>
    <m/>
    <n v="1"/>
    <m/>
    <n v="-1"/>
    <n v="0"/>
    <n v="0"/>
    <n v="1"/>
    <n v="0"/>
    <n v="0"/>
    <n v="0"/>
    <n v="0"/>
    <m/>
    <n v="0"/>
    <n v="0"/>
    <n v="0"/>
    <n v="0"/>
    <n v="0"/>
    <n v="0"/>
    <n v="0"/>
    <n v="0"/>
    <n v="0"/>
    <n v="0"/>
    <n v="0"/>
    <n v="0"/>
    <n v="0"/>
    <s v="East Sheen"/>
    <m/>
    <m/>
    <m/>
    <m/>
    <x v="0"/>
  </r>
  <r>
    <s v="17/0908/FUL"/>
    <s v="EXT"/>
    <m/>
    <s v="224 - 226 Hampton Road_x000d_Twickenham"/>
    <s v="Proposed two storey side/rear extension, single storey front and rear extensions and basement level to facilitate the provision of 137.5sqm additional A1(retail) floorspace to existing ground floor A1 retail store (no. 226) and internal reconfiguration o"/>
    <d v="2018-01-15T00:00:00"/>
    <d v="2018-09-20T00:00:00"/>
    <x v="0"/>
    <s v="Open Market"/>
    <n v="514717"/>
    <n v="172101"/>
    <m/>
    <n v="0"/>
    <n v="2"/>
    <n v="0"/>
    <n v="0"/>
    <m/>
    <m/>
    <m/>
    <n v="2"/>
    <m/>
    <n v="0"/>
    <n v="3"/>
    <n v="0"/>
    <n v="0"/>
    <m/>
    <m/>
    <m/>
    <n v="3"/>
    <m/>
    <n v="0"/>
    <n v="1"/>
    <n v="0"/>
    <n v="0"/>
    <n v="0"/>
    <n v="0"/>
    <n v="0"/>
    <n v="1"/>
    <m/>
    <n v="1"/>
    <n v="0"/>
    <n v="0"/>
    <n v="0"/>
    <n v="0"/>
    <n v="0"/>
    <n v="0"/>
    <n v="0"/>
    <n v="0"/>
    <n v="0"/>
    <n v="0"/>
    <n v="0"/>
    <n v="0"/>
    <s v="West Twickenham"/>
    <m/>
    <m/>
    <m/>
    <m/>
    <x v="0"/>
  </r>
  <r>
    <s v="17/0968/FUL"/>
    <s v="CHU"/>
    <m/>
    <s v="1 Palace Gate_x000d_Hampton Court Road_x000d_Hampton_x000d_East Molesey_x000d_KT8 9BN"/>
    <s v="Change of use of part ground floor (stair access) and first floor from B1a(Office) to C3 (residential) use and change of use of part ground floor from A1(retail) to C3(residential).  Replacement door and window on ground floor side elevatio and installat"/>
    <d v="2017-11-01T00:00:00"/>
    <d v="2018-06-30T00:00:00"/>
    <x v="0"/>
    <s v="Open Market"/>
    <n v="515409"/>
    <n v="168615"/>
    <m/>
    <n v="0"/>
    <n v="0"/>
    <n v="0"/>
    <n v="0"/>
    <m/>
    <m/>
    <m/>
    <n v="0"/>
    <m/>
    <n v="0"/>
    <n v="0"/>
    <n v="1"/>
    <n v="0"/>
    <m/>
    <m/>
    <m/>
    <n v="1"/>
    <m/>
    <n v="0"/>
    <n v="0"/>
    <n v="1"/>
    <n v="0"/>
    <n v="0"/>
    <n v="0"/>
    <n v="0"/>
    <n v="1"/>
    <m/>
    <n v="1"/>
    <n v="0"/>
    <n v="0"/>
    <n v="0"/>
    <n v="0"/>
    <n v="0"/>
    <n v="0"/>
    <n v="0"/>
    <n v="0"/>
    <n v="0"/>
    <n v="0"/>
    <n v="0"/>
    <n v="0"/>
    <s v="Hampton"/>
    <m/>
    <m/>
    <m/>
    <s v="Thames Policy Area"/>
    <x v="0"/>
  </r>
  <r>
    <s v="17/1286/VRC"/>
    <s v="NEW"/>
    <m/>
    <s v="Teddington Studios Broom Road Teddington"/>
    <s v="Variation of approved drawing nos attached to 14/0914/FUL to allow for the development of Block B as two blocks and an increase in the overall number of units from 220 to 238 and minor changes to the riverside walkway._x000d_To allow changes to the internal la"/>
    <d v="2017-10-05T00:00:00"/>
    <d v="2018-12-01T00:00:00"/>
    <x v="0"/>
    <s v="Open Market"/>
    <n v="516802"/>
    <n v="171333"/>
    <m/>
    <n v="0"/>
    <n v="0"/>
    <n v="0"/>
    <n v="0"/>
    <m/>
    <m/>
    <m/>
    <n v="0"/>
    <m/>
    <n v="29"/>
    <n v="14"/>
    <n v="33"/>
    <n v="0"/>
    <m/>
    <m/>
    <m/>
    <n v="76"/>
    <m/>
    <n v="29"/>
    <n v="14"/>
    <n v="33"/>
    <n v="0"/>
    <n v="0"/>
    <n v="0"/>
    <n v="0"/>
    <n v="76"/>
    <s v="Y"/>
    <n v="76"/>
    <n v="0"/>
    <n v="0"/>
    <n v="0"/>
    <n v="0"/>
    <n v="0"/>
    <n v="0"/>
    <n v="0"/>
    <n v="0"/>
    <n v="0"/>
    <n v="0"/>
    <n v="0"/>
    <n v="0"/>
    <s v="Teddington"/>
    <m/>
    <m/>
    <m/>
    <s v="Thames Policy Area"/>
    <x v="0"/>
  </r>
  <r>
    <s v="17/1331/FUL"/>
    <s v="NEW"/>
    <m/>
    <s v="56 Coval Road_x000d_East Sheen_x000d_London_x000d_SW14 7RL"/>
    <s v="Application for the creation of a new single three storey family dwelling."/>
    <d v="2018-04-09T00:00:00"/>
    <d v="2018-08-31T00:00:00"/>
    <x v="0"/>
    <s v="Open Market"/>
    <n v="520049"/>
    <n v="175295"/>
    <m/>
    <n v="0"/>
    <n v="0"/>
    <n v="0"/>
    <n v="0"/>
    <m/>
    <m/>
    <m/>
    <n v="0"/>
    <m/>
    <n v="0"/>
    <n v="0"/>
    <n v="1"/>
    <n v="0"/>
    <m/>
    <m/>
    <m/>
    <n v="1"/>
    <m/>
    <n v="0"/>
    <n v="0"/>
    <n v="1"/>
    <n v="0"/>
    <n v="0"/>
    <n v="0"/>
    <n v="0"/>
    <n v="1"/>
    <m/>
    <n v="1"/>
    <n v="0"/>
    <n v="0"/>
    <n v="0"/>
    <n v="0"/>
    <n v="0"/>
    <n v="0"/>
    <n v="0"/>
    <n v="0"/>
    <n v="0"/>
    <n v="0"/>
    <n v="0"/>
    <n v="0"/>
    <s v="East Sheen"/>
    <m/>
    <m/>
    <s v="East Sheen"/>
    <m/>
    <x v="0"/>
  </r>
  <r>
    <s v="17/1971/FUL"/>
    <s v="NEW"/>
    <m/>
    <s v="59 Ham Street Ham TW10 7HR"/>
    <s v="Demolition of the existing bungalow (C3) and the erection of a pair of semi-detached dwellings with associated landscaping and off-street parking."/>
    <d v="2018-03-01T00:00:00"/>
    <s v="31/11/2018"/>
    <x v="0"/>
    <s v="Open Market"/>
    <n v="517346"/>
    <n v="172308"/>
    <m/>
    <n v="0"/>
    <n v="1"/>
    <n v="0"/>
    <n v="0"/>
    <m/>
    <m/>
    <m/>
    <n v="1"/>
    <m/>
    <n v="0"/>
    <n v="0"/>
    <n v="0"/>
    <n v="2"/>
    <m/>
    <m/>
    <m/>
    <n v="2"/>
    <m/>
    <n v="0"/>
    <n v="-1"/>
    <n v="0"/>
    <n v="2"/>
    <n v="0"/>
    <n v="0"/>
    <n v="0"/>
    <n v="1"/>
    <m/>
    <n v="1"/>
    <n v="0"/>
    <n v="0"/>
    <n v="0"/>
    <n v="0"/>
    <n v="0"/>
    <n v="0"/>
    <n v="0"/>
    <n v="0"/>
    <n v="0"/>
    <n v="0"/>
    <n v="0"/>
    <n v="0"/>
    <s v="Ham, Petersham and Richmond Riverside"/>
    <m/>
    <m/>
    <m/>
    <m/>
    <x v="1"/>
  </r>
  <r>
    <s v="17/2181/GPD15"/>
    <s v="CHU"/>
    <s v="PA"/>
    <s v="Claridge House 29 Barnes High Street Barnes SW13 9LW"/>
    <s v="Change from B1 office use into C3 residential use comprising 2 no. 2 bedroom flats."/>
    <m/>
    <d v="2018-09-27T00:00:00"/>
    <x v="0"/>
    <s v="Open Market"/>
    <n v="521610"/>
    <n v="176396"/>
    <m/>
    <n v="0"/>
    <n v="0"/>
    <n v="0"/>
    <n v="0"/>
    <m/>
    <m/>
    <m/>
    <n v="0"/>
    <m/>
    <n v="0"/>
    <n v="2"/>
    <n v="0"/>
    <n v="0"/>
    <m/>
    <m/>
    <m/>
    <n v="2"/>
    <m/>
    <n v="0"/>
    <n v="2"/>
    <n v="0"/>
    <n v="0"/>
    <n v="0"/>
    <n v="0"/>
    <n v="0"/>
    <n v="2"/>
    <m/>
    <n v="2"/>
    <n v="0"/>
    <n v="0"/>
    <n v="0"/>
    <n v="0"/>
    <n v="0"/>
    <n v="0"/>
    <n v="0"/>
    <n v="0"/>
    <n v="0"/>
    <n v="0"/>
    <n v="0"/>
    <n v="0"/>
    <s v="Mortlake and Barnes Common"/>
    <m/>
    <s v="High Street"/>
    <m/>
    <m/>
    <x v="0"/>
  </r>
  <r>
    <s v="17/2507/FUL"/>
    <s v="NEW"/>
    <m/>
    <s v="31 Conway Road Whitton TW4 5LW"/>
    <s v="Construction of a new 1No. 2-bedroom dwelling house (following demolition of the existing side extension); subdivision of the rear of no.31 Conway Road; and associated refuse, recycling, cycle storage and car parking facilities."/>
    <m/>
    <d v="2019-02-01T00:00:00"/>
    <x v="0"/>
    <s v="Open Market"/>
    <n v="513080"/>
    <n v="173974"/>
    <m/>
    <n v="0"/>
    <n v="0"/>
    <n v="0"/>
    <n v="0"/>
    <m/>
    <m/>
    <m/>
    <n v="0"/>
    <m/>
    <n v="0"/>
    <n v="1"/>
    <n v="0"/>
    <n v="0"/>
    <m/>
    <m/>
    <m/>
    <n v="1"/>
    <m/>
    <n v="0"/>
    <n v="1"/>
    <n v="0"/>
    <n v="0"/>
    <n v="0"/>
    <n v="0"/>
    <n v="0"/>
    <n v="1"/>
    <m/>
    <n v="1"/>
    <n v="0"/>
    <n v="0"/>
    <n v="0"/>
    <n v="0"/>
    <n v="0"/>
    <n v="0"/>
    <n v="0"/>
    <n v="0"/>
    <n v="0"/>
    <n v="0"/>
    <n v="0"/>
    <n v="0"/>
    <s v="Heathfield"/>
    <m/>
    <m/>
    <m/>
    <m/>
    <x v="0"/>
  </r>
  <r>
    <s v="17/2523/FUL"/>
    <s v="CON"/>
    <m/>
    <s v="Railway Cottage _x000d_White Hart Lane_x000d_Barnes_x000d_London_x000d_SW13 0PZ"/>
    <s v="Conversion of existing dwelling house to 5 no. self-contained flats, comprising 3no. 1 bedroom units, 1no. 2 bedroom unit and 1no. 3 bedroom unit, and external alterations to existing fenestration."/>
    <d v="2018-02-01T00:00:00"/>
    <d v="2019-01-18T00:00:00"/>
    <x v="0"/>
    <s v="Open Market"/>
    <n v="521341"/>
    <n v="175789"/>
    <m/>
    <n v="0"/>
    <n v="0"/>
    <n v="0"/>
    <n v="0"/>
    <m/>
    <m/>
    <n v="1"/>
    <n v="1"/>
    <m/>
    <n v="3"/>
    <n v="1"/>
    <n v="1"/>
    <n v="0"/>
    <m/>
    <m/>
    <m/>
    <n v="5"/>
    <m/>
    <n v="3"/>
    <n v="1"/>
    <n v="1"/>
    <n v="0"/>
    <n v="0"/>
    <n v="0"/>
    <n v="-1"/>
    <n v="4"/>
    <m/>
    <n v="4"/>
    <n v="0"/>
    <n v="0"/>
    <n v="0"/>
    <n v="0"/>
    <n v="0"/>
    <n v="0"/>
    <n v="0"/>
    <n v="0"/>
    <n v="0"/>
    <n v="0"/>
    <n v="0"/>
    <n v="0"/>
    <s v="Mortlake and Barnes Common"/>
    <m/>
    <m/>
    <m/>
    <m/>
    <x v="0"/>
  </r>
  <r>
    <s v="17/2656/FUL"/>
    <s v="CHU"/>
    <m/>
    <s v="15 - 17 Paved Court_x000d_Richmond_x000d_TW9 1LZ"/>
    <s v="Conversion of upper floors and part ground floor of property from A1 retail use (ground floor level) and storage ancillary to the retail use (first and second floors) to C3 residential comprising 1 no. 1 bedroom flat, incorporating associated internal al"/>
    <d v="2017-12-01T00:00:00"/>
    <d v="2019-02-19T00:00:00"/>
    <x v="0"/>
    <s v="Open Market"/>
    <n v="517721"/>
    <n v="174827"/>
    <m/>
    <n v="0"/>
    <n v="0"/>
    <n v="0"/>
    <n v="0"/>
    <m/>
    <m/>
    <m/>
    <n v="0"/>
    <m/>
    <n v="1"/>
    <n v="0"/>
    <n v="0"/>
    <n v="0"/>
    <m/>
    <m/>
    <m/>
    <n v="1"/>
    <m/>
    <n v="1"/>
    <n v="0"/>
    <n v="0"/>
    <n v="0"/>
    <n v="0"/>
    <n v="0"/>
    <n v="0"/>
    <n v="1"/>
    <m/>
    <n v="1"/>
    <n v="0"/>
    <n v="0"/>
    <n v="0"/>
    <n v="0"/>
    <n v="0"/>
    <n v="0"/>
    <n v="0"/>
    <n v="0"/>
    <n v="0"/>
    <n v="0"/>
    <n v="0"/>
    <n v="0"/>
    <s v="South Richmond"/>
    <m/>
    <m/>
    <s v="Richmond"/>
    <m/>
    <x v="0"/>
  </r>
  <r>
    <s v="17/2779/NMA"/>
    <s v="NEW"/>
    <m/>
    <s v="HMP Latchmere House Church Road Ham TW10 5HH"/>
    <s v="Non Material Amendment to Planning Permission 17/2779/VRC  (Removal of condition U05665 - NS09 (Formally condition 9 - Lifetime Homes Standards) of Planning Permission 16/0523/VRC) Amendments to include internal amendments to revise housing mix in Latchm"/>
    <d v="2016-05-02T00:00:00"/>
    <d v="2019-03-01T00:00:00"/>
    <x v="0"/>
    <s v="Open Market"/>
    <n v="518534"/>
    <n v="171320"/>
    <m/>
    <n v="0"/>
    <n v="0"/>
    <n v="0"/>
    <n v="0"/>
    <m/>
    <m/>
    <m/>
    <n v="0"/>
    <m/>
    <n v="0"/>
    <n v="0"/>
    <n v="5"/>
    <n v="5"/>
    <n v="2"/>
    <m/>
    <m/>
    <n v="12"/>
    <m/>
    <n v="0"/>
    <n v="0"/>
    <n v="5"/>
    <n v="5"/>
    <n v="2"/>
    <n v="0"/>
    <n v="0"/>
    <n v="12"/>
    <s v="Y"/>
    <n v="12"/>
    <n v="0"/>
    <n v="0"/>
    <n v="0"/>
    <n v="0"/>
    <n v="0"/>
    <n v="0"/>
    <n v="0"/>
    <n v="0"/>
    <n v="0"/>
    <n v="0"/>
    <n v="0"/>
    <n v="0"/>
    <s v="Ham, Petersham and Richmond Riverside"/>
    <m/>
    <m/>
    <m/>
    <m/>
    <x v="0"/>
  </r>
  <r>
    <s v="17/2919/FUL"/>
    <s v="CON"/>
    <m/>
    <s v="2 Brookwood Avenue_x000a_Barnes_x000a_London_x000a_SW13 0LR"/>
    <s v="Reversion from 2 no. self-contained flats to a single dwelling house."/>
    <m/>
    <d v="2018-09-01T00:00:00"/>
    <x v="0"/>
    <s v="Open Market"/>
    <n v="521888"/>
    <n v="176163"/>
    <m/>
    <n v="1"/>
    <n v="0"/>
    <n v="0"/>
    <n v="1"/>
    <m/>
    <m/>
    <m/>
    <n v="2"/>
    <m/>
    <n v="0"/>
    <n v="0"/>
    <n v="0"/>
    <n v="0"/>
    <m/>
    <n v="1"/>
    <m/>
    <n v="1"/>
    <m/>
    <n v="-1"/>
    <n v="0"/>
    <n v="0"/>
    <n v="-1"/>
    <n v="0"/>
    <n v="1"/>
    <n v="0"/>
    <n v="-1"/>
    <m/>
    <n v="-1"/>
    <n v="0"/>
    <n v="0"/>
    <n v="0"/>
    <n v="0"/>
    <n v="0"/>
    <n v="0"/>
    <n v="0"/>
    <n v="0"/>
    <n v="0"/>
    <n v="0"/>
    <n v="0"/>
    <n v="0"/>
    <s v="Mortlake and Barnes Common"/>
    <m/>
    <m/>
    <m/>
    <m/>
    <x v="0"/>
  </r>
  <r>
    <s v="17/3061/FUL"/>
    <s v="CON"/>
    <m/>
    <s v="19 - 19A Warwick Road_x000a_Hampton Wick"/>
    <s v="Conversion of flats 19 and 19a Warwick Road into a single family dwelling. Replacement window on ground floor front elevation."/>
    <d v="2018-08-03T00:00:00"/>
    <d v="2018-11-01T00:00:00"/>
    <x v="0"/>
    <s v="Open Market"/>
    <n v="517294"/>
    <n v="169887"/>
    <m/>
    <n v="0"/>
    <n v="1"/>
    <n v="1"/>
    <n v="0"/>
    <m/>
    <m/>
    <m/>
    <n v="2"/>
    <m/>
    <n v="0"/>
    <n v="0"/>
    <n v="0"/>
    <n v="0"/>
    <n v="1"/>
    <m/>
    <m/>
    <n v="1"/>
    <m/>
    <n v="0"/>
    <n v="-1"/>
    <n v="-1"/>
    <n v="0"/>
    <n v="1"/>
    <n v="0"/>
    <n v="0"/>
    <n v="-1"/>
    <m/>
    <n v="-1"/>
    <n v="0"/>
    <n v="0"/>
    <n v="0"/>
    <n v="0"/>
    <n v="0"/>
    <n v="0"/>
    <n v="0"/>
    <n v="0"/>
    <n v="0"/>
    <n v="0"/>
    <n v="0"/>
    <n v="0"/>
    <s v="Hampton Wick"/>
    <m/>
    <s v="Hampton Wick"/>
    <m/>
    <m/>
    <x v="0"/>
  </r>
  <r>
    <s v="17/3504/FUL"/>
    <s v="MIX"/>
    <m/>
    <s v="Second Floor_x000d_57 - 58 George Street_x000d_Richmond"/>
    <s v="Erection of second floor rear extension to create a 2 bedroom, 3 person residential unit (use class C3)."/>
    <d v="2018-02-01T00:00:00"/>
    <d v="2018-11-09T00:00:00"/>
    <x v="0"/>
    <s v="Open Market"/>
    <n v="517851"/>
    <n v="174887"/>
    <m/>
    <n v="0"/>
    <n v="0"/>
    <n v="0"/>
    <n v="0"/>
    <m/>
    <m/>
    <m/>
    <n v="0"/>
    <m/>
    <n v="0"/>
    <n v="1"/>
    <n v="0"/>
    <n v="0"/>
    <m/>
    <m/>
    <m/>
    <n v="1"/>
    <m/>
    <n v="0"/>
    <n v="1"/>
    <n v="0"/>
    <n v="0"/>
    <n v="0"/>
    <n v="0"/>
    <n v="0"/>
    <n v="1"/>
    <m/>
    <n v="1"/>
    <n v="0"/>
    <n v="0"/>
    <n v="0"/>
    <n v="0"/>
    <n v="0"/>
    <n v="0"/>
    <n v="0"/>
    <n v="0"/>
    <n v="0"/>
    <n v="0"/>
    <n v="0"/>
    <n v="0"/>
    <s v="South Richmond"/>
    <m/>
    <m/>
    <s v="Richmond"/>
    <m/>
    <x v="0"/>
  </r>
  <r>
    <s v="17/3531/FUL"/>
    <s v="NEW"/>
    <m/>
    <s v="8 Sutherland Grove_x000a_Teddington_x000a_TW11 8RW"/>
    <s v="Alterations and extensions to no. 8 comprising hip to gable roof extension, demolition of existing shed/workshop to rear and erection of cycle and refuse stores to front garden.  _x000d_Erection of a two storey, three bedroom dwellinghouse. with associated har"/>
    <m/>
    <d v="2018-11-01T00:00:00"/>
    <x v="0"/>
    <s v="Open Market"/>
    <n v="515465"/>
    <n v="171212"/>
    <m/>
    <n v="0"/>
    <n v="0"/>
    <n v="0"/>
    <n v="0"/>
    <m/>
    <m/>
    <m/>
    <n v="0"/>
    <m/>
    <n v="0"/>
    <n v="0"/>
    <n v="1"/>
    <n v="0"/>
    <m/>
    <m/>
    <m/>
    <n v="1"/>
    <m/>
    <n v="0"/>
    <n v="0"/>
    <n v="1"/>
    <n v="0"/>
    <n v="0"/>
    <n v="0"/>
    <n v="0"/>
    <n v="1"/>
    <m/>
    <n v="1"/>
    <n v="0"/>
    <n v="0"/>
    <n v="0"/>
    <n v="0"/>
    <n v="0"/>
    <n v="0"/>
    <n v="0"/>
    <n v="0"/>
    <n v="0"/>
    <n v="0"/>
    <n v="0"/>
    <n v="0"/>
    <s v="Teddington"/>
    <m/>
    <m/>
    <m/>
    <m/>
    <x v="1"/>
  </r>
  <r>
    <s v="17/3651/ES191"/>
    <s v="CHU"/>
    <m/>
    <s v="11A St Johns Road_x000d_Hampton Wick_x000d_Kingston Upon Thames_x000d_KT1 4AN"/>
    <s v="Application to establish the use as C3."/>
    <m/>
    <d v="2018-08-01T00:00:00"/>
    <x v="0"/>
    <s v="Open Market"/>
    <n v="517496"/>
    <n v="169480"/>
    <m/>
    <n v="0"/>
    <n v="1"/>
    <n v="0"/>
    <n v="0"/>
    <m/>
    <m/>
    <m/>
    <n v="1"/>
    <m/>
    <n v="0"/>
    <n v="1"/>
    <n v="0"/>
    <n v="0"/>
    <m/>
    <m/>
    <m/>
    <n v="1"/>
    <m/>
    <n v="0"/>
    <n v="0"/>
    <n v="0"/>
    <n v="0"/>
    <n v="0"/>
    <n v="0"/>
    <n v="0"/>
    <n v="0"/>
    <m/>
    <n v="0"/>
    <n v="0"/>
    <n v="0"/>
    <n v="0"/>
    <n v="0"/>
    <n v="0"/>
    <n v="0"/>
    <n v="0"/>
    <n v="0"/>
    <n v="0"/>
    <n v="0"/>
    <n v="0"/>
    <n v="0"/>
    <s v="Hampton Wick"/>
    <m/>
    <s v="Hampton Wick"/>
    <m/>
    <m/>
    <x v="0"/>
  </r>
  <r>
    <s v="17/3748/FUL"/>
    <s v="EXT"/>
    <m/>
    <s v="101 Forsyth House_x000d_211 - 217 Lower Richmond Road_x000d_Richmond_x000d_TW9 4LN"/>
    <s v="Creation of 2 No. x 1 bedroom residential flats through a third floor extension and alterations to fenestration [revised description]."/>
    <d v="2018-04-17T00:00:00"/>
    <d v="2018-04-17T00:00:00"/>
    <x v="0"/>
    <s v="Open Market"/>
    <n v="519626"/>
    <n v="175791"/>
    <m/>
    <n v="0"/>
    <n v="0"/>
    <n v="0"/>
    <n v="0"/>
    <m/>
    <m/>
    <m/>
    <n v="0"/>
    <m/>
    <n v="2"/>
    <n v="0"/>
    <n v="0"/>
    <n v="0"/>
    <m/>
    <m/>
    <m/>
    <n v="2"/>
    <m/>
    <n v="2"/>
    <n v="0"/>
    <n v="0"/>
    <n v="0"/>
    <n v="0"/>
    <n v="0"/>
    <n v="0"/>
    <n v="2"/>
    <m/>
    <n v="2"/>
    <n v="0"/>
    <n v="0"/>
    <n v="0"/>
    <n v="0"/>
    <n v="0"/>
    <n v="0"/>
    <n v="0"/>
    <n v="0"/>
    <n v="0"/>
    <n v="0"/>
    <n v="0"/>
    <n v="0"/>
    <s v="North Richmond"/>
    <m/>
    <m/>
    <m/>
    <m/>
    <x v="0"/>
  </r>
  <r>
    <s v="17/4002/FUL"/>
    <s v="CON"/>
    <m/>
    <s v="228 Kingston Road_x000d_Teddington"/>
    <s v="Reversion of the existing premises (2 flats) back into a single family dwelling house involving construction of a new two storey rear extension, rear loft extension and alterations to the existing front dormer."/>
    <d v="2018-04-30T00:00:00"/>
    <d v="2018-10-01T00:00:00"/>
    <x v="0"/>
    <s v="Open Market"/>
    <n v="517027"/>
    <n v="170370"/>
    <m/>
    <n v="1"/>
    <n v="1"/>
    <n v="0"/>
    <n v="0"/>
    <m/>
    <m/>
    <m/>
    <n v="2"/>
    <m/>
    <n v="0"/>
    <n v="0"/>
    <n v="0"/>
    <n v="1"/>
    <m/>
    <m/>
    <m/>
    <n v="1"/>
    <m/>
    <n v="-1"/>
    <n v="-1"/>
    <n v="0"/>
    <n v="1"/>
    <n v="0"/>
    <n v="0"/>
    <n v="0"/>
    <n v="-1"/>
    <m/>
    <n v="-1"/>
    <n v="0"/>
    <n v="0"/>
    <n v="0"/>
    <n v="0"/>
    <n v="0"/>
    <n v="0"/>
    <n v="0"/>
    <n v="0"/>
    <n v="0"/>
    <n v="0"/>
    <n v="0"/>
    <n v="0"/>
    <s v="Hampton Wick"/>
    <m/>
    <m/>
    <m/>
    <m/>
    <x v="0"/>
  </r>
  <r>
    <s v="17/4166/FUL"/>
    <s v="NEW"/>
    <m/>
    <s v="37 Ferry Road_x000d_Barnes_x000d_London_x000d_SW13 9PP"/>
    <s v="Retrospective application for the retention of the dwelling in situ comprising a new single family dwelling including a basement level."/>
    <m/>
    <d v="2018-05-16T00:00:00"/>
    <x v="0"/>
    <s v="Open Market"/>
    <n v="522177"/>
    <n v="177100"/>
    <m/>
    <n v="0"/>
    <n v="0"/>
    <n v="0"/>
    <n v="0"/>
    <n v="1"/>
    <m/>
    <m/>
    <n v="1"/>
    <m/>
    <n v="0"/>
    <n v="0"/>
    <n v="0"/>
    <n v="0"/>
    <n v="1"/>
    <m/>
    <m/>
    <n v="1"/>
    <m/>
    <n v="0"/>
    <n v="0"/>
    <n v="0"/>
    <n v="0"/>
    <n v="0"/>
    <n v="0"/>
    <n v="0"/>
    <n v="0"/>
    <m/>
    <n v="0"/>
    <n v="0"/>
    <n v="0"/>
    <n v="0"/>
    <n v="0"/>
    <n v="0"/>
    <n v="0"/>
    <n v="0"/>
    <n v="0"/>
    <n v="0"/>
    <n v="0"/>
    <n v="0"/>
    <n v="0"/>
    <s v="Barnes"/>
    <m/>
    <m/>
    <m/>
    <m/>
    <x v="0"/>
  </r>
  <r>
    <s v="17/4605/GPD15"/>
    <s v="CHU"/>
    <s v="PA"/>
    <s v="10 Church Lane_x000d_Teddington_x000d_TW11 8PA"/>
    <s v="Change of use from offices (B1a) to residential (C3) to provide 1 x 3 bed dwellinghouse."/>
    <m/>
    <d v="2018-08-22T00:00:00"/>
    <x v="0"/>
    <s v="Open Market"/>
    <n v="515785"/>
    <n v="171101"/>
    <m/>
    <n v="0"/>
    <n v="0"/>
    <n v="0"/>
    <n v="0"/>
    <m/>
    <m/>
    <m/>
    <n v="0"/>
    <m/>
    <n v="0"/>
    <n v="0"/>
    <n v="1"/>
    <n v="0"/>
    <m/>
    <m/>
    <m/>
    <n v="1"/>
    <m/>
    <n v="0"/>
    <n v="0"/>
    <n v="1"/>
    <n v="0"/>
    <n v="0"/>
    <n v="0"/>
    <n v="0"/>
    <n v="1"/>
    <m/>
    <n v="1"/>
    <n v="0"/>
    <n v="0"/>
    <n v="0"/>
    <n v="0"/>
    <n v="0"/>
    <n v="0"/>
    <n v="0"/>
    <n v="0"/>
    <n v="0"/>
    <n v="0"/>
    <n v="0"/>
    <n v="0"/>
    <s v="Teddington"/>
    <m/>
    <m/>
    <s v="Teddington"/>
    <m/>
    <x v="0"/>
  </r>
  <r>
    <s v="18/0049/FUL"/>
    <s v="CHU"/>
    <m/>
    <s v="269 - 271 Sandycombe Road_x000d_Richmond"/>
    <s v="Change of use to Bed and Breakfast accommodation (use class C1 - Hotel/Guesthouse)."/>
    <m/>
    <d v="2018-05-01T00:00:00"/>
    <x v="0"/>
    <s v="Open Market"/>
    <n v="519113"/>
    <n v="176398"/>
    <m/>
    <n v="0"/>
    <n v="0"/>
    <n v="0"/>
    <n v="0"/>
    <m/>
    <n v="1"/>
    <m/>
    <n v="1"/>
    <m/>
    <n v="0"/>
    <n v="0"/>
    <n v="0"/>
    <n v="0"/>
    <m/>
    <m/>
    <m/>
    <n v="0"/>
    <m/>
    <n v="0"/>
    <n v="0"/>
    <n v="0"/>
    <n v="0"/>
    <n v="0"/>
    <n v="-1"/>
    <n v="0"/>
    <n v="-1"/>
    <m/>
    <n v="-1"/>
    <n v="0"/>
    <n v="0"/>
    <n v="0"/>
    <n v="0"/>
    <n v="0"/>
    <n v="0"/>
    <n v="0"/>
    <n v="0"/>
    <n v="0"/>
    <n v="0"/>
    <n v="0"/>
    <n v="0"/>
    <s v="Kew"/>
    <m/>
    <m/>
    <m/>
    <m/>
    <x v="0"/>
  </r>
  <r>
    <s v="18/0197/FUL"/>
    <s v="CON"/>
    <m/>
    <s v="32 Curtis Road_x000a_Whitton_x000a_TW4 5PT"/>
    <s v="Reversion of the property from 2 no. flats back into one single 3 bed residential dwelling."/>
    <m/>
    <d v="2019-02-20T00:00:00"/>
    <x v="0"/>
    <s v="Open Market"/>
    <n v="512524"/>
    <n v="173600"/>
    <m/>
    <n v="2"/>
    <n v="0"/>
    <n v="0"/>
    <n v="0"/>
    <m/>
    <m/>
    <m/>
    <n v="2"/>
    <m/>
    <n v="0"/>
    <n v="0"/>
    <n v="1"/>
    <n v="0"/>
    <m/>
    <m/>
    <m/>
    <n v="1"/>
    <m/>
    <n v="-2"/>
    <n v="0"/>
    <n v="1"/>
    <n v="0"/>
    <n v="0"/>
    <n v="0"/>
    <n v="0"/>
    <n v="-1"/>
    <m/>
    <n v="-1"/>
    <n v="0"/>
    <n v="0"/>
    <n v="0"/>
    <n v="0"/>
    <n v="0"/>
    <n v="0"/>
    <n v="0"/>
    <n v="0"/>
    <n v="0"/>
    <n v="0"/>
    <n v="0"/>
    <n v="0"/>
    <s v="Heathfield"/>
    <m/>
    <m/>
    <m/>
    <m/>
    <x v="0"/>
  </r>
  <r>
    <s v="18/0420/FUL"/>
    <s v="CON"/>
    <m/>
    <s v="43 - 43A Lonsdale Road Barnes"/>
    <s v="Demolition of a single storey side extension, erection of a single-storey link extension between main dwelling (43) and detached coach house (43A) to facilitate the creation of one single family dwelling (Use Class C3)."/>
    <m/>
    <d v="2018-11-01T00:00:00"/>
    <x v="0"/>
    <s v="Open Market"/>
    <n v="522363"/>
    <n v="177795"/>
    <m/>
    <n v="1"/>
    <n v="0"/>
    <n v="0"/>
    <n v="0"/>
    <n v="1"/>
    <m/>
    <m/>
    <n v="2"/>
    <m/>
    <n v="0"/>
    <n v="0"/>
    <n v="0"/>
    <n v="0"/>
    <m/>
    <n v="1"/>
    <m/>
    <n v="1"/>
    <m/>
    <n v="-1"/>
    <n v="0"/>
    <n v="0"/>
    <n v="0"/>
    <n v="-1"/>
    <n v="1"/>
    <n v="0"/>
    <n v="-1"/>
    <m/>
    <n v="-1"/>
    <n v="0"/>
    <n v="0"/>
    <n v="0"/>
    <n v="0"/>
    <n v="0"/>
    <n v="0"/>
    <n v="0"/>
    <n v="0"/>
    <n v="0"/>
    <n v="0"/>
    <n v="0"/>
    <n v="0"/>
    <s v="Barnes"/>
    <m/>
    <m/>
    <m/>
    <m/>
    <x v="0"/>
  </r>
  <r>
    <s v="18/0774/ES191"/>
    <s v="CON"/>
    <m/>
    <s v="7A Kneller Road_x000d_Twickenham_x000d_TW2 7DF"/>
    <s v="Application to establish the use of No.7A Kneller Road as a separate self-contained dwelling unit."/>
    <d v="2018-05-14T00:00:00"/>
    <d v="2018-05-14T00:00:00"/>
    <x v="0"/>
    <s v="Open Market"/>
    <n v="515074"/>
    <n v="174033"/>
    <m/>
    <n v="0"/>
    <n v="0"/>
    <n v="0"/>
    <n v="1"/>
    <m/>
    <m/>
    <m/>
    <n v="1"/>
    <m/>
    <n v="1"/>
    <n v="0"/>
    <n v="1"/>
    <n v="0"/>
    <m/>
    <m/>
    <m/>
    <n v="2"/>
    <m/>
    <n v="1"/>
    <n v="0"/>
    <n v="1"/>
    <n v="-1"/>
    <n v="0"/>
    <n v="0"/>
    <n v="0"/>
    <n v="1"/>
    <m/>
    <n v="1"/>
    <n v="0"/>
    <n v="0"/>
    <n v="0"/>
    <n v="0"/>
    <n v="0"/>
    <n v="0"/>
    <n v="0"/>
    <n v="0"/>
    <n v="0"/>
    <n v="0"/>
    <n v="0"/>
    <n v="0"/>
    <s v="Whitton"/>
    <m/>
    <m/>
    <m/>
    <m/>
    <x v="0"/>
  </r>
  <r>
    <s v="18/1174/FUL"/>
    <s v="EXT"/>
    <m/>
    <s v="139 Waldegrave Road_x000a_Teddington_x000a_TW11 8LL"/>
    <s v="Enlargement of existing basement level and new windows and doors to facilitate the conversion of the basement to form an independent 1 x 1B2P self-contained flat."/>
    <m/>
    <d v="2019-03-30T00:00:00"/>
    <x v="0"/>
    <s v="Open Market"/>
    <n v="515678"/>
    <n v="171479"/>
    <m/>
    <n v="0"/>
    <n v="0"/>
    <n v="0"/>
    <n v="0"/>
    <m/>
    <m/>
    <m/>
    <n v="0"/>
    <m/>
    <n v="1"/>
    <n v="0"/>
    <n v="0"/>
    <n v="0"/>
    <m/>
    <m/>
    <m/>
    <n v="1"/>
    <m/>
    <n v="1"/>
    <n v="0"/>
    <n v="0"/>
    <n v="0"/>
    <n v="0"/>
    <n v="0"/>
    <n v="0"/>
    <n v="1"/>
    <m/>
    <n v="1"/>
    <n v="0"/>
    <n v="0"/>
    <n v="0"/>
    <n v="0"/>
    <n v="0"/>
    <n v="0"/>
    <n v="0"/>
    <n v="0"/>
    <n v="0"/>
    <n v="0"/>
    <n v="0"/>
    <n v="0"/>
    <s v="Teddington"/>
    <m/>
    <m/>
    <m/>
    <m/>
    <x v="0"/>
  </r>
  <r>
    <s v="18/1301/FUL"/>
    <s v="CON"/>
    <m/>
    <s v="9 Gloucester Road Teddington TW11 0NS"/>
    <s v="Conversion of existing basement 1no. 3 bedroom flat to 2no. one bedroom flats. Demolition of existing garage. associated hard and soft landscaping, parking and cycle parking. Alterations to fenestration including the installation of roof lights. Raising"/>
    <m/>
    <d v="2019-03-30T00:00:00"/>
    <x v="0"/>
    <s v="Open Market"/>
    <n v="515214"/>
    <n v="171265"/>
    <m/>
    <n v="0"/>
    <n v="0"/>
    <n v="1"/>
    <n v="0"/>
    <m/>
    <m/>
    <m/>
    <n v="1"/>
    <m/>
    <n v="2"/>
    <n v="0"/>
    <n v="0"/>
    <n v="0"/>
    <m/>
    <m/>
    <m/>
    <n v="2"/>
    <m/>
    <n v="2"/>
    <n v="0"/>
    <n v="-1"/>
    <n v="0"/>
    <n v="0"/>
    <n v="0"/>
    <n v="0"/>
    <n v="1"/>
    <m/>
    <n v="1"/>
    <n v="0"/>
    <n v="0"/>
    <n v="0"/>
    <n v="0"/>
    <n v="0"/>
    <n v="0"/>
    <n v="0"/>
    <n v="0"/>
    <n v="0"/>
    <n v="0"/>
    <n v="0"/>
    <n v="0"/>
    <s v="Fulwell and Hampton Hill"/>
    <m/>
    <m/>
    <m/>
    <m/>
    <x v="0"/>
  </r>
  <r>
    <s v="18/1374/FUL"/>
    <s v="CON"/>
    <m/>
    <s v="19 - 20 Courtlands Avenue_x000d_Kew"/>
    <s v="Conversion of 2 maisonettes into 1 family dwellinghouse including associated external and internal alterations."/>
    <m/>
    <d v="2019-03-01T00:00:00"/>
    <x v="0"/>
    <s v="Open Market"/>
    <n v="512853"/>
    <n v="170579"/>
    <m/>
    <n v="0"/>
    <n v="2"/>
    <n v="0"/>
    <n v="0"/>
    <m/>
    <m/>
    <m/>
    <n v="2"/>
    <m/>
    <n v="0"/>
    <n v="0"/>
    <n v="1"/>
    <n v="0"/>
    <m/>
    <m/>
    <m/>
    <n v="1"/>
    <m/>
    <n v="0"/>
    <n v="-2"/>
    <n v="1"/>
    <n v="0"/>
    <n v="0"/>
    <n v="0"/>
    <n v="0"/>
    <n v="-1"/>
    <m/>
    <n v="-1"/>
    <n v="0"/>
    <n v="0"/>
    <n v="0"/>
    <n v="0"/>
    <n v="0"/>
    <n v="0"/>
    <n v="0"/>
    <n v="0"/>
    <n v="0"/>
    <n v="0"/>
    <n v="0"/>
    <n v="0"/>
    <s v="Hampton North"/>
    <m/>
    <m/>
    <m/>
    <m/>
    <x v="0"/>
  </r>
  <r>
    <s v="18/1549/FUL"/>
    <s v="CHU"/>
    <m/>
    <s v="102 Oldfield Road_x000d_Hampton_x000d_TW12 2HR"/>
    <s v="Part change of use and part reversion from 1x2 bed ground floor flat and 1x3 bed (HMO) on first floor flat to a 1x4 bed (6 persons) dwellinghouse (retrospective). Proposed works would include the removal of 3 parking spaces to the front with 2 parking sp"/>
    <m/>
    <d v="2018-11-14T00:00:00"/>
    <x v="0"/>
    <s v="Open Market"/>
    <n v="512973"/>
    <n v="169743"/>
    <m/>
    <n v="0"/>
    <n v="1"/>
    <n v="1"/>
    <n v="0"/>
    <m/>
    <m/>
    <m/>
    <n v="2"/>
    <m/>
    <n v="0"/>
    <n v="0"/>
    <n v="0"/>
    <n v="1"/>
    <m/>
    <m/>
    <m/>
    <n v="1"/>
    <m/>
    <n v="0"/>
    <n v="-1"/>
    <n v="-1"/>
    <n v="1"/>
    <n v="0"/>
    <n v="0"/>
    <n v="0"/>
    <n v="-1"/>
    <m/>
    <n v="-1"/>
    <n v="0"/>
    <n v="0"/>
    <n v="0"/>
    <n v="0"/>
    <n v="0"/>
    <n v="0"/>
    <n v="0"/>
    <n v="0"/>
    <n v="0"/>
    <n v="0"/>
    <n v="0"/>
    <n v="0"/>
    <s v="Hampton"/>
    <m/>
    <m/>
    <m/>
    <m/>
    <x v="0"/>
  </r>
  <r>
    <s v="18/2847/ES191"/>
    <s v="CHU"/>
    <m/>
    <s v="4 Waldeck Road_x000d_Mortlake_x000d_London_x000d_SW14 7HF"/>
    <s v="Establish use as single dwellinghouse (C3 residential use)"/>
    <m/>
    <d v="2018-10-02T00:00:00"/>
    <x v="0"/>
    <s v="Open Market"/>
    <n v="520298"/>
    <n v="175843"/>
    <m/>
    <n v="0"/>
    <n v="0"/>
    <n v="0"/>
    <n v="0"/>
    <m/>
    <m/>
    <m/>
    <n v="0"/>
    <m/>
    <n v="0"/>
    <n v="1"/>
    <n v="0"/>
    <n v="0"/>
    <m/>
    <m/>
    <m/>
    <n v="1"/>
    <m/>
    <n v="0"/>
    <n v="1"/>
    <n v="0"/>
    <n v="0"/>
    <n v="0"/>
    <n v="0"/>
    <n v="0"/>
    <n v="1"/>
    <m/>
    <n v="1"/>
    <n v="0"/>
    <n v="0"/>
    <n v="0"/>
    <n v="0"/>
    <n v="0"/>
    <n v="0"/>
    <n v="0"/>
    <n v="0"/>
    <n v="0"/>
    <n v="0"/>
    <n v="0"/>
    <n v="0"/>
    <s v="Mortlake and Barnes Common"/>
    <m/>
    <s v="Mortlake"/>
    <m/>
    <m/>
    <x v="0"/>
  </r>
  <r>
    <s v="18/3117/FUL"/>
    <s v="CHU"/>
    <m/>
    <s v="Courtview House_x000d_Hampton Court Road_x000d_Hampton"/>
    <s v="Change of use of the basement and second floor from office (Use Class B1) to two two-bedroom residential dwellings (Use Class C3)."/>
    <m/>
    <d v="2019-01-24T00:00:00"/>
    <x v="0"/>
    <s v="Open Market"/>
    <n v="515641"/>
    <n v="168852"/>
    <m/>
    <n v="0"/>
    <n v="0"/>
    <n v="0"/>
    <n v="0"/>
    <m/>
    <m/>
    <m/>
    <n v="0"/>
    <m/>
    <n v="0"/>
    <n v="2"/>
    <n v="0"/>
    <n v="0"/>
    <m/>
    <m/>
    <m/>
    <n v="2"/>
    <m/>
    <n v="0"/>
    <n v="2"/>
    <n v="0"/>
    <n v="0"/>
    <n v="0"/>
    <n v="0"/>
    <n v="0"/>
    <n v="2"/>
    <m/>
    <n v="2"/>
    <n v="0"/>
    <n v="0"/>
    <n v="0"/>
    <n v="0"/>
    <n v="0"/>
    <n v="0"/>
    <n v="0"/>
    <n v="0"/>
    <n v="0"/>
    <n v="0"/>
    <n v="0"/>
    <n v="0"/>
    <s v="Hampton"/>
    <m/>
    <m/>
    <m/>
    <m/>
    <x v="0"/>
  </r>
  <r>
    <s v="18/3940/GPD13"/>
    <s v="CHU"/>
    <s v="PA"/>
    <s v="138 Kneller Road_x000d_Twickenham_x000d_TW2 7DX"/>
    <s v="Change of use from betting shop (sui generis) to C3 (residential) use to provide 2 x 1 bedroom flats."/>
    <m/>
    <d v="2019-02-22T00:00:00"/>
    <x v="0"/>
    <s v="Open Market"/>
    <n v="514454"/>
    <n v="174275"/>
    <m/>
    <n v="0"/>
    <n v="0"/>
    <n v="0"/>
    <n v="0"/>
    <m/>
    <m/>
    <m/>
    <n v="0"/>
    <m/>
    <n v="2"/>
    <n v="0"/>
    <n v="0"/>
    <n v="0"/>
    <m/>
    <m/>
    <m/>
    <n v="2"/>
    <m/>
    <n v="2"/>
    <n v="0"/>
    <n v="0"/>
    <n v="0"/>
    <n v="0"/>
    <n v="0"/>
    <n v="0"/>
    <n v="2"/>
    <m/>
    <n v="2"/>
    <n v="0"/>
    <n v="0"/>
    <n v="0"/>
    <n v="0"/>
    <n v="0"/>
    <n v="0"/>
    <n v="0"/>
    <n v="0"/>
    <n v="0"/>
    <n v="0"/>
    <n v="0"/>
    <n v="0"/>
    <s v="Whitton"/>
    <m/>
    <m/>
    <m/>
    <m/>
    <x v="0"/>
  </r>
  <r>
    <s v="18/4092/FUL"/>
    <s v="CHU"/>
    <m/>
    <s v="Third Floor_x000d_49 - 53 York Street_x000d_Twickenham_x000d_TW1 3LP"/>
    <s v="Change of use of the third floor from residential (use class C3) to office (B1a), the provision of cycle parking, car parking alterations and associated works."/>
    <m/>
    <d v="2019-03-29T00:00:00"/>
    <x v="0"/>
    <s v="Open Market"/>
    <n v="516416"/>
    <n v="173450"/>
    <m/>
    <n v="1"/>
    <n v="1"/>
    <n v="0"/>
    <n v="0"/>
    <m/>
    <m/>
    <m/>
    <n v="2"/>
    <m/>
    <n v="0"/>
    <n v="0"/>
    <n v="0"/>
    <n v="0"/>
    <m/>
    <m/>
    <m/>
    <n v="0"/>
    <m/>
    <n v="-1"/>
    <n v="-1"/>
    <n v="0"/>
    <n v="0"/>
    <n v="0"/>
    <n v="0"/>
    <n v="0"/>
    <n v="-2"/>
    <m/>
    <n v="-2"/>
    <n v="0"/>
    <n v="0"/>
    <n v="0"/>
    <n v="0"/>
    <n v="0"/>
    <n v="0"/>
    <n v="0"/>
    <n v="0"/>
    <n v="0"/>
    <n v="0"/>
    <n v="0"/>
    <n v="0"/>
    <s v="Twickenham Riverside"/>
    <m/>
    <m/>
    <s v="Twickenham"/>
    <m/>
    <x v="0"/>
  </r>
  <r>
    <s v="19/0079/FUL"/>
    <s v="CHU"/>
    <m/>
    <s v="35A Westmoreland Road_x000d_Barnes_x000d_London_x000d_SW13 9RZ"/>
    <s v="Retrospective change of use from dwellinghouse (C3 use) to mixed dwellinghouse (C3 use) and children's day care (D1 use)."/>
    <m/>
    <d v="2019-03-07T00:00:00"/>
    <x v="0"/>
    <s v="Open Market"/>
    <n v="522111"/>
    <n v="176797"/>
    <m/>
    <n v="0"/>
    <n v="0"/>
    <n v="0"/>
    <n v="0"/>
    <n v="1"/>
    <m/>
    <m/>
    <n v="1"/>
    <m/>
    <n v="1"/>
    <n v="0"/>
    <n v="0"/>
    <n v="0"/>
    <m/>
    <m/>
    <m/>
    <n v="1"/>
    <m/>
    <n v="1"/>
    <n v="0"/>
    <n v="0"/>
    <n v="0"/>
    <n v="-1"/>
    <n v="0"/>
    <n v="0"/>
    <n v="0"/>
    <m/>
    <n v="0"/>
    <n v="0"/>
    <n v="0"/>
    <n v="0"/>
    <n v="0"/>
    <n v="0"/>
    <n v="0"/>
    <n v="0"/>
    <n v="0"/>
    <n v="0"/>
    <n v="0"/>
    <n v="0"/>
    <n v="0"/>
    <s v="Barnes"/>
    <m/>
    <m/>
    <m/>
    <m/>
    <x v="0"/>
  </r>
  <r>
    <s v="07/3348/FUL"/>
    <s v="NEW"/>
    <m/>
    <s v="289 Petersham Road_x000a_Richmond_x000a_Surrey_x000a_TW10 7DA"/>
    <s v="Demolition of existing house and outbuildings, construction of 3 houses."/>
    <d v="2012-08-17T00:00:00"/>
    <m/>
    <x v="1"/>
    <s v="Open Market"/>
    <n v="517856"/>
    <n v="172364"/>
    <m/>
    <n v="0"/>
    <n v="0"/>
    <n v="0"/>
    <n v="1"/>
    <m/>
    <m/>
    <m/>
    <n v="1"/>
    <m/>
    <n v="1"/>
    <n v="0"/>
    <n v="0"/>
    <n v="2"/>
    <m/>
    <m/>
    <m/>
    <n v="3"/>
    <m/>
    <n v="1"/>
    <n v="0"/>
    <n v="0"/>
    <n v="1"/>
    <n v="0"/>
    <n v="0"/>
    <n v="0"/>
    <n v="2"/>
    <m/>
    <n v="0"/>
    <n v="0"/>
    <n v="0"/>
    <n v="0"/>
    <n v="0"/>
    <n v="0"/>
    <n v="0"/>
    <n v="0"/>
    <n v="0"/>
    <n v="0"/>
    <n v="0"/>
    <n v="0"/>
    <n v="0"/>
    <s v="Ham, Petersham and Richmond Riverside"/>
    <m/>
    <m/>
    <m/>
    <m/>
    <x v="0"/>
  </r>
  <r>
    <s v="07/3512/FUL"/>
    <s v="NEW"/>
    <m/>
    <s v="64 Ormond Avenue Hampton TW12 2RX"/>
    <s v="Demolition of an existing bungalow and construction of two new residential units. Separate entrance will be provided to both dwellings. The developments two main levels: above lower ground and a built out roof area underneath a pitch roof."/>
    <d v="2011-01-25T00:00:00"/>
    <m/>
    <x v="1"/>
    <s v="Open Market"/>
    <n v="513713"/>
    <n v="169858"/>
    <m/>
    <n v="0"/>
    <n v="0"/>
    <n v="1"/>
    <n v="0"/>
    <m/>
    <m/>
    <m/>
    <n v="1"/>
    <m/>
    <n v="1"/>
    <n v="0"/>
    <n v="0"/>
    <n v="1"/>
    <m/>
    <m/>
    <m/>
    <n v="2"/>
    <m/>
    <n v="1"/>
    <n v="0"/>
    <n v="-1"/>
    <n v="1"/>
    <n v="0"/>
    <n v="0"/>
    <n v="0"/>
    <n v="1"/>
    <m/>
    <n v="0"/>
    <n v="0"/>
    <n v="0"/>
    <n v="0"/>
    <n v="0"/>
    <n v="0"/>
    <n v="0"/>
    <n v="0"/>
    <n v="0"/>
    <n v="0"/>
    <n v="0"/>
    <n v="0"/>
    <n v="0"/>
    <s v="Hampton"/>
    <m/>
    <m/>
    <m/>
    <m/>
    <x v="0"/>
  </r>
  <r>
    <s v="08/1760/EXT"/>
    <s v="NEW"/>
    <m/>
    <s v="St Pauls School_x000a_Lonsdale Road_x000a_Barnes_x000a_London_x000a_SW13 9JT"/>
    <s v="Application for a new planning permission to replace the extant planning permission 08/1760/OUT: 'Demolition of most of existing School buildings. Outline permission for the refurbishment of the sports hall and construction of a maximum of 36,090m2 floor"/>
    <d v="2011-10-01T00:00:00"/>
    <m/>
    <x v="1"/>
    <s v="Open Market"/>
    <n v="522437"/>
    <n v="178040"/>
    <n v="2"/>
    <n v="6"/>
    <n v="2"/>
    <n v="4"/>
    <n v="2"/>
    <m/>
    <m/>
    <m/>
    <n v="16"/>
    <n v="4"/>
    <n v="3"/>
    <n v="5"/>
    <n v="6"/>
    <n v="0"/>
    <m/>
    <m/>
    <m/>
    <n v="18"/>
    <n v="2"/>
    <n v="-3"/>
    <n v="3"/>
    <n v="2"/>
    <n v="-2"/>
    <n v="0"/>
    <n v="0"/>
    <n v="0"/>
    <n v="2"/>
    <m/>
    <n v="0"/>
    <n v="2"/>
    <n v="0"/>
    <n v="0"/>
    <n v="0"/>
    <n v="0"/>
    <n v="0"/>
    <n v="0"/>
    <n v="0"/>
    <n v="0"/>
    <n v="0"/>
    <n v="0"/>
    <n v="0"/>
    <s v="Barnes"/>
    <m/>
    <m/>
    <m/>
    <s v="Thames Policy Area"/>
    <x v="0"/>
  </r>
  <r>
    <s v="10/0312/FUL"/>
    <s v="NEW"/>
    <m/>
    <s v="72 Stanley Road_x000d_Teddington"/>
    <s v="Construction of three bedroom house and associated landscaping"/>
    <d v="2013-06-15T00:00:00"/>
    <m/>
    <x v="1"/>
    <s v="Open Market"/>
    <n v="515372"/>
    <n v="171266"/>
    <m/>
    <n v="0"/>
    <n v="0"/>
    <n v="0"/>
    <n v="0"/>
    <m/>
    <m/>
    <m/>
    <n v="0"/>
    <m/>
    <n v="0"/>
    <n v="0"/>
    <n v="1"/>
    <n v="0"/>
    <m/>
    <m/>
    <m/>
    <n v="1"/>
    <m/>
    <n v="0"/>
    <n v="0"/>
    <n v="1"/>
    <n v="0"/>
    <n v="0"/>
    <n v="0"/>
    <n v="0"/>
    <n v="1"/>
    <m/>
    <n v="0"/>
    <n v="1"/>
    <n v="0"/>
    <n v="0"/>
    <n v="0"/>
    <n v="0"/>
    <n v="0"/>
    <n v="0"/>
    <n v="0"/>
    <n v="0"/>
    <n v="0"/>
    <n v="0"/>
    <n v="0"/>
    <s v="Teddington"/>
    <m/>
    <m/>
    <m/>
    <m/>
    <x v="0"/>
  </r>
  <r>
    <s v="11/0468/PS192"/>
    <s v="NEW"/>
    <m/>
    <s v="Becketts Wharf And Osbourne House_x000a_Becketts Place_x000a_Hampton Wick"/>
    <s v="Continuing construction of block of 11 flats on site of Osbourne House under permission 07/2991/FUL after 28/02/2011 (when the permission would otherwise have expired) will be lawful."/>
    <d v="2011-03-07T00:00:00"/>
    <m/>
    <x v="1"/>
    <s v="Open Market"/>
    <n v="517650"/>
    <n v="169624"/>
    <m/>
    <n v="0"/>
    <n v="0"/>
    <n v="0"/>
    <n v="0"/>
    <m/>
    <m/>
    <m/>
    <n v="0"/>
    <m/>
    <n v="4"/>
    <n v="7"/>
    <n v="0"/>
    <n v="0"/>
    <m/>
    <m/>
    <m/>
    <n v="11"/>
    <m/>
    <n v="4"/>
    <n v="7"/>
    <n v="0"/>
    <n v="0"/>
    <n v="0"/>
    <n v="0"/>
    <n v="0"/>
    <n v="11"/>
    <m/>
    <n v="0"/>
    <n v="0"/>
    <n v="11"/>
    <n v="0"/>
    <n v="0"/>
    <n v="0"/>
    <n v="0"/>
    <s v="Y"/>
    <n v="0"/>
    <n v="0"/>
    <n v="0"/>
    <n v="0"/>
    <n v="0"/>
    <s v="Hampton Wick"/>
    <m/>
    <s v="Hampton Wick"/>
    <m/>
    <s v="Thames Policy Area"/>
    <x v="0"/>
  </r>
  <r>
    <s v="11/1443/FUL"/>
    <s v="NEW"/>
    <m/>
    <s v="Twickenham Railway Station London Road Twickenham TW1 1BD"/>
    <s v="Demolition of existing station building and access gantries to the platforms and a phased redevelopment to provide; _x000d_1. Removal of existing footbridge structures, adjustment of existing platform canopies and rebuilding of a section of the London Road wal"/>
    <d v="2015-03-14T00:00:00"/>
    <m/>
    <x v="1"/>
    <s v="Open Market"/>
    <n v="516095"/>
    <n v="173690"/>
    <m/>
    <n v="0"/>
    <n v="0"/>
    <n v="0"/>
    <n v="0"/>
    <m/>
    <m/>
    <m/>
    <n v="0"/>
    <m/>
    <n v="24"/>
    <n v="79"/>
    <n v="12"/>
    <n v="0"/>
    <m/>
    <m/>
    <m/>
    <n v="115"/>
    <m/>
    <n v="24"/>
    <n v="79"/>
    <n v="12"/>
    <n v="0"/>
    <n v="0"/>
    <n v="0"/>
    <n v="0"/>
    <n v="115"/>
    <m/>
    <n v="0"/>
    <n v="101"/>
    <n v="24"/>
    <n v="0"/>
    <n v="0"/>
    <n v="0"/>
    <n v="0"/>
    <s v="Y"/>
    <n v="0"/>
    <n v="0"/>
    <n v="0"/>
    <n v="0"/>
    <n v="0"/>
    <s v="St. Margarets and North Twickenham"/>
    <m/>
    <m/>
    <s v="Twickenham"/>
    <m/>
    <x v="0"/>
  </r>
  <r>
    <s v="13/1327/FUL"/>
    <s v="CHU"/>
    <m/>
    <s v="Doughty House And Doughty Cottage_x000a_142 - 142A Richmond Hill_x000a_Richmond"/>
    <s v="Reversion of Doughty House and Doughty Cottage, change of use from D1 gallery to a single family dwelling. New conservatory with basement below; underground car parking beneath the upper garden and linked to Doughty House; part re-construction of rear el"/>
    <d v="2016-08-19T00:00:00"/>
    <m/>
    <x v="1"/>
    <s v="Open Market"/>
    <n v="518397"/>
    <n v="173968"/>
    <m/>
    <n v="0"/>
    <n v="0"/>
    <n v="0"/>
    <n v="2"/>
    <m/>
    <m/>
    <m/>
    <n v="2"/>
    <m/>
    <n v="0"/>
    <n v="0"/>
    <n v="0"/>
    <n v="1"/>
    <m/>
    <m/>
    <m/>
    <n v="1"/>
    <m/>
    <n v="0"/>
    <n v="0"/>
    <n v="0"/>
    <n v="-1"/>
    <n v="0"/>
    <n v="0"/>
    <n v="0"/>
    <n v="-1"/>
    <m/>
    <n v="0"/>
    <n v="0"/>
    <n v="0"/>
    <n v="0"/>
    <n v="0"/>
    <n v="0"/>
    <n v="0"/>
    <n v="0"/>
    <n v="0"/>
    <n v="0"/>
    <n v="0"/>
    <n v="0"/>
    <n v="0"/>
    <s v="Ham, Petersham and Richmond Riverside"/>
    <m/>
    <m/>
    <m/>
    <s v="Thames Policy Area"/>
    <x v="0"/>
  </r>
  <r>
    <s v="13/3913/P3JPA"/>
    <s v="CHU"/>
    <s v="PA"/>
    <s v="28 Barnes Avenue Barnes SW13 9AB"/>
    <s v="Change of use from B1(a) office to C3 residential."/>
    <d v="2015-07-01T00:00:00"/>
    <m/>
    <x v="1"/>
    <s v="Open Market"/>
    <n v="522336"/>
    <n v="177503"/>
    <m/>
    <n v="0"/>
    <n v="0"/>
    <n v="0"/>
    <n v="0"/>
    <m/>
    <m/>
    <m/>
    <n v="0"/>
    <m/>
    <n v="0"/>
    <n v="0"/>
    <n v="1"/>
    <n v="0"/>
    <m/>
    <m/>
    <m/>
    <n v="1"/>
    <m/>
    <n v="0"/>
    <n v="0"/>
    <n v="1"/>
    <n v="0"/>
    <n v="0"/>
    <n v="0"/>
    <n v="0"/>
    <n v="1"/>
    <m/>
    <n v="0"/>
    <n v="1"/>
    <n v="0"/>
    <n v="0"/>
    <n v="0"/>
    <n v="0"/>
    <n v="0"/>
    <n v="0"/>
    <n v="0"/>
    <n v="0"/>
    <n v="0"/>
    <n v="0"/>
    <n v="0"/>
    <s v="Barnes"/>
    <m/>
    <m/>
    <m/>
    <m/>
    <x v="0"/>
  </r>
  <r>
    <s v="14/1683/FUL"/>
    <s v="NEW"/>
    <m/>
    <s v="14 St Leonards Road East Sheen SW14 7LY"/>
    <s v="Demolition of mechanic workshop and construction of a new two storey building comprising a two bedroom maisonette at first floor and roof level and ground floor office (revised description)."/>
    <d v="2018-09-01T00:00:00"/>
    <m/>
    <x v="1"/>
    <s v="Open Market"/>
    <n v="520452"/>
    <n v="175621"/>
    <m/>
    <n v="0"/>
    <n v="0"/>
    <n v="0"/>
    <n v="0"/>
    <m/>
    <m/>
    <m/>
    <n v="0"/>
    <m/>
    <n v="0"/>
    <n v="1"/>
    <n v="0"/>
    <n v="0"/>
    <m/>
    <m/>
    <m/>
    <n v="1"/>
    <m/>
    <n v="0"/>
    <n v="1"/>
    <n v="0"/>
    <n v="0"/>
    <n v="0"/>
    <n v="0"/>
    <n v="0"/>
    <n v="1"/>
    <m/>
    <n v="0"/>
    <n v="0"/>
    <n v="1"/>
    <n v="0"/>
    <n v="0"/>
    <n v="0"/>
    <n v="0"/>
    <s v="Y"/>
    <n v="0"/>
    <n v="0"/>
    <n v="0"/>
    <n v="0"/>
    <n v="0"/>
    <s v="East Sheen"/>
    <m/>
    <m/>
    <m/>
    <m/>
    <x v="0"/>
  </r>
  <r>
    <s v="14/2118/FUL"/>
    <s v="CON"/>
    <m/>
    <s v="14 Sheen Gate Gardens_x000d_East Sheen_x000d_London"/>
    <s v="Conversion of existing block of 3 flats, back into onedwellinghouse. Demolition of existing part 2 storey, part single storey rear addition and erection of part 2 storey and part single storey rear extension. Erection of basement extension, part under ex"/>
    <d v="2017-10-01T00:00:00"/>
    <m/>
    <x v="1"/>
    <s v="Open Market"/>
    <n v="520243"/>
    <n v="175216"/>
    <m/>
    <n v="1"/>
    <n v="1"/>
    <n v="1"/>
    <n v="0"/>
    <m/>
    <m/>
    <m/>
    <n v="3"/>
    <m/>
    <n v="0"/>
    <n v="0"/>
    <n v="0"/>
    <n v="1"/>
    <m/>
    <m/>
    <m/>
    <n v="1"/>
    <m/>
    <n v="-1"/>
    <n v="-1"/>
    <n v="-1"/>
    <n v="1"/>
    <n v="0"/>
    <n v="0"/>
    <n v="0"/>
    <n v="-2"/>
    <m/>
    <n v="0"/>
    <n v="-2"/>
    <n v="0"/>
    <n v="0"/>
    <n v="0"/>
    <n v="0"/>
    <n v="0"/>
    <n v="0"/>
    <n v="0"/>
    <n v="0"/>
    <n v="0"/>
    <n v="0"/>
    <n v="0"/>
    <s v="East Sheen"/>
    <m/>
    <m/>
    <m/>
    <m/>
    <x v="0"/>
  </r>
  <r>
    <s v="14/2257/FUL"/>
    <s v="MIX"/>
    <m/>
    <s v="310 Nelson Road Twickenham TW2 7AJ"/>
    <s v="Partial rebuild and refurbishment of existing building and erection of two-storey side / rear extension with 3No. rear dormers to facilitate the formation of a mixed use building comprising a ground floor retail shop unit (A1 Use Class) and 4 No. 1-bedro"/>
    <d v="2016-06-01T00:00:00"/>
    <m/>
    <x v="1"/>
    <s v="Open Market"/>
    <n v="513482"/>
    <n v="173963"/>
    <m/>
    <n v="0"/>
    <n v="1"/>
    <n v="0"/>
    <n v="0"/>
    <m/>
    <m/>
    <m/>
    <n v="1"/>
    <m/>
    <n v="4"/>
    <n v="0"/>
    <n v="0"/>
    <n v="0"/>
    <m/>
    <m/>
    <m/>
    <n v="4"/>
    <m/>
    <n v="4"/>
    <n v="-1"/>
    <n v="0"/>
    <n v="0"/>
    <n v="0"/>
    <n v="0"/>
    <n v="0"/>
    <n v="3"/>
    <m/>
    <n v="0"/>
    <n v="3"/>
    <n v="0"/>
    <n v="0"/>
    <n v="0"/>
    <n v="0"/>
    <n v="0"/>
    <n v="0"/>
    <n v="0"/>
    <n v="0"/>
    <n v="0"/>
    <n v="0"/>
    <n v="0"/>
    <s v="Heathfield"/>
    <m/>
    <m/>
    <m/>
    <m/>
    <x v="0"/>
  </r>
  <r>
    <s v="14/2797/P3JPA"/>
    <s v="CHU"/>
    <s v="PA"/>
    <s v="Crane Mews 32 Gould Road Twickenham"/>
    <s v="Proposed change of use of part of an existing two storey office block (B1a Use Class) to Residential (C3 Use Class) creating 6 No.flats (comprising 1 x 1-bed unit and 5 x 2-bed units)."/>
    <d v="2017-06-30T00:00:00"/>
    <m/>
    <x v="1"/>
    <s v="Open Market"/>
    <n v="515206"/>
    <n v="173341"/>
    <m/>
    <n v="0"/>
    <n v="0"/>
    <n v="0"/>
    <n v="0"/>
    <m/>
    <m/>
    <m/>
    <n v="0"/>
    <m/>
    <n v="1"/>
    <n v="5"/>
    <n v="0"/>
    <n v="0"/>
    <m/>
    <m/>
    <m/>
    <n v="6"/>
    <m/>
    <n v="1"/>
    <n v="5"/>
    <n v="0"/>
    <n v="0"/>
    <n v="0"/>
    <n v="0"/>
    <n v="0"/>
    <n v="6"/>
    <m/>
    <n v="0"/>
    <n v="6"/>
    <n v="0"/>
    <n v="0"/>
    <n v="0"/>
    <n v="0"/>
    <n v="0"/>
    <n v="0"/>
    <n v="0"/>
    <n v="0"/>
    <n v="0"/>
    <n v="0"/>
    <n v="0"/>
    <s v="South Twickenham"/>
    <m/>
    <m/>
    <m/>
    <m/>
    <x v="0"/>
  </r>
  <r>
    <s v="14/3011/FUL"/>
    <s v="CHU"/>
    <m/>
    <s v="2 Broad Street_x000a_Teddington_x000a_TW11 8RF"/>
    <s v="Refurbishment and remodelling of the existing dry cleaners (Use Class A1: Shops)  and workshop (Use Class B1c: light industrial) including infill extensions and alterations, conversion of seven x one self-contained flats to six residential flats (compris"/>
    <d v="2018-04-04T00:00:00"/>
    <m/>
    <x v="1"/>
    <s v="Open Market"/>
    <n v="515537"/>
    <n v="170973"/>
    <m/>
    <n v="1"/>
    <n v="0"/>
    <n v="0"/>
    <n v="0"/>
    <m/>
    <m/>
    <m/>
    <n v="1"/>
    <m/>
    <n v="2"/>
    <n v="4"/>
    <n v="0"/>
    <n v="0"/>
    <m/>
    <m/>
    <m/>
    <n v="6"/>
    <m/>
    <n v="1"/>
    <n v="4"/>
    <n v="0"/>
    <n v="0"/>
    <n v="0"/>
    <n v="0"/>
    <n v="0"/>
    <n v="5"/>
    <m/>
    <n v="0"/>
    <n v="0"/>
    <n v="5"/>
    <n v="0"/>
    <n v="0"/>
    <n v="0"/>
    <n v="0"/>
    <s v="Y"/>
    <n v="0"/>
    <n v="0"/>
    <n v="0"/>
    <n v="0"/>
    <n v="0"/>
    <s v="Teddington"/>
    <m/>
    <m/>
    <s v="Teddington"/>
    <m/>
    <x v="0"/>
  </r>
  <r>
    <s v="14/3780/FUL"/>
    <s v="MIX"/>
    <m/>
    <s v="Richmond Film Services_x000d_Park Lane_x000d_Richmond_x000d_TW9 2RA"/>
    <s v="The conversion and restoration of the Old School building to form 5 no. residential apartments, and 90 square metres of B1a Office space, and the erection of 3no. terraced townhouses with basement accommodation at the rear, with car parking, landscaping,"/>
    <d v="2016-07-01T00:00:00"/>
    <m/>
    <x v="1"/>
    <s v="Open Market"/>
    <n v="517917"/>
    <n v="175196"/>
    <m/>
    <n v="0"/>
    <n v="0"/>
    <n v="0"/>
    <n v="0"/>
    <m/>
    <m/>
    <m/>
    <n v="0"/>
    <m/>
    <n v="0"/>
    <n v="5"/>
    <n v="3"/>
    <n v="0"/>
    <m/>
    <m/>
    <m/>
    <n v="8"/>
    <m/>
    <n v="0"/>
    <n v="5"/>
    <n v="3"/>
    <n v="0"/>
    <n v="0"/>
    <n v="0"/>
    <n v="0"/>
    <n v="8"/>
    <m/>
    <n v="0"/>
    <n v="8"/>
    <n v="0"/>
    <n v="0"/>
    <n v="0"/>
    <n v="0"/>
    <n v="0"/>
    <n v="0"/>
    <n v="0"/>
    <n v="0"/>
    <n v="0"/>
    <n v="0"/>
    <n v="0"/>
    <s v="South Richmond"/>
    <m/>
    <m/>
    <s v="Richmond"/>
    <m/>
    <x v="0"/>
  </r>
  <r>
    <s v="14/3983/FUL"/>
    <s v="NEW"/>
    <m/>
    <s v="Kings Road Garage Kings Road Richmond TW10 6EG"/>
    <s v="Demolition of existing buildings and erection of 2 pairs of two storey four bedroom townhouses, with basements, roofspace accomodation, associated landscaping and 4 car parking spaces."/>
    <d v="2017-04-14T00:00:00"/>
    <m/>
    <x v="1"/>
    <s v="Open Market"/>
    <n v="518627"/>
    <n v="175012"/>
    <m/>
    <n v="0"/>
    <n v="0"/>
    <n v="0"/>
    <n v="0"/>
    <m/>
    <m/>
    <m/>
    <n v="0"/>
    <m/>
    <n v="0"/>
    <n v="0"/>
    <n v="0"/>
    <n v="4"/>
    <m/>
    <m/>
    <m/>
    <n v="4"/>
    <m/>
    <n v="0"/>
    <n v="0"/>
    <n v="0"/>
    <n v="4"/>
    <n v="0"/>
    <n v="0"/>
    <n v="0"/>
    <n v="4"/>
    <m/>
    <n v="0"/>
    <n v="4"/>
    <n v="0"/>
    <n v="0"/>
    <n v="0"/>
    <n v="0"/>
    <n v="0"/>
    <n v="0"/>
    <n v="0"/>
    <n v="0"/>
    <n v="0"/>
    <n v="0"/>
    <n v="0"/>
    <s v="South Richmond"/>
    <m/>
    <m/>
    <m/>
    <m/>
    <x v="0"/>
  </r>
  <r>
    <s v="14/4464/P3JPA"/>
    <s v="CHU"/>
    <s v="PA"/>
    <s v="111 Heath Road Twickenham TW1 4AH"/>
    <s v="Change of use of part of the ground floor and first floor offices (B1a) to residential (C3) comprising 6 one bed  residential units."/>
    <d v="2018-02-01T00:00:00"/>
    <m/>
    <x v="1"/>
    <s v="Open Market"/>
    <n v="515764"/>
    <n v="173105"/>
    <m/>
    <n v="0"/>
    <n v="0"/>
    <n v="0"/>
    <n v="0"/>
    <m/>
    <m/>
    <m/>
    <n v="0"/>
    <m/>
    <n v="6"/>
    <n v="0"/>
    <n v="0"/>
    <n v="0"/>
    <m/>
    <m/>
    <m/>
    <n v="6"/>
    <m/>
    <n v="6"/>
    <n v="0"/>
    <n v="0"/>
    <n v="0"/>
    <n v="0"/>
    <n v="0"/>
    <n v="0"/>
    <n v="6"/>
    <m/>
    <n v="0"/>
    <n v="6"/>
    <n v="0"/>
    <n v="0"/>
    <n v="0"/>
    <n v="0"/>
    <n v="0"/>
    <n v="0"/>
    <n v="0"/>
    <n v="0"/>
    <n v="0"/>
    <n v="0"/>
    <n v="0"/>
    <s v="South Twickenham"/>
    <m/>
    <m/>
    <s v="Twickenham"/>
    <m/>
    <x v="0"/>
  </r>
  <r>
    <s v="14/4721/FUL"/>
    <s v="NEW"/>
    <m/>
    <s v="97A White Hart Lane Barnes SW13 0JL"/>
    <s v="Demolition of the existing buildings and erection of a mixed-use residential-led redevelopment of two storeys over basement with roof accommodation and balconies and roof terraces comprising eight apartments; 401m2 of B1(a) floorspace; twelve car parking"/>
    <d v="2018-06-25T00:00:00"/>
    <m/>
    <x v="1"/>
    <s v="Open Market"/>
    <n v="521414"/>
    <n v="175749"/>
    <m/>
    <n v="0"/>
    <n v="0"/>
    <n v="0"/>
    <n v="0"/>
    <m/>
    <m/>
    <m/>
    <n v="0"/>
    <m/>
    <n v="2"/>
    <n v="6"/>
    <n v="0"/>
    <n v="0"/>
    <m/>
    <m/>
    <m/>
    <n v="8"/>
    <m/>
    <n v="2"/>
    <n v="6"/>
    <n v="0"/>
    <n v="0"/>
    <n v="0"/>
    <n v="0"/>
    <n v="0"/>
    <n v="8"/>
    <m/>
    <n v="0"/>
    <n v="0"/>
    <n v="8"/>
    <n v="0"/>
    <n v="0"/>
    <n v="0"/>
    <n v="0"/>
    <s v="Y"/>
    <n v="0"/>
    <n v="0"/>
    <n v="0"/>
    <n v="0"/>
    <n v="0"/>
    <s v="Mortlake and Barnes Common"/>
    <m/>
    <s v="White Hart lane"/>
    <m/>
    <m/>
    <x v="0"/>
  </r>
  <r>
    <s v="14/4793/FUL"/>
    <s v="MIX"/>
    <m/>
    <s v="42 Sheen Lane East Sheen SW14 8LP"/>
    <s v="Refurbishment of existing shop and refurbishment and part extension of existing 1st floor flat to provide 2 new 1 and 2 bed flats. Refurbishment and part demolition of existing 2 storey barn to provide new 2 bed 2 storey dwelling."/>
    <d v="2018-01-14T00:00:00"/>
    <d v="2019-08-31T00:00:00"/>
    <x v="1"/>
    <s v="Open Market"/>
    <n v="520471"/>
    <n v="175586"/>
    <m/>
    <n v="0"/>
    <n v="0"/>
    <n v="0"/>
    <n v="1"/>
    <m/>
    <m/>
    <m/>
    <n v="1"/>
    <m/>
    <n v="1"/>
    <n v="2"/>
    <n v="0"/>
    <n v="0"/>
    <m/>
    <m/>
    <m/>
    <n v="3"/>
    <m/>
    <n v="1"/>
    <n v="2"/>
    <n v="0"/>
    <n v="-1"/>
    <n v="0"/>
    <n v="0"/>
    <n v="0"/>
    <n v="2"/>
    <m/>
    <n v="0"/>
    <n v="2"/>
    <n v="0"/>
    <n v="0"/>
    <n v="0"/>
    <n v="0"/>
    <n v="0"/>
    <n v="0"/>
    <n v="0"/>
    <n v="0"/>
    <n v="0"/>
    <n v="0"/>
    <n v="0"/>
    <s v="East Sheen"/>
    <m/>
    <m/>
    <s v="East Sheen"/>
    <m/>
    <x v="0"/>
  </r>
  <r>
    <s v="14/5306/FUL"/>
    <s v="CHU"/>
    <m/>
    <s v="21 - 21A St Johns Road Richmond"/>
    <s v="Change of use from B1 to residential (Number 21) and demolition of existing 2-storey dwelling (21A) with erection of back extension with basement"/>
    <d v="2017-05-01T00:00:00"/>
    <m/>
    <x v="1"/>
    <s v="Open Market"/>
    <n v="518248"/>
    <n v="175334"/>
    <m/>
    <n v="0"/>
    <n v="1"/>
    <n v="0"/>
    <n v="0"/>
    <m/>
    <m/>
    <m/>
    <n v="1"/>
    <m/>
    <n v="0"/>
    <n v="0"/>
    <n v="0"/>
    <n v="1"/>
    <m/>
    <m/>
    <m/>
    <n v="1"/>
    <m/>
    <n v="0"/>
    <n v="-1"/>
    <n v="0"/>
    <n v="1"/>
    <n v="0"/>
    <n v="0"/>
    <n v="0"/>
    <n v="0"/>
    <m/>
    <n v="0"/>
    <n v="0"/>
    <n v="0"/>
    <n v="0"/>
    <n v="0"/>
    <n v="0"/>
    <n v="0"/>
    <n v="0"/>
    <n v="0"/>
    <n v="0"/>
    <n v="0"/>
    <n v="0"/>
    <n v="0"/>
    <s v="North Richmond"/>
    <m/>
    <m/>
    <s v="Richmond"/>
    <m/>
    <x v="0"/>
  </r>
  <r>
    <s v="14/5364/P3JPA"/>
    <s v="CHU"/>
    <s v="PA"/>
    <s v="22 Linden Road Hampton TW12 2JB"/>
    <s v="change of use from B1 office use to C3 residential use"/>
    <d v="2016-03-01T00:00:00"/>
    <m/>
    <x v="1"/>
    <s v="Open Market"/>
    <n v="513125"/>
    <n v="169836"/>
    <m/>
    <n v="0"/>
    <n v="0"/>
    <n v="0"/>
    <n v="0"/>
    <m/>
    <m/>
    <m/>
    <n v="0"/>
    <m/>
    <n v="0"/>
    <n v="0"/>
    <n v="1"/>
    <n v="0"/>
    <m/>
    <m/>
    <m/>
    <n v="1"/>
    <m/>
    <n v="0"/>
    <n v="0"/>
    <n v="1"/>
    <n v="0"/>
    <n v="0"/>
    <n v="0"/>
    <n v="0"/>
    <n v="1"/>
    <m/>
    <n v="0"/>
    <n v="1"/>
    <n v="0"/>
    <n v="0"/>
    <n v="0"/>
    <n v="0"/>
    <n v="0"/>
    <n v="0"/>
    <n v="0"/>
    <n v="0"/>
    <n v="0"/>
    <n v="0"/>
    <n v="0"/>
    <s v="Hampton"/>
    <m/>
    <m/>
    <m/>
    <m/>
    <x v="0"/>
  </r>
  <r>
    <s v="15/0160/FUL"/>
    <s v="NEW"/>
    <m/>
    <s v="1 Latimer Road_x000a_Teddington_x000a_TW11 8QA"/>
    <s v="Demolition of existing dwelling and erection of two buildings containing  1No. two bedroom house, 1No. two bedroom apartment and 1No. three bedroom apartment."/>
    <d v="2017-10-02T00:00:00"/>
    <m/>
    <x v="1"/>
    <s v="Open Market"/>
    <n v="515646"/>
    <n v="171303"/>
    <m/>
    <n v="0"/>
    <n v="0"/>
    <n v="1"/>
    <n v="0"/>
    <m/>
    <m/>
    <m/>
    <n v="1"/>
    <m/>
    <n v="0"/>
    <n v="2"/>
    <n v="1"/>
    <n v="0"/>
    <m/>
    <m/>
    <m/>
    <n v="3"/>
    <m/>
    <n v="0"/>
    <n v="2"/>
    <n v="0"/>
    <n v="0"/>
    <n v="0"/>
    <n v="0"/>
    <n v="0"/>
    <n v="2"/>
    <m/>
    <n v="0"/>
    <n v="0"/>
    <n v="2"/>
    <n v="0"/>
    <n v="0"/>
    <n v="0"/>
    <n v="0"/>
    <s v="Y"/>
    <n v="0"/>
    <n v="0"/>
    <n v="0"/>
    <n v="0"/>
    <n v="0"/>
    <s v="Teddington"/>
    <m/>
    <m/>
    <m/>
    <m/>
    <x v="0"/>
  </r>
  <r>
    <s v="15/0421/FUL"/>
    <s v="CON"/>
    <m/>
    <s v="17 Kings Road_x000a_Richmond"/>
    <s v="Reversion of a Building of Townscape Merit from four self-contained flats (3x2 and 1x1 beds) to a single-family dwelling (Use Class C3: Dwelling Houses) with lower and upper ground rear extensions, external alterations to dormers, fenestration, and stair"/>
    <d v="2018-03-01T00:00:00"/>
    <d v="2019-11-30T00:00:00"/>
    <x v="1"/>
    <s v="Open Market"/>
    <n v="518586"/>
    <n v="174575"/>
    <m/>
    <n v="1"/>
    <n v="3"/>
    <n v="0"/>
    <n v="0"/>
    <m/>
    <m/>
    <m/>
    <n v="4"/>
    <m/>
    <n v="0"/>
    <n v="0"/>
    <n v="0"/>
    <n v="1"/>
    <m/>
    <m/>
    <m/>
    <n v="1"/>
    <m/>
    <n v="-1"/>
    <n v="-3"/>
    <n v="0"/>
    <n v="1"/>
    <n v="0"/>
    <n v="0"/>
    <n v="0"/>
    <n v="-3"/>
    <m/>
    <n v="0"/>
    <n v="-3"/>
    <n v="0"/>
    <n v="0"/>
    <n v="0"/>
    <n v="0"/>
    <n v="0"/>
    <n v="0"/>
    <n v="0"/>
    <n v="0"/>
    <n v="0"/>
    <n v="0"/>
    <n v="0"/>
    <s v="South Richmond"/>
    <m/>
    <m/>
    <m/>
    <m/>
    <x v="0"/>
  </r>
  <r>
    <s v="15/1440/FUL"/>
    <s v="NEW"/>
    <m/>
    <s v="6 Second Cross Road Twickenham TW2 5RF"/>
    <s v="Demolition of existing single storey structure to allow the construction of a two-storey (1x1bed 2person) dwellinghouse including a study room; provision of one off-street parking space; hard and soft landscaping; boundary treatment and associated refuse"/>
    <d v="2019-02-01T00:00:00"/>
    <m/>
    <x v="1"/>
    <s v="Open Market"/>
    <n v="515114"/>
    <n v="172749"/>
    <m/>
    <n v="0"/>
    <n v="0"/>
    <n v="0"/>
    <n v="0"/>
    <m/>
    <m/>
    <m/>
    <n v="0"/>
    <m/>
    <n v="1"/>
    <n v="0"/>
    <n v="0"/>
    <n v="0"/>
    <m/>
    <m/>
    <m/>
    <n v="1"/>
    <m/>
    <n v="1"/>
    <n v="0"/>
    <n v="0"/>
    <n v="0"/>
    <n v="0"/>
    <n v="0"/>
    <n v="0"/>
    <n v="1"/>
    <m/>
    <n v="0"/>
    <n v="1"/>
    <n v="0"/>
    <n v="0"/>
    <n v="0"/>
    <n v="0"/>
    <n v="0"/>
    <n v="0"/>
    <n v="0"/>
    <n v="0"/>
    <n v="0"/>
    <n v="0"/>
    <n v="0"/>
    <s v="West Twickenham"/>
    <m/>
    <s v="Hampton Road"/>
    <m/>
    <m/>
    <x v="0"/>
  </r>
  <r>
    <s v="15/1486/FUL"/>
    <s v="NEW"/>
    <m/>
    <s v="8 Heathside_x000a_Whitton_x000a_Hounslow_x000a_TW4 5NN"/>
    <s v="Demolition of existing dwelling and erection of 2 No.4 bed semi-detached dwellings with associated parking and landscaping."/>
    <d v="2018-06-04T00:00:00"/>
    <m/>
    <x v="1"/>
    <s v="Open Market"/>
    <n v="512819"/>
    <n v="173657"/>
    <m/>
    <n v="0"/>
    <n v="1"/>
    <n v="0"/>
    <n v="0"/>
    <m/>
    <m/>
    <m/>
    <n v="1"/>
    <m/>
    <n v="0"/>
    <n v="0"/>
    <n v="0"/>
    <n v="2"/>
    <m/>
    <m/>
    <m/>
    <n v="2"/>
    <m/>
    <n v="0"/>
    <n v="-1"/>
    <n v="0"/>
    <n v="2"/>
    <n v="0"/>
    <n v="0"/>
    <n v="0"/>
    <n v="1"/>
    <m/>
    <n v="0"/>
    <n v="0"/>
    <n v="1"/>
    <n v="0"/>
    <n v="0"/>
    <n v="0"/>
    <n v="0"/>
    <s v="Y"/>
    <n v="0"/>
    <n v="0"/>
    <n v="0"/>
    <n v="0"/>
    <n v="0"/>
    <s v="Heathfield"/>
    <m/>
    <m/>
    <m/>
    <m/>
    <x v="0"/>
  </r>
  <r>
    <s v="15/1638/FUL"/>
    <s v="NEW"/>
    <m/>
    <s v="53 Cole Park Road Twickenham TW1 1HT"/>
    <s v="Demolition of the existing dwelling and erection of 2 No.semi-detached dwellings and associated hard and soft landscaping."/>
    <d v="2018-02-01T00:00:00"/>
    <m/>
    <x v="1"/>
    <s v="Open Market"/>
    <n v="516222"/>
    <n v="174079"/>
    <m/>
    <n v="0"/>
    <n v="0"/>
    <n v="0"/>
    <n v="0"/>
    <n v="1"/>
    <m/>
    <m/>
    <n v="1"/>
    <m/>
    <n v="0"/>
    <n v="0"/>
    <n v="0"/>
    <n v="0"/>
    <n v="2"/>
    <m/>
    <m/>
    <n v="2"/>
    <m/>
    <n v="0"/>
    <n v="0"/>
    <n v="0"/>
    <n v="0"/>
    <n v="1"/>
    <n v="0"/>
    <n v="0"/>
    <n v="1"/>
    <m/>
    <n v="0"/>
    <n v="1"/>
    <n v="0"/>
    <n v="0"/>
    <n v="0"/>
    <n v="0"/>
    <n v="0"/>
    <n v="0"/>
    <n v="0"/>
    <n v="0"/>
    <n v="0"/>
    <n v="0"/>
    <n v="0"/>
    <s v="St. Margarets and North Twickenham"/>
    <m/>
    <m/>
    <m/>
    <m/>
    <x v="0"/>
  </r>
  <r>
    <s v="15/2440/VRC"/>
    <s v="NEW"/>
    <m/>
    <s v="11 Sandycombe Road Richmond TW9 2EP"/>
    <s v="Variation of condition 2 of application 08/4792/FUL to allow for amendments including: - Introduction of clerestory windows to eastern elevation of office building; - 2 Conservation rooflights added to front (western) elevation of residential building;"/>
    <d v="2018-04-01T00:00:00"/>
    <m/>
    <x v="1"/>
    <s v="Open Market"/>
    <n v="519022"/>
    <n v="175824"/>
    <m/>
    <n v="0"/>
    <n v="0"/>
    <n v="0"/>
    <n v="0"/>
    <m/>
    <m/>
    <m/>
    <n v="0"/>
    <m/>
    <n v="0"/>
    <n v="4"/>
    <n v="0"/>
    <n v="0"/>
    <m/>
    <m/>
    <m/>
    <n v="4"/>
    <m/>
    <n v="0"/>
    <n v="4"/>
    <n v="0"/>
    <n v="0"/>
    <n v="0"/>
    <n v="0"/>
    <n v="0"/>
    <n v="4"/>
    <m/>
    <n v="0"/>
    <n v="4"/>
    <n v="0"/>
    <n v="0"/>
    <n v="0"/>
    <n v="0"/>
    <n v="0"/>
    <n v="0"/>
    <n v="0"/>
    <n v="0"/>
    <n v="0"/>
    <n v="0"/>
    <n v="0"/>
    <s v="Kew"/>
    <m/>
    <m/>
    <m/>
    <m/>
    <x v="0"/>
  </r>
  <r>
    <s v="15/2452/FUL"/>
    <s v="NEW"/>
    <m/>
    <s v="77 - 79 Richmond Road Twickenham"/>
    <s v="Refurbishment and Extension of existing dwelling - No 79 Richmond Road; Demolition of existing shop and associated office, storage - No 77 Richmond Road; Erection of new single storey B1/D1 employment unit; Erection of new detached 3 Bed Family Unit."/>
    <d v="2016-05-12T00:00:00"/>
    <m/>
    <x v="1"/>
    <s v="Open Market"/>
    <n v="516657"/>
    <n v="173659"/>
    <m/>
    <n v="0"/>
    <n v="0"/>
    <n v="0"/>
    <n v="0"/>
    <m/>
    <m/>
    <m/>
    <n v="0"/>
    <m/>
    <n v="0"/>
    <n v="0"/>
    <n v="1"/>
    <n v="0"/>
    <m/>
    <m/>
    <m/>
    <n v="1"/>
    <m/>
    <n v="0"/>
    <n v="0"/>
    <n v="1"/>
    <n v="0"/>
    <n v="0"/>
    <n v="0"/>
    <n v="0"/>
    <n v="1"/>
    <m/>
    <n v="0"/>
    <n v="0"/>
    <n v="1"/>
    <n v="0"/>
    <n v="0"/>
    <n v="0"/>
    <n v="0"/>
    <s v="Y"/>
    <n v="0"/>
    <n v="0"/>
    <n v="0"/>
    <n v="0"/>
    <n v="0"/>
    <s v="Twickenham Riverside"/>
    <m/>
    <m/>
    <m/>
    <m/>
    <x v="0"/>
  </r>
  <r>
    <s v="15/3072/FUL"/>
    <s v="CHU"/>
    <m/>
    <s v="Christ Church_x000a_Station Road_x000a_Teddington"/>
    <s v="Conversion, extension and alteration of the existing church building to provide for 6 x 2 bedroom flats over four levels together with 6 off-street car parking spaces, motorcycle parking, garden amenity areas and refuse, recycling and cycle parking areas"/>
    <d v="2018-03-01T00:00:00"/>
    <m/>
    <x v="1"/>
    <s v="Open Market"/>
    <n v="516013"/>
    <n v="171023"/>
    <m/>
    <n v="0"/>
    <n v="0"/>
    <n v="0"/>
    <n v="0"/>
    <m/>
    <m/>
    <m/>
    <n v="0"/>
    <m/>
    <n v="0"/>
    <n v="6"/>
    <n v="0"/>
    <n v="0"/>
    <m/>
    <m/>
    <m/>
    <n v="6"/>
    <m/>
    <n v="0"/>
    <n v="6"/>
    <n v="0"/>
    <n v="0"/>
    <n v="0"/>
    <n v="0"/>
    <n v="0"/>
    <n v="6"/>
    <m/>
    <n v="0"/>
    <n v="0"/>
    <n v="6"/>
    <n v="0"/>
    <n v="0"/>
    <n v="0"/>
    <n v="0"/>
    <s v="Y"/>
    <n v="0"/>
    <n v="0"/>
    <n v="0"/>
    <n v="0"/>
    <n v="0"/>
    <s v="Teddington"/>
    <m/>
    <m/>
    <m/>
    <m/>
    <x v="0"/>
  </r>
  <r>
    <s v="15/3183/FUL"/>
    <s v="CON"/>
    <m/>
    <s v="5A And 5B Upper Lodge Mews Bushy Park Hampton Hill"/>
    <s v="Conversion of existing lower ground floor property and existing upper first floor property (5a and 5b) into one dwelling space and single storey rear extension"/>
    <m/>
    <m/>
    <x v="1"/>
    <s v="Open Market"/>
    <n v="514482"/>
    <n v="170638"/>
    <m/>
    <n v="1"/>
    <n v="0"/>
    <n v="1"/>
    <n v="0"/>
    <m/>
    <m/>
    <m/>
    <n v="2"/>
    <m/>
    <n v="0"/>
    <n v="0"/>
    <n v="0"/>
    <n v="1"/>
    <m/>
    <m/>
    <m/>
    <n v="1"/>
    <m/>
    <n v="-1"/>
    <n v="0"/>
    <n v="-1"/>
    <n v="1"/>
    <n v="0"/>
    <n v="0"/>
    <n v="0"/>
    <n v="-1"/>
    <m/>
    <n v="0"/>
    <n v="0"/>
    <n v="0"/>
    <n v="0"/>
    <n v="0"/>
    <n v="0"/>
    <n v="0"/>
    <n v="0"/>
    <n v="0"/>
    <n v="0"/>
    <n v="0"/>
    <n v="0"/>
    <n v="0"/>
    <s v="Fulwell and Hampton Hill"/>
    <m/>
    <m/>
    <m/>
    <m/>
    <x v="0"/>
  </r>
  <r>
    <s v="15/3522/FUL"/>
    <s v="NEW"/>
    <m/>
    <s v="20 Sixth Cross Road_x000a_Twickenham_x000a_TW2 5PB"/>
    <s v="Demolition of existing garage and conservatory to rear of No. 20.  Erection of a part 2 storey, part single storey 2 bedroom dwelling house adjoining No. 20 . Construction of a single storey rear extension, roof alterations and installation of 2 dormer w"/>
    <d v="2018-10-01T00:00:00"/>
    <m/>
    <x v="1"/>
    <s v="Affordable Rent"/>
    <n v="514619"/>
    <n v="172123"/>
    <m/>
    <n v="0"/>
    <n v="0"/>
    <n v="0"/>
    <n v="0"/>
    <m/>
    <m/>
    <m/>
    <n v="0"/>
    <m/>
    <n v="0"/>
    <n v="1"/>
    <n v="0"/>
    <n v="0"/>
    <m/>
    <m/>
    <m/>
    <n v="1"/>
    <m/>
    <n v="0"/>
    <n v="1"/>
    <n v="0"/>
    <n v="0"/>
    <n v="0"/>
    <n v="0"/>
    <n v="0"/>
    <n v="1"/>
    <m/>
    <n v="0"/>
    <n v="1"/>
    <n v="0"/>
    <n v="0"/>
    <n v="0"/>
    <n v="0"/>
    <n v="0"/>
    <n v="0"/>
    <n v="0"/>
    <n v="0"/>
    <n v="0"/>
    <n v="0"/>
    <n v="0"/>
    <s v="West Twickenham"/>
    <m/>
    <m/>
    <m/>
    <m/>
    <x v="1"/>
  </r>
  <r>
    <s v="15/4230/FUL"/>
    <s v="EXT"/>
    <m/>
    <s v="The Bungalow Beresford Court Park Road Twickenham TW1 2PU"/>
    <s v="Extension to existing Bungalow to convert into 1No. Studio Flat &amp; 1No. 1 Bedroom Flat."/>
    <d v="2017-06-05T00:00:00"/>
    <m/>
    <x v="1"/>
    <s v="Open Market"/>
    <n v="517353"/>
    <n v="174325"/>
    <m/>
    <n v="0"/>
    <n v="1"/>
    <n v="0"/>
    <n v="0"/>
    <m/>
    <m/>
    <m/>
    <n v="1"/>
    <n v="1"/>
    <n v="1"/>
    <n v="0"/>
    <n v="0"/>
    <n v="0"/>
    <m/>
    <m/>
    <m/>
    <n v="2"/>
    <n v="1"/>
    <n v="1"/>
    <n v="-1"/>
    <n v="0"/>
    <n v="0"/>
    <n v="0"/>
    <n v="0"/>
    <n v="0"/>
    <n v="1"/>
    <m/>
    <n v="0"/>
    <n v="1"/>
    <n v="0"/>
    <n v="0"/>
    <n v="0"/>
    <n v="0"/>
    <n v="0"/>
    <n v="0"/>
    <n v="0"/>
    <n v="0"/>
    <n v="0"/>
    <n v="0"/>
    <n v="0"/>
    <s v="Twickenham Riverside"/>
    <m/>
    <m/>
    <m/>
    <m/>
    <x v="0"/>
  </r>
  <r>
    <s v="15/4835/FUL"/>
    <s v="NEW"/>
    <m/>
    <s v="9 Gloucester Road Teddington TW11 0NS"/>
    <s v="Erection of a three bedroom chalet bungalow on land to the rear of 9 Gloucester Road."/>
    <m/>
    <m/>
    <x v="1"/>
    <s v="Open Market"/>
    <n v="515214"/>
    <n v="171265"/>
    <m/>
    <n v="0"/>
    <n v="0"/>
    <n v="0"/>
    <n v="0"/>
    <m/>
    <m/>
    <m/>
    <n v="0"/>
    <m/>
    <n v="0"/>
    <n v="0"/>
    <n v="1"/>
    <n v="0"/>
    <m/>
    <m/>
    <m/>
    <n v="1"/>
    <m/>
    <n v="0"/>
    <n v="0"/>
    <n v="1"/>
    <n v="0"/>
    <n v="0"/>
    <n v="0"/>
    <n v="0"/>
    <n v="1"/>
    <m/>
    <n v="0"/>
    <n v="1"/>
    <n v="0"/>
    <n v="0"/>
    <n v="0"/>
    <n v="0"/>
    <n v="0"/>
    <n v="0"/>
    <n v="0"/>
    <n v="0"/>
    <n v="0"/>
    <n v="0"/>
    <n v="0"/>
    <s v="Fulwell and Hampton Hill"/>
    <m/>
    <m/>
    <m/>
    <m/>
    <x v="1"/>
  </r>
  <r>
    <s v="15/5216/FUL"/>
    <s v="NEW"/>
    <m/>
    <s v="The Avenue Centre 1 Normansfield Avenue Hampton Wick Teddington TW11 9RP"/>
    <s v="Redevelopment of the site to provide a care home, 4 supported living units and 15 affordable housing units, with associated onsite parking and external works. (This scheme is linked to application 15/5217/FUL - whereby the existing care home at Silver Bi"/>
    <d v="2017-11-01T00:00:00"/>
    <d v="2019-06-30T00:00:00"/>
    <x v="1"/>
    <s v="Affordable Rent"/>
    <n v="517536"/>
    <n v="170257"/>
    <m/>
    <n v="0"/>
    <n v="0"/>
    <n v="0"/>
    <n v="0"/>
    <m/>
    <m/>
    <m/>
    <n v="0"/>
    <m/>
    <n v="2"/>
    <n v="8"/>
    <n v="5"/>
    <n v="0"/>
    <m/>
    <m/>
    <m/>
    <n v="15"/>
    <m/>
    <n v="2"/>
    <n v="8"/>
    <n v="5"/>
    <n v="0"/>
    <n v="0"/>
    <n v="0"/>
    <n v="0"/>
    <n v="15"/>
    <m/>
    <n v="0"/>
    <n v="15"/>
    <n v="0"/>
    <n v="0"/>
    <n v="0"/>
    <n v="0"/>
    <n v="0"/>
    <n v="0"/>
    <n v="0"/>
    <n v="0"/>
    <n v="0"/>
    <n v="0"/>
    <n v="0"/>
    <s v="Hampton Wick"/>
    <m/>
    <m/>
    <m/>
    <m/>
    <x v="0"/>
  </r>
  <r>
    <s v="15/5369/FUL"/>
    <s v="NEW"/>
    <m/>
    <s v="65 Wensleydale Road Hampton TW12 2LP"/>
    <s v="Demolition of existing bungalow and replacement dwelling house (Class C3) comprising ground and lower ground floor."/>
    <m/>
    <m/>
    <x v="1"/>
    <s v="Open Market"/>
    <n v="513492"/>
    <n v="170250"/>
    <m/>
    <n v="0"/>
    <n v="0"/>
    <n v="1"/>
    <n v="0"/>
    <m/>
    <m/>
    <m/>
    <n v="1"/>
    <m/>
    <n v="0"/>
    <n v="0"/>
    <n v="1"/>
    <n v="0"/>
    <m/>
    <m/>
    <m/>
    <n v="1"/>
    <m/>
    <n v="0"/>
    <n v="0"/>
    <n v="0"/>
    <n v="0"/>
    <n v="0"/>
    <n v="0"/>
    <n v="0"/>
    <n v="0"/>
    <m/>
    <n v="0"/>
    <n v="0"/>
    <n v="0"/>
    <n v="0"/>
    <n v="0"/>
    <n v="0"/>
    <n v="0"/>
    <n v="0"/>
    <n v="0"/>
    <n v="0"/>
    <n v="0"/>
    <n v="0"/>
    <n v="0"/>
    <s v="Hampton"/>
    <m/>
    <m/>
    <m/>
    <m/>
    <x v="0"/>
  </r>
  <r>
    <s v="15/5376/FUL"/>
    <s v="NEW"/>
    <m/>
    <s v="1 - 9 Sandycombe Road Richmond"/>
    <s v="Redevelopment of site to provide for a mixed use development of 535m2 of commercial space (B1(a) offices, B1(b) research and development, B1(c) light industrial and B8 storage Use Class) and 20 residential units, together with car parking and landscaping"/>
    <d v="2019-03-30T00:00:00"/>
    <m/>
    <x v="1"/>
    <s v="Open Market"/>
    <n v="519012"/>
    <n v="175761"/>
    <m/>
    <n v="0"/>
    <n v="0"/>
    <n v="0"/>
    <n v="0"/>
    <m/>
    <m/>
    <m/>
    <n v="0"/>
    <n v="2"/>
    <n v="7"/>
    <n v="7"/>
    <n v="4"/>
    <n v="0"/>
    <m/>
    <m/>
    <m/>
    <n v="20"/>
    <n v="2"/>
    <n v="7"/>
    <n v="7"/>
    <n v="4"/>
    <n v="0"/>
    <n v="0"/>
    <n v="0"/>
    <n v="0"/>
    <n v="20"/>
    <m/>
    <n v="0"/>
    <n v="0"/>
    <n v="10"/>
    <n v="10"/>
    <n v="0"/>
    <n v="0"/>
    <n v="0"/>
    <s v="Y"/>
    <n v="0"/>
    <n v="0"/>
    <n v="0"/>
    <n v="0"/>
    <n v="0"/>
    <s v="Kew"/>
    <m/>
    <m/>
    <m/>
    <m/>
    <x v="0"/>
  </r>
  <r>
    <s v="16/0234/FUL"/>
    <s v="NEW"/>
    <m/>
    <s v="31 Poulett Gardens Twickenham TW1 4QS"/>
    <s v="Demolition of existing garage and construction of a two storey terraced house with associated landscaping, cycle store, rear car parking and access thereto."/>
    <d v="2017-12-01T00:00:00"/>
    <m/>
    <x v="1"/>
    <s v="Open Market"/>
    <n v="515988"/>
    <n v="173004"/>
    <m/>
    <n v="0"/>
    <n v="0"/>
    <n v="0"/>
    <n v="0"/>
    <m/>
    <m/>
    <m/>
    <n v="0"/>
    <m/>
    <n v="0"/>
    <n v="0"/>
    <n v="0"/>
    <n v="1"/>
    <m/>
    <m/>
    <m/>
    <n v="1"/>
    <m/>
    <n v="0"/>
    <n v="0"/>
    <n v="0"/>
    <n v="1"/>
    <n v="0"/>
    <n v="0"/>
    <n v="0"/>
    <n v="1"/>
    <m/>
    <n v="0"/>
    <n v="1"/>
    <n v="0"/>
    <n v="0"/>
    <n v="0"/>
    <n v="0"/>
    <n v="0"/>
    <n v="0"/>
    <n v="0"/>
    <n v="0"/>
    <n v="0"/>
    <n v="0"/>
    <n v="0"/>
    <s v="South Twickenham"/>
    <m/>
    <m/>
    <m/>
    <m/>
    <x v="1"/>
  </r>
  <r>
    <s v="16/0432/FUL"/>
    <s v="NEW"/>
    <m/>
    <s v="48 Glentham Road_x000a_Barnes_x000a_London_x000a_SW13 9JJ"/>
    <s v="Demolition of existing building and erection of three storey building plus basement to provide B1 use at basement, ground floor and first floor, and one 2 bedroom apartment above at second floor level."/>
    <d v="2017-05-09T00:00:00"/>
    <d v="2019-07-31T00:00:00"/>
    <x v="1"/>
    <s v="Open Market"/>
    <n v="522622"/>
    <n v="177876"/>
    <m/>
    <n v="0"/>
    <n v="0"/>
    <n v="0"/>
    <n v="0"/>
    <m/>
    <m/>
    <m/>
    <n v="0"/>
    <m/>
    <n v="0"/>
    <n v="1"/>
    <n v="0"/>
    <n v="0"/>
    <m/>
    <m/>
    <m/>
    <n v="1"/>
    <m/>
    <n v="0"/>
    <n v="1"/>
    <n v="0"/>
    <n v="0"/>
    <n v="0"/>
    <n v="0"/>
    <n v="0"/>
    <n v="1"/>
    <m/>
    <n v="0"/>
    <n v="1"/>
    <n v="0"/>
    <n v="0"/>
    <n v="0"/>
    <n v="0"/>
    <n v="0"/>
    <n v="0"/>
    <n v="0"/>
    <n v="0"/>
    <n v="0"/>
    <n v="0"/>
    <n v="0"/>
    <s v="Barnes"/>
    <m/>
    <m/>
    <m/>
    <m/>
    <x v="0"/>
  </r>
  <r>
    <s v="16/0680/FUL"/>
    <s v="EXT"/>
    <m/>
    <s v="2 Firs Avenue East Sheen SW14 7NZ"/>
    <s v="Part demolition of single dwelling house and formation of two semi-detached houses."/>
    <d v="2016-07-01T00:00:00"/>
    <m/>
    <x v="1"/>
    <s v="Open Market"/>
    <n v="520343"/>
    <n v="175141"/>
    <m/>
    <n v="0"/>
    <n v="0"/>
    <n v="0"/>
    <n v="1"/>
    <m/>
    <m/>
    <m/>
    <n v="1"/>
    <m/>
    <n v="0"/>
    <n v="0"/>
    <n v="0"/>
    <n v="2"/>
    <m/>
    <m/>
    <m/>
    <n v="2"/>
    <m/>
    <n v="0"/>
    <n v="0"/>
    <n v="0"/>
    <n v="1"/>
    <n v="0"/>
    <n v="0"/>
    <n v="0"/>
    <n v="1"/>
    <m/>
    <n v="0"/>
    <n v="1"/>
    <n v="0"/>
    <n v="0"/>
    <n v="0"/>
    <n v="0"/>
    <n v="0"/>
    <n v="0"/>
    <n v="0"/>
    <n v="0"/>
    <n v="0"/>
    <n v="0"/>
    <n v="0"/>
    <s v="East Sheen"/>
    <m/>
    <m/>
    <m/>
    <m/>
    <x v="0"/>
  </r>
  <r>
    <s v="16/1145/FUL"/>
    <s v="CON"/>
    <m/>
    <s v="19 - 21 Lower Teddington Road_x000a_Hampton Wick"/>
    <s v="Conversion of part lower ground floor to form 1 x 1 bed self contained flat. New external staircase to match existing"/>
    <d v="2019-02-01T00:00:00"/>
    <m/>
    <x v="1"/>
    <s v="Open Market"/>
    <n v="517615"/>
    <n v="169709"/>
    <m/>
    <n v="0"/>
    <n v="0"/>
    <n v="0"/>
    <n v="0"/>
    <m/>
    <m/>
    <m/>
    <n v="0"/>
    <m/>
    <n v="1"/>
    <n v="0"/>
    <n v="0"/>
    <n v="0"/>
    <m/>
    <m/>
    <m/>
    <n v="1"/>
    <m/>
    <n v="1"/>
    <n v="0"/>
    <n v="0"/>
    <n v="0"/>
    <n v="0"/>
    <n v="0"/>
    <n v="0"/>
    <n v="1"/>
    <m/>
    <n v="0"/>
    <n v="0"/>
    <n v="1"/>
    <n v="0"/>
    <n v="0"/>
    <n v="0"/>
    <n v="0"/>
    <s v="Y"/>
    <n v="0"/>
    <n v="0"/>
    <n v="0"/>
    <n v="0"/>
    <n v="0"/>
    <s v="Hampton Wick"/>
    <m/>
    <m/>
    <m/>
    <m/>
    <x v="0"/>
  </r>
  <r>
    <s v="16/1293/FUL"/>
    <s v="EXT"/>
    <m/>
    <s v="111 Heath Road Twickenham TW1 4AH"/>
    <s v="Creation of an additional floor to create 4 'car free' residential units (2 No.2 bed and 2 No.1 bed flats) and incorporate external extensions and alterations to fenestration of the building.  Provision of 6 cycle parking spaces, refuse storage for comme"/>
    <d v="2018-02-01T00:00:00"/>
    <m/>
    <x v="1"/>
    <s v="Open Market"/>
    <n v="515764"/>
    <n v="173105"/>
    <m/>
    <n v="0"/>
    <n v="0"/>
    <n v="0"/>
    <n v="0"/>
    <m/>
    <m/>
    <m/>
    <n v="0"/>
    <m/>
    <n v="2"/>
    <n v="2"/>
    <n v="0"/>
    <n v="0"/>
    <m/>
    <m/>
    <m/>
    <n v="4"/>
    <m/>
    <n v="2"/>
    <n v="2"/>
    <n v="0"/>
    <n v="0"/>
    <n v="0"/>
    <n v="0"/>
    <n v="0"/>
    <n v="4"/>
    <m/>
    <n v="0"/>
    <n v="4"/>
    <n v="0"/>
    <n v="0"/>
    <n v="0"/>
    <n v="0"/>
    <n v="0"/>
    <n v="0"/>
    <n v="0"/>
    <n v="0"/>
    <n v="0"/>
    <n v="0"/>
    <n v="0"/>
    <s v="South Twickenham"/>
    <m/>
    <m/>
    <s v="Twickenham"/>
    <m/>
    <x v="0"/>
  </r>
  <r>
    <s v="16/1373/FUL"/>
    <s v="CHU"/>
    <m/>
    <s v="17 The Green Richmond TW9 1PX"/>
    <s v="Alterations and refurbishment to provide a single family dwelling house."/>
    <d v="2017-11-24T00:00:00"/>
    <m/>
    <x v="1"/>
    <s v="Open Market"/>
    <n v="517807"/>
    <n v="174892"/>
    <m/>
    <n v="0"/>
    <n v="0"/>
    <n v="0"/>
    <n v="0"/>
    <m/>
    <m/>
    <m/>
    <n v="0"/>
    <m/>
    <n v="0"/>
    <n v="0"/>
    <n v="0"/>
    <n v="0"/>
    <n v="1"/>
    <m/>
    <m/>
    <n v="1"/>
    <m/>
    <n v="0"/>
    <n v="0"/>
    <n v="0"/>
    <n v="0"/>
    <n v="1"/>
    <n v="0"/>
    <n v="0"/>
    <n v="1"/>
    <m/>
    <n v="0"/>
    <n v="1"/>
    <n v="0"/>
    <n v="0"/>
    <n v="0"/>
    <n v="0"/>
    <n v="0"/>
    <n v="0"/>
    <n v="0"/>
    <n v="0"/>
    <n v="0"/>
    <n v="0"/>
    <n v="0"/>
    <s v="South Richmond"/>
    <m/>
    <m/>
    <s v="Richmond"/>
    <m/>
    <x v="0"/>
  </r>
  <r>
    <s v="16/1882/FUL"/>
    <s v="NEW"/>
    <m/>
    <s v="9 Charlotte Road_x000a_Barnes_x000a_London_x000a_SW13 9QJ"/>
    <s v="Demolition of existing single dwelling and erection of a new single dwelling."/>
    <d v="2019-04-01T00:00:00"/>
    <m/>
    <x v="1"/>
    <s v="Open Market"/>
    <n v="521779"/>
    <n v="176827"/>
    <m/>
    <n v="1"/>
    <n v="0"/>
    <n v="0"/>
    <n v="0"/>
    <m/>
    <m/>
    <m/>
    <n v="1"/>
    <m/>
    <n v="0"/>
    <n v="0"/>
    <n v="1"/>
    <n v="0"/>
    <m/>
    <m/>
    <m/>
    <n v="1"/>
    <m/>
    <n v="-1"/>
    <n v="0"/>
    <n v="1"/>
    <n v="0"/>
    <n v="0"/>
    <n v="0"/>
    <n v="0"/>
    <n v="0"/>
    <m/>
    <n v="0"/>
    <n v="0"/>
    <n v="0"/>
    <n v="0"/>
    <n v="0"/>
    <n v="0"/>
    <n v="0"/>
    <n v="0"/>
    <n v="0"/>
    <n v="0"/>
    <n v="0"/>
    <n v="0"/>
    <n v="0"/>
    <s v="Barnes"/>
    <m/>
    <m/>
    <m/>
    <m/>
    <x v="0"/>
  </r>
  <r>
    <s v="16/1903/FUL"/>
    <s v="CHU"/>
    <m/>
    <s v="63 Kew Green Kew"/>
    <s v="Change of use from office (B1) to residential (C3), demolition and rebuild of the existing single storey rear building, basement extension to Grade II listed building in the Kew Green Conservation Area."/>
    <d v="2019-01-14T00:00:00"/>
    <m/>
    <x v="1"/>
    <s v="Open Market"/>
    <n v="518846"/>
    <n v="177650"/>
    <m/>
    <n v="0"/>
    <n v="0"/>
    <n v="0"/>
    <n v="0"/>
    <m/>
    <m/>
    <m/>
    <n v="0"/>
    <m/>
    <n v="0"/>
    <n v="1"/>
    <n v="0"/>
    <n v="0"/>
    <m/>
    <m/>
    <m/>
    <n v="1"/>
    <m/>
    <n v="0"/>
    <n v="1"/>
    <n v="0"/>
    <n v="0"/>
    <n v="0"/>
    <n v="0"/>
    <n v="0"/>
    <n v="1"/>
    <m/>
    <n v="0"/>
    <n v="1"/>
    <n v="0"/>
    <n v="0"/>
    <n v="0"/>
    <n v="0"/>
    <n v="0"/>
    <n v="0"/>
    <n v="0"/>
    <n v="0"/>
    <n v="0"/>
    <n v="0"/>
    <n v="0"/>
    <s v="Kew"/>
    <m/>
    <m/>
    <m/>
    <s v="Thames Policy Area"/>
    <x v="0"/>
  </r>
  <r>
    <s v="16/1935/GPD15"/>
    <s v="CHU"/>
    <m/>
    <s v="Garrick House 161 - 163 High Street Hampton Hill TW12 1NL"/>
    <s v="Change of use of ground, first and second floors from B1 (a) offices - C3 residential (21 flats together with 21 off-street parking spaces, 21 cycle spaces and two bin and recycling store area)"/>
    <d v="2018-03-31T00:00:00"/>
    <m/>
    <x v="1"/>
    <s v="Open Market"/>
    <n v="514411"/>
    <n v="171129"/>
    <m/>
    <n v="0"/>
    <n v="0"/>
    <n v="0"/>
    <n v="0"/>
    <m/>
    <m/>
    <m/>
    <n v="0"/>
    <m/>
    <n v="12"/>
    <n v="9"/>
    <n v="0"/>
    <n v="0"/>
    <m/>
    <m/>
    <m/>
    <n v="21"/>
    <m/>
    <n v="12"/>
    <n v="9"/>
    <n v="0"/>
    <n v="0"/>
    <n v="0"/>
    <n v="0"/>
    <n v="0"/>
    <n v="21"/>
    <m/>
    <n v="0"/>
    <n v="10.5"/>
    <n v="10.5"/>
    <n v="0"/>
    <n v="0"/>
    <n v="0"/>
    <n v="0"/>
    <s v="Y"/>
    <n v="0"/>
    <n v="0"/>
    <n v="0"/>
    <n v="0"/>
    <n v="0"/>
    <s v="Fulwell and Hampton Hill"/>
    <m/>
    <s v="High Street"/>
    <m/>
    <m/>
    <x v="0"/>
  </r>
  <r>
    <s v="16/2042/FUL"/>
    <s v="CON"/>
    <m/>
    <s v="216 London Road_x000a_Twickenham_x000a_TW1 1EU"/>
    <s v="Part two storey part single storey rear extension; insertion of 3 rooflights to side roofslope and alterations to fenestration arrangement on all elevations to facilitate the conversion of existing dwellinghouse into four self-contained flats (2x1 bed, 2"/>
    <d v="2019-03-01T00:00:00"/>
    <m/>
    <x v="1"/>
    <s v="Open Market"/>
    <n v="516100"/>
    <n v="174435"/>
    <m/>
    <n v="0"/>
    <n v="0"/>
    <n v="0"/>
    <n v="1"/>
    <m/>
    <m/>
    <m/>
    <n v="1"/>
    <m/>
    <n v="2"/>
    <n v="2"/>
    <n v="0"/>
    <n v="0"/>
    <m/>
    <m/>
    <m/>
    <n v="4"/>
    <m/>
    <n v="2"/>
    <n v="2"/>
    <n v="0"/>
    <n v="-1"/>
    <n v="0"/>
    <n v="0"/>
    <n v="0"/>
    <n v="3"/>
    <m/>
    <n v="0"/>
    <n v="3"/>
    <n v="0"/>
    <n v="0"/>
    <n v="0"/>
    <n v="0"/>
    <n v="0"/>
    <n v="0"/>
    <n v="0"/>
    <n v="0"/>
    <n v="0"/>
    <n v="0"/>
    <n v="0"/>
    <s v="St. Margarets and North Twickenham"/>
    <m/>
    <m/>
    <m/>
    <m/>
    <x v="0"/>
  </r>
  <r>
    <s v="16/2158/FUL"/>
    <s v="CON"/>
    <m/>
    <s v="Ormonde Lodge 2A St Peters Road Twickenham TW1 1QX"/>
    <s v="Reversion of 2 No. dwellinghouses into a single family dwellinghouse."/>
    <d v="2016-09-29T00:00:00"/>
    <m/>
    <x v="1"/>
    <s v="Open Market"/>
    <n v="516878"/>
    <n v="174968"/>
    <m/>
    <n v="0"/>
    <n v="0"/>
    <n v="0"/>
    <n v="2"/>
    <m/>
    <m/>
    <m/>
    <n v="2"/>
    <m/>
    <n v="0"/>
    <n v="0"/>
    <n v="0"/>
    <n v="1"/>
    <m/>
    <m/>
    <m/>
    <n v="1"/>
    <m/>
    <n v="0"/>
    <n v="0"/>
    <n v="0"/>
    <n v="-1"/>
    <n v="0"/>
    <n v="0"/>
    <n v="0"/>
    <n v="-1"/>
    <m/>
    <n v="0"/>
    <n v="-1"/>
    <n v="0"/>
    <n v="0"/>
    <n v="0"/>
    <n v="0"/>
    <n v="0"/>
    <n v="0"/>
    <n v="0"/>
    <n v="0"/>
    <n v="0"/>
    <n v="0"/>
    <n v="0"/>
    <s v="St. Margarets and North Twickenham"/>
    <m/>
    <m/>
    <m/>
    <s v="Thames Policy Area"/>
    <x v="0"/>
  </r>
  <r>
    <s v="16/2306/FUL"/>
    <s v="CON"/>
    <m/>
    <s v="112 Richmond Hill Richmond"/>
    <s v="Conversion of the building into one family house, plus an additional apartment at basement level to the front."/>
    <d v="2019-01-14T00:00:00"/>
    <m/>
    <x v="1"/>
    <s v="Open Market"/>
    <n v="518294"/>
    <n v="174078"/>
    <m/>
    <n v="2"/>
    <n v="2"/>
    <n v="1"/>
    <n v="0"/>
    <m/>
    <m/>
    <m/>
    <n v="5"/>
    <m/>
    <n v="1"/>
    <n v="0"/>
    <n v="0"/>
    <n v="1"/>
    <m/>
    <m/>
    <m/>
    <n v="2"/>
    <m/>
    <n v="-1"/>
    <n v="-2"/>
    <n v="-1"/>
    <n v="1"/>
    <n v="0"/>
    <n v="0"/>
    <n v="0"/>
    <n v="-3"/>
    <m/>
    <n v="0"/>
    <n v="-3"/>
    <n v="0"/>
    <n v="0"/>
    <n v="0"/>
    <n v="0"/>
    <n v="0"/>
    <n v="0"/>
    <n v="0"/>
    <n v="0"/>
    <n v="0"/>
    <n v="0"/>
    <n v="0"/>
    <s v="Ham, Petersham and Richmond Riverside"/>
    <m/>
    <m/>
    <m/>
    <s v="Thames Policy Area"/>
    <x v="0"/>
  </r>
  <r>
    <s v="16/2348/FUL"/>
    <s v="NEW"/>
    <m/>
    <s v="38A Pagoda Avenue Richmond TW9 2HF"/>
    <s v="Demolition of existing sheds and construction of a single storey one bedroom dwelling."/>
    <d v="2018-04-25T00:00:00"/>
    <m/>
    <x v="1"/>
    <s v="Open Market"/>
    <n v="518622"/>
    <n v="175641"/>
    <m/>
    <n v="0"/>
    <n v="0"/>
    <n v="0"/>
    <n v="0"/>
    <m/>
    <m/>
    <m/>
    <n v="0"/>
    <m/>
    <n v="1"/>
    <n v="0"/>
    <n v="0"/>
    <n v="0"/>
    <m/>
    <m/>
    <m/>
    <n v="1"/>
    <m/>
    <n v="1"/>
    <n v="0"/>
    <n v="0"/>
    <n v="0"/>
    <n v="0"/>
    <n v="0"/>
    <n v="0"/>
    <n v="1"/>
    <m/>
    <n v="0"/>
    <n v="1"/>
    <n v="0"/>
    <n v="0"/>
    <n v="0"/>
    <n v="0"/>
    <n v="0"/>
    <n v="0"/>
    <n v="0"/>
    <n v="0"/>
    <n v="0"/>
    <n v="0"/>
    <n v="0"/>
    <s v="North Richmond"/>
    <m/>
    <m/>
    <m/>
    <m/>
    <x v="1"/>
  </r>
  <r>
    <s v="16/2502/FUL"/>
    <s v="NEW"/>
    <m/>
    <s v="43 Strawberry Vale Twickenham TW1 4RX"/>
    <s v="Demolition of existing dwelling and erection of a new six bedroom house with basement."/>
    <d v="2018-02-01T00:00:00"/>
    <m/>
    <x v="1"/>
    <s v="Open Market"/>
    <n v="516098"/>
    <n v="172295"/>
    <m/>
    <n v="0"/>
    <n v="0"/>
    <n v="0"/>
    <n v="1"/>
    <m/>
    <m/>
    <m/>
    <n v="1"/>
    <m/>
    <n v="0"/>
    <n v="0"/>
    <n v="0"/>
    <n v="0"/>
    <m/>
    <n v="1"/>
    <m/>
    <n v="1"/>
    <m/>
    <n v="0"/>
    <n v="0"/>
    <n v="0"/>
    <n v="-1"/>
    <n v="0"/>
    <n v="1"/>
    <n v="0"/>
    <n v="0"/>
    <m/>
    <n v="0"/>
    <n v="0"/>
    <n v="0"/>
    <n v="0"/>
    <n v="0"/>
    <n v="0"/>
    <n v="0"/>
    <n v="0"/>
    <n v="0"/>
    <n v="0"/>
    <n v="0"/>
    <n v="0"/>
    <n v="0"/>
    <s v="South Twickenham"/>
    <m/>
    <m/>
    <m/>
    <s v="Thames Policy Area"/>
    <x v="0"/>
  </r>
  <r>
    <s v="16/2637/FUL"/>
    <s v="NEW"/>
    <m/>
    <s v="9 Belgrave Road_x000a_Barnes_x000a_London_x000a_SW13 9NS"/>
    <s v="Demolition of the existing building and the erection of new two-storey house, with a basement and front and rear light wells and a rear dormer."/>
    <d v="2017-05-10T00:00:00"/>
    <m/>
    <x v="1"/>
    <s v="Open Market"/>
    <n v="521872"/>
    <n v="177181"/>
    <m/>
    <n v="0"/>
    <n v="0"/>
    <n v="0"/>
    <n v="1"/>
    <m/>
    <m/>
    <m/>
    <n v="1"/>
    <m/>
    <n v="0"/>
    <n v="0"/>
    <n v="0"/>
    <n v="1"/>
    <m/>
    <m/>
    <m/>
    <n v="1"/>
    <m/>
    <n v="0"/>
    <n v="0"/>
    <n v="0"/>
    <n v="0"/>
    <n v="0"/>
    <n v="0"/>
    <n v="0"/>
    <n v="0"/>
    <m/>
    <n v="0"/>
    <n v="0"/>
    <n v="0"/>
    <n v="0"/>
    <n v="0"/>
    <n v="0"/>
    <n v="0"/>
    <n v="0"/>
    <n v="0"/>
    <n v="0"/>
    <n v="0"/>
    <n v="0"/>
    <n v="0"/>
    <s v="Barnes"/>
    <m/>
    <m/>
    <m/>
    <m/>
    <x v="0"/>
  </r>
  <r>
    <s v="16/2975/GPD15"/>
    <s v="CHU"/>
    <m/>
    <s v="First And Second Floors_x000d_46 King Street_x000d_Twickenham_x000d_TW1 3SH_x000d_"/>
    <s v="Change of use of vacant offices (B1) to residential use (C3) comprising 2 bed flat on 1st floor and 1 bed flat on second floor"/>
    <m/>
    <m/>
    <x v="1"/>
    <s v="Open Market"/>
    <n v="516167"/>
    <n v="173210"/>
    <m/>
    <n v="0"/>
    <n v="0"/>
    <n v="0"/>
    <n v="0"/>
    <m/>
    <m/>
    <m/>
    <n v="0"/>
    <m/>
    <n v="1"/>
    <n v="1"/>
    <n v="0"/>
    <n v="0"/>
    <m/>
    <m/>
    <m/>
    <n v="2"/>
    <m/>
    <n v="1"/>
    <n v="1"/>
    <n v="0"/>
    <n v="0"/>
    <n v="0"/>
    <n v="0"/>
    <n v="0"/>
    <n v="2"/>
    <m/>
    <n v="0"/>
    <n v="2"/>
    <n v="0"/>
    <n v="0"/>
    <n v="0"/>
    <n v="0"/>
    <n v="0"/>
    <n v="0"/>
    <n v="0"/>
    <n v="0"/>
    <n v="0"/>
    <n v="0"/>
    <n v="0"/>
    <s v="Twickenham Riverside"/>
    <m/>
    <m/>
    <s v="Twickenham"/>
    <m/>
    <x v="0"/>
  </r>
  <r>
    <s v="16/3210/GPD15"/>
    <s v="CHU"/>
    <m/>
    <s v="123 High Street_x000d_Whitton_x000d_Twickenham_x000d_TW2 7LQ_x000d_"/>
    <s v="Change of use from B1 (Office) to C3 (Residential) comprising 4 x 1 bedroom flats."/>
    <d v="2019-04-02T00:00:00"/>
    <m/>
    <x v="1"/>
    <s v="Open Market"/>
    <n v="514223"/>
    <n v="173584"/>
    <m/>
    <n v="0"/>
    <n v="0"/>
    <n v="0"/>
    <n v="0"/>
    <m/>
    <m/>
    <m/>
    <n v="0"/>
    <m/>
    <n v="4"/>
    <n v="0"/>
    <n v="0"/>
    <n v="0"/>
    <m/>
    <m/>
    <m/>
    <n v="4"/>
    <m/>
    <n v="4"/>
    <n v="0"/>
    <n v="0"/>
    <n v="0"/>
    <n v="0"/>
    <n v="0"/>
    <n v="0"/>
    <n v="4"/>
    <m/>
    <n v="0"/>
    <n v="4"/>
    <n v="0"/>
    <n v="0"/>
    <n v="0"/>
    <n v="0"/>
    <n v="0"/>
    <n v="0"/>
    <n v="0"/>
    <n v="0"/>
    <n v="0"/>
    <n v="0"/>
    <n v="0"/>
    <s v="Whitton"/>
    <m/>
    <m/>
    <s v="Whitton"/>
    <m/>
    <x v="0"/>
  </r>
  <r>
    <s v="16/3247/FUL"/>
    <s v="NEW"/>
    <m/>
    <s v="738 Hanworth Road Whitton TW4 5NT"/>
    <s v="Demolition of the existing detached bungalow, garage, shed and greenhouse to allow for construction of 2x two storey 4 bedroom semi-detached houses with accommodation in the roof with associated boundary treatment, cycle and car parking and hard and soft"/>
    <m/>
    <m/>
    <x v="1"/>
    <s v="Open Market"/>
    <n v="512538"/>
    <n v="173280"/>
    <m/>
    <n v="0"/>
    <n v="0"/>
    <n v="1"/>
    <n v="0"/>
    <m/>
    <m/>
    <m/>
    <n v="1"/>
    <m/>
    <n v="0"/>
    <n v="0"/>
    <n v="0"/>
    <n v="2"/>
    <m/>
    <m/>
    <m/>
    <n v="2"/>
    <m/>
    <n v="0"/>
    <n v="0"/>
    <n v="-1"/>
    <n v="2"/>
    <n v="0"/>
    <n v="0"/>
    <n v="0"/>
    <n v="1"/>
    <m/>
    <n v="0"/>
    <n v="1"/>
    <n v="0"/>
    <n v="0"/>
    <n v="0"/>
    <n v="0"/>
    <n v="0"/>
    <n v="0"/>
    <n v="0"/>
    <n v="0"/>
    <n v="0"/>
    <n v="0"/>
    <n v="0"/>
    <s v="Heathfield"/>
    <m/>
    <m/>
    <m/>
    <m/>
    <x v="0"/>
  </r>
  <r>
    <s v="16/3293/RES"/>
    <s v="NEW"/>
    <m/>
    <s v="Land At Junction Of A316 And Langhorn Drive And Richmond College Site Egerton Road Twickenham"/>
    <s v="Detailed Reserved Matters application including Appearance, Landscaping, Layout and Scale for the Schools Development Zone pursuant to Conditions U08026 and U08031 of Outline Planning Permission 15/3038/OUT dated 16.08.16 (Outline application for the dem"/>
    <d v="2017-03-13T00:00:00"/>
    <m/>
    <x v="1"/>
    <s v="Affordable Rent"/>
    <n v="515304"/>
    <n v="173889"/>
    <m/>
    <n v="0"/>
    <n v="0"/>
    <n v="0"/>
    <n v="0"/>
    <m/>
    <m/>
    <m/>
    <n v="0"/>
    <m/>
    <n v="1"/>
    <n v="20"/>
    <n v="5"/>
    <m/>
    <m/>
    <m/>
    <m/>
    <n v="26"/>
    <m/>
    <n v="1"/>
    <n v="20"/>
    <n v="5"/>
    <n v="0"/>
    <n v="0"/>
    <n v="0"/>
    <n v="0"/>
    <n v="26"/>
    <m/>
    <n v="0"/>
    <n v="0"/>
    <n v="0"/>
    <n v="8.6666666666666661"/>
    <n v="8.6666666666666661"/>
    <n v="8.6666666666666661"/>
    <n v="0"/>
    <s v="Y"/>
    <n v="0"/>
    <n v="0"/>
    <n v="0"/>
    <n v="0"/>
    <n v="0"/>
    <s v="St. Margarets and North Twickenham"/>
    <m/>
    <m/>
    <m/>
    <m/>
    <x v="0"/>
  </r>
  <r>
    <s v="16/3293/RES"/>
    <s v="NEW"/>
    <m/>
    <s v="Land At Junction Of A316 And Langhorn Drive And Richmond College Site Egerton Road Twickenham"/>
    <s v="Detailed Reserved Matters application including Appearance, Landscaping, Layout and Scale for the Schools Development Zone pursuant to Conditions U08026 and U08031 of Outline Planning Permission 15/3038/OUT dated 16.08.16 (Outline application for the dem"/>
    <d v="2017-03-13T00:00:00"/>
    <m/>
    <x v="1"/>
    <s v="Open Market"/>
    <n v="515304"/>
    <n v="173889"/>
    <m/>
    <n v="0"/>
    <n v="0"/>
    <n v="0"/>
    <n v="0"/>
    <m/>
    <m/>
    <m/>
    <n v="0"/>
    <m/>
    <n v="38"/>
    <n v="59"/>
    <n v="31"/>
    <n v="18"/>
    <m/>
    <m/>
    <m/>
    <n v="146"/>
    <m/>
    <n v="38"/>
    <n v="59"/>
    <n v="31"/>
    <n v="18"/>
    <n v="0"/>
    <n v="0"/>
    <n v="0"/>
    <n v="146"/>
    <m/>
    <n v="0"/>
    <n v="0"/>
    <n v="0"/>
    <n v="48.666666666666664"/>
    <n v="48.666666666666664"/>
    <n v="48.666666666666664"/>
    <n v="0"/>
    <s v="Y"/>
    <n v="0"/>
    <n v="0"/>
    <n v="0"/>
    <n v="0"/>
    <n v="0"/>
    <s v="St. Margarets and North Twickenham"/>
    <m/>
    <m/>
    <m/>
    <m/>
    <x v="0"/>
  </r>
  <r>
    <s v="16/3293/RES"/>
    <s v="NEW"/>
    <m/>
    <s v="Land At Junction Of A316 And Langhorn Drive And Richmond College Site Egerton Road Twickenham"/>
    <s v="Detailed Reserved Matters application including Appearance, Landscaping, Layout and Scale for the Schools Development Zone pursuant to Conditions U08026 and U08031 of Outline Planning Permission 15/3038/OUT dated 16.08.16 (Outline application for the dem"/>
    <d v="2017-03-13T00:00:00"/>
    <m/>
    <x v="1"/>
    <s v="Intermediate"/>
    <n v="515304"/>
    <n v="173889"/>
    <m/>
    <n v="0"/>
    <n v="0"/>
    <n v="0"/>
    <n v="0"/>
    <m/>
    <m/>
    <m/>
    <n v="0"/>
    <m/>
    <n v="6"/>
    <n v="2"/>
    <m/>
    <m/>
    <m/>
    <m/>
    <m/>
    <n v="8"/>
    <m/>
    <n v="6"/>
    <n v="2"/>
    <n v="0"/>
    <n v="0"/>
    <n v="0"/>
    <n v="0"/>
    <n v="0"/>
    <n v="8"/>
    <m/>
    <n v="0"/>
    <n v="0"/>
    <n v="0"/>
    <n v="2.6666666666666665"/>
    <n v="2.6666666666666665"/>
    <n v="2.6666666666666665"/>
    <n v="0"/>
    <s v="Y"/>
    <n v="0"/>
    <n v="0"/>
    <n v="0"/>
    <n v="0"/>
    <n v="0"/>
    <s v="St. Margarets and North Twickenham"/>
    <m/>
    <m/>
    <m/>
    <m/>
    <x v="0"/>
  </r>
  <r>
    <s v="16/3450/FUL"/>
    <s v="NEW"/>
    <m/>
    <s v="Land At 149 - 151 Heath Road Twickenham"/>
    <s v="Demolition of existing buildings and removal of advertising hoardings. Resiting of existing recycling bins. Erection of a part 3 storey part 4 storey building with commercial use (Flexible Use Class A1, A2 and/or B1a) on the ground floor with 9 flats (4"/>
    <d v="2018-09-03T00:00:00"/>
    <m/>
    <x v="1"/>
    <s v="Open Market"/>
    <n v="515669"/>
    <n v="173102"/>
    <m/>
    <n v="0"/>
    <n v="0"/>
    <n v="0"/>
    <n v="0"/>
    <m/>
    <m/>
    <m/>
    <n v="0"/>
    <m/>
    <n v="8"/>
    <n v="1"/>
    <n v="0"/>
    <n v="0"/>
    <m/>
    <m/>
    <m/>
    <n v="9"/>
    <m/>
    <n v="8"/>
    <n v="1"/>
    <n v="0"/>
    <n v="0"/>
    <n v="0"/>
    <n v="0"/>
    <n v="0"/>
    <n v="9"/>
    <m/>
    <n v="0"/>
    <n v="4.5"/>
    <n v="4.5"/>
    <n v="0"/>
    <n v="0"/>
    <n v="0"/>
    <n v="0"/>
    <s v="Y"/>
    <n v="0"/>
    <n v="0"/>
    <n v="0"/>
    <n v="0"/>
    <n v="0"/>
    <s v="South Twickenham"/>
    <m/>
    <m/>
    <s v="Twickenham"/>
    <m/>
    <x v="0"/>
  </r>
  <r>
    <s v="16/3485/FUL"/>
    <s v="CON"/>
    <m/>
    <s v="11 And 12 Upper Lodge Mews_x000a_Bushy Park_x000a_Hampton Hill"/>
    <s v="Conversion of number 11 Upper Lodge Mews and number 12 Upper Lodge Mews into one dwelling house with internal refurbishment."/>
    <m/>
    <m/>
    <x v="1"/>
    <s v="Open Market"/>
    <n v="514501"/>
    <n v="170687"/>
    <m/>
    <n v="0"/>
    <n v="0"/>
    <n v="2"/>
    <n v="0"/>
    <m/>
    <m/>
    <m/>
    <n v="2"/>
    <m/>
    <n v="0"/>
    <n v="0"/>
    <n v="0"/>
    <n v="1"/>
    <m/>
    <m/>
    <m/>
    <n v="1"/>
    <m/>
    <n v="0"/>
    <n v="0"/>
    <n v="-2"/>
    <n v="1"/>
    <n v="0"/>
    <n v="0"/>
    <n v="0"/>
    <n v="-1"/>
    <m/>
    <n v="0"/>
    <n v="0"/>
    <n v="0"/>
    <n v="0"/>
    <n v="0"/>
    <n v="0"/>
    <n v="0"/>
    <n v="0"/>
    <n v="0"/>
    <n v="0"/>
    <n v="0"/>
    <n v="0"/>
    <n v="0"/>
    <s v="Fulwell and Hampton Hill"/>
    <m/>
    <m/>
    <m/>
    <m/>
    <x v="0"/>
  </r>
  <r>
    <s v="16/3552/FUL"/>
    <s v="MIX"/>
    <m/>
    <s v="St Michaels Convent 56 Ham Common Ham TW10 7JH"/>
    <s v="Conversion and extension of the existing convent buildings (following demolition of some mid-20th century extensions), together with new build apartments and houses, to provide a total of 23 residential retirement units, an estate managers office and mee"/>
    <d v="2018-04-25T00:00:00"/>
    <m/>
    <x v="1"/>
    <s v="Open Market"/>
    <n v="517752"/>
    <n v="172177"/>
    <m/>
    <n v="0"/>
    <n v="0"/>
    <n v="0"/>
    <n v="0"/>
    <m/>
    <m/>
    <m/>
    <n v="0"/>
    <m/>
    <n v="1"/>
    <n v="20"/>
    <n v="1"/>
    <n v="1"/>
    <m/>
    <m/>
    <m/>
    <n v="23"/>
    <m/>
    <n v="1"/>
    <n v="20"/>
    <n v="1"/>
    <n v="1"/>
    <n v="0"/>
    <n v="0"/>
    <n v="0"/>
    <n v="23"/>
    <m/>
    <n v="0"/>
    <n v="23"/>
    <n v="0"/>
    <n v="0"/>
    <n v="0"/>
    <n v="0"/>
    <n v="0"/>
    <n v="0"/>
    <n v="0"/>
    <n v="0"/>
    <n v="0"/>
    <n v="0"/>
    <n v="0"/>
    <s v="Ham, Petersham and Richmond Riverside"/>
    <m/>
    <m/>
    <m/>
    <m/>
    <x v="0"/>
  </r>
  <r>
    <s v="16/3625/FUL"/>
    <s v="NEW"/>
    <m/>
    <s v="65 Holly Road Twickenham TW1 4HF"/>
    <s v="Demolition of existing car repair workshop and replacement with 1 no. ground floor B1(a) commercial unit and 1 no. 2 bed residential unit with associated landscaping, car and cycle parking."/>
    <d v="2018-09-01T00:00:00"/>
    <m/>
    <x v="1"/>
    <s v="Open Market"/>
    <n v="516115"/>
    <n v="173199"/>
    <m/>
    <n v="0"/>
    <n v="0"/>
    <n v="0"/>
    <n v="0"/>
    <m/>
    <m/>
    <m/>
    <n v="0"/>
    <m/>
    <n v="0"/>
    <n v="1"/>
    <n v="0"/>
    <n v="0"/>
    <m/>
    <m/>
    <m/>
    <n v="1"/>
    <m/>
    <n v="0"/>
    <n v="1"/>
    <n v="0"/>
    <n v="0"/>
    <n v="0"/>
    <n v="0"/>
    <n v="0"/>
    <n v="1"/>
    <m/>
    <n v="0"/>
    <n v="1"/>
    <n v="0"/>
    <n v="0"/>
    <n v="0"/>
    <n v="0"/>
    <n v="0"/>
    <n v="0"/>
    <n v="0"/>
    <n v="0"/>
    <n v="0"/>
    <n v="0"/>
    <n v="0"/>
    <s v="Twickenham Riverside"/>
    <m/>
    <m/>
    <s v="Twickenham"/>
    <m/>
    <x v="0"/>
  </r>
  <r>
    <s v="16/3685/FUL"/>
    <s v="EXT"/>
    <m/>
    <s v="11 Tayben Avenue Twickenham TW2 7RA"/>
    <s v="Demolition of existing garage. Alterations to main entrance, installation of ramp, loft conversion comprising hip to gable roof extension to rear roof slope, dormer on side roof slope, enlargement of single storey rear extension and two storey side exten"/>
    <m/>
    <d v="2019-08-31T00:00:00"/>
    <x v="1"/>
    <s v="Open Market"/>
    <n v="515385"/>
    <n v="174051"/>
    <m/>
    <n v="0"/>
    <n v="0"/>
    <n v="1"/>
    <n v="0"/>
    <m/>
    <m/>
    <m/>
    <n v="1"/>
    <m/>
    <n v="0"/>
    <n v="2"/>
    <n v="0"/>
    <n v="0"/>
    <m/>
    <m/>
    <m/>
    <n v="2"/>
    <m/>
    <n v="0"/>
    <n v="2"/>
    <n v="-1"/>
    <n v="0"/>
    <n v="0"/>
    <n v="0"/>
    <n v="0"/>
    <n v="1"/>
    <m/>
    <n v="0"/>
    <n v="1"/>
    <n v="0"/>
    <n v="0"/>
    <n v="0"/>
    <n v="0"/>
    <n v="0"/>
    <n v="0"/>
    <n v="0"/>
    <n v="0"/>
    <n v="0"/>
    <n v="0"/>
    <n v="0"/>
    <s v="St. Margarets and North Twickenham"/>
    <m/>
    <m/>
    <m/>
    <m/>
    <x v="0"/>
  </r>
  <r>
    <s v="16/3961/FUL"/>
    <s v="NEW"/>
    <m/>
    <s v="8 Barnes High Street_x000a_Barnes_x000a_London_x000a_SW13 9LW"/>
    <s v="Demolition of rear stock room and yard to create a 2 bedroom dwelling over 2 floors with one integral parking space at ground level."/>
    <d v="2019-01-14T00:00:00"/>
    <m/>
    <x v="1"/>
    <s v="Open Market"/>
    <n v="521729"/>
    <n v="176400"/>
    <m/>
    <n v="0"/>
    <n v="0"/>
    <n v="0"/>
    <n v="0"/>
    <m/>
    <m/>
    <m/>
    <n v="0"/>
    <m/>
    <n v="0"/>
    <n v="1"/>
    <n v="0"/>
    <n v="0"/>
    <m/>
    <m/>
    <m/>
    <n v="1"/>
    <m/>
    <n v="0"/>
    <n v="1"/>
    <n v="0"/>
    <n v="0"/>
    <n v="0"/>
    <n v="0"/>
    <n v="0"/>
    <n v="1"/>
    <m/>
    <n v="0"/>
    <n v="1"/>
    <n v="0"/>
    <n v="0"/>
    <n v="0"/>
    <n v="0"/>
    <n v="0"/>
    <n v="0"/>
    <n v="0"/>
    <n v="0"/>
    <n v="0"/>
    <n v="0"/>
    <n v="0"/>
    <s v="Mortlake and Barnes Common"/>
    <m/>
    <s v="High Street"/>
    <m/>
    <m/>
    <x v="0"/>
  </r>
  <r>
    <s v="16/4193/FUL"/>
    <s v="NEW"/>
    <m/>
    <s v="12 Broad Lane_x000a_Hampton_x000a_TW12 3AW"/>
    <s v="Demolition of existing two-storey house and erection of replacement two-storey new build house with accommodation in roof space, associated parking and landscaping."/>
    <m/>
    <m/>
    <x v="1"/>
    <s v="Open Market"/>
    <n v="513706"/>
    <n v="170624"/>
    <m/>
    <n v="0"/>
    <n v="0"/>
    <n v="0"/>
    <n v="1"/>
    <m/>
    <m/>
    <m/>
    <n v="1"/>
    <m/>
    <n v="0"/>
    <n v="0"/>
    <n v="0"/>
    <n v="1"/>
    <m/>
    <m/>
    <m/>
    <n v="1"/>
    <m/>
    <n v="0"/>
    <n v="0"/>
    <n v="0"/>
    <n v="0"/>
    <n v="0"/>
    <n v="0"/>
    <n v="0"/>
    <n v="0"/>
    <m/>
    <n v="0"/>
    <n v="0"/>
    <n v="0"/>
    <n v="0"/>
    <n v="0"/>
    <n v="0"/>
    <n v="0"/>
    <n v="0"/>
    <n v="0"/>
    <n v="0"/>
    <n v="0"/>
    <n v="0"/>
    <n v="0"/>
    <s v="Hampton North"/>
    <m/>
    <m/>
    <m/>
    <m/>
    <x v="0"/>
  </r>
  <r>
    <s v="16/4405/FUL"/>
    <s v="NEW"/>
    <m/>
    <s v="46 Sixth Cross Road Twickenham TW2 5PB"/>
    <s v="Demolition of an existing 3 bedroom bungalow and erection of a new 4 bedroom two storey dwelling (including loft accommodation) with associated landscaping works)."/>
    <d v="2017-09-01T00:00:00"/>
    <m/>
    <x v="1"/>
    <s v="Open Market"/>
    <n v="514468"/>
    <n v="172144"/>
    <m/>
    <n v="0"/>
    <n v="0"/>
    <n v="1"/>
    <n v="0"/>
    <m/>
    <m/>
    <m/>
    <n v="1"/>
    <m/>
    <n v="0"/>
    <n v="0"/>
    <n v="0"/>
    <n v="1"/>
    <m/>
    <m/>
    <m/>
    <n v="1"/>
    <m/>
    <n v="0"/>
    <n v="0"/>
    <n v="-1"/>
    <n v="1"/>
    <n v="0"/>
    <n v="0"/>
    <n v="0"/>
    <n v="0"/>
    <m/>
    <n v="0"/>
    <n v="0"/>
    <n v="0"/>
    <n v="0"/>
    <n v="0"/>
    <n v="0"/>
    <n v="0"/>
    <n v="0"/>
    <n v="0"/>
    <n v="0"/>
    <n v="0"/>
    <n v="0"/>
    <n v="0"/>
    <s v="West Twickenham"/>
    <m/>
    <m/>
    <m/>
    <m/>
    <x v="0"/>
  </r>
  <r>
    <s v="17/0164/GPD15"/>
    <s v="CHU"/>
    <m/>
    <s v="Ground Floor_x000d_101 Holly Road_x000d_Twickenham_x000d_TW1 4HQ_x000d_"/>
    <s v="Change of use of ground floor office from B1(a) (Office) to C3 (residential) use to provide 1 no. 1 bed dwelling unit"/>
    <d v="2018-10-01T00:00:00"/>
    <d v="2019-04-24T00:00:00"/>
    <x v="1"/>
    <s v="Open Market"/>
    <n v="516177"/>
    <n v="173221"/>
    <m/>
    <n v="0"/>
    <n v="0"/>
    <n v="0"/>
    <n v="0"/>
    <m/>
    <m/>
    <m/>
    <n v="0"/>
    <m/>
    <n v="1"/>
    <n v="0"/>
    <n v="0"/>
    <n v="0"/>
    <m/>
    <m/>
    <m/>
    <n v="1"/>
    <m/>
    <n v="1"/>
    <n v="0"/>
    <n v="0"/>
    <n v="0"/>
    <n v="0"/>
    <n v="0"/>
    <n v="0"/>
    <n v="1"/>
    <m/>
    <n v="0"/>
    <n v="1"/>
    <n v="0"/>
    <n v="0"/>
    <n v="0"/>
    <n v="0"/>
    <n v="0"/>
    <n v="0"/>
    <n v="0"/>
    <n v="0"/>
    <n v="0"/>
    <n v="0"/>
    <n v="0"/>
    <s v="Twickenham Riverside"/>
    <m/>
    <m/>
    <s v="Twickenham"/>
    <m/>
    <x v="0"/>
  </r>
  <r>
    <s v="17/0220/GPD15"/>
    <s v="CHU"/>
    <s v="PA"/>
    <s v="5 King Edward Mews_x000a_Barnes_x000a_London_x000a_SW13 9HD"/>
    <s v="Change of use of ground floor office (use class B1(a)) to residential dwelling (use class C3)."/>
    <d v="2016-02-01T00:00:00"/>
    <m/>
    <x v="1"/>
    <s v="Open Market"/>
    <n v="522197"/>
    <n v="176636"/>
    <m/>
    <n v="0"/>
    <n v="0"/>
    <n v="0"/>
    <n v="0"/>
    <m/>
    <m/>
    <m/>
    <n v="0"/>
    <m/>
    <n v="1"/>
    <n v="0"/>
    <n v="0"/>
    <n v="0"/>
    <m/>
    <m/>
    <m/>
    <n v="1"/>
    <m/>
    <n v="1"/>
    <n v="0"/>
    <n v="0"/>
    <n v="0"/>
    <n v="0"/>
    <n v="0"/>
    <n v="0"/>
    <n v="1"/>
    <m/>
    <n v="0"/>
    <n v="0"/>
    <n v="1"/>
    <n v="0"/>
    <n v="0"/>
    <n v="0"/>
    <n v="0"/>
    <s v="Y"/>
    <n v="0"/>
    <n v="0"/>
    <n v="0"/>
    <n v="0"/>
    <n v="0"/>
    <s v="Barnes"/>
    <m/>
    <m/>
    <m/>
    <m/>
    <x v="0"/>
  </r>
  <r>
    <s v="17/0396/FUL"/>
    <s v="NEW"/>
    <m/>
    <s v="Garage Site Craig Road Ham"/>
    <s v="Demolition of existing garages and creation of 3 x 1bed 2person flats and 1 x 2bed 3-person bungalow with associated parking and landscaping."/>
    <d v="2019-02-01T00:00:00"/>
    <m/>
    <x v="1"/>
    <s v="Affordable Rent"/>
    <n v="517438"/>
    <n v="171815"/>
    <m/>
    <n v="0"/>
    <n v="0"/>
    <n v="0"/>
    <n v="0"/>
    <m/>
    <m/>
    <m/>
    <n v="0"/>
    <m/>
    <n v="3"/>
    <n v="1"/>
    <n v="0"/>
    <n v="0"/>
    <m/>
    <m/>
    <m/>
    <n v="4"/>
    <m/>
    <n v="3"/>
    <n v="1"/>
    <n v="0"/>
    <n v="0"/>
    <n v="0"/>
    <n v="0"/>
    <n v="0"/>
    <n v="4"/>
    <m/>
    <n v="0"/>
    <n v="0"/>
    <n v="4"/>
    <n v="0"/>
    <n v="0"/>
    <n v="0"/>
    <n v="0"/>
    <s v="Y"/>
    <n v="0"/>
    <n v="0"/>
    <n v="0"/>
    <n v="0"/>
    <n v="0"/>
    <s v="Ham, Petersham and Richmond Riverside"/>
    <m/>
    <m/>
    <m/>
    <m/>
    <x v="0"/>
  </r>
  <r>
    <s v="17/0605/FUL"/>
    <s v="EXT"/>
    <m/>
    <s v="114 Sheen Road Richmond TW9 1UR"/>
    <s v="Two-storey rear and basement extensions to provide additional retail and ancillary accommodation."/>
    <m/>
    <d v="2019-03-01T00:00:00"/>
    <x v="1"/>
    <s v="Open Market"/>
    <n v="518536"/>
    <n v="175085"/>
    <m/>
    <n v="0"/>
    <n v="0"/>
    <n v="0"/>
    <n v="0"/>
    <m/>
    <m/>
    <m/>
    <n v="0"/>
    <m/>
    <n v="0"/>
    <n v="0"/>
    <n v="0"/>
    <n v="0"/>
    <m/>
    <m/>
    <m/>
    <n v="0"/>
    <m/>
    <n v="0"/>
    <n v="0"/>
    <n v="0"/>
    <n v="0"/>
    <n v="0"/>
    <n v="0"/>
    <n v="0"/>
    <n v="0"/>
    <m/>
    <n v="0"/>
    <n v="0"/>
    <n v="0"/>
    <n v="0"/>
    <n v="0"/>
    <n v="0"/>
    <n v="0"/>
    <n v="0"/>
    <n v="0"/>
    <n v="0"/>
    <n v="0"/>
    <n v="0"/>
    <n v="0"/>
    <s v="South Richmond"/>
    <m/>
    <s v="Sheen Road"/>
    <m/>
    <m/>
    <x v="0"/>
  </r>
  <r>
    <s v="17/0956/FUL"/>
    <s v="NEW"/>
    <m/>
    <s v="Rear Of 74 Church Road Barnes SW13 0DQ"/>
    <s v="Proposed demolition of existing buildings and erection of residential-led mixed-use development and associated works."/>
    <d v="2019-01-15T00:00:00"/>
    <m/>
    <x v="1"/>
    <s v="Open Market"/>
    <n v="522302"/>
    <n v="176537"/>
    <m/>
    <n v="0"/>
    <n v="0"/>
    <n v="0"/>
    <n v="0"/>
    <m/>
    <m/>
    <m/>
    <n v="0"/>
    <m/>
    <n v="2"/>
    <n v="4"/>
    <n v="0"/>
    <n v="0"/>
    <m/>
    <m/>
    <m/>
    <n v="6"/>
    <m/>
    <n v="2"/>
    <n v="4"/>
    <n v="0"/>
    <n v="0"/>
    <n v="0"/>
    <n v="0"/>
    <n v="0"/>
    <n v="6"/>
    <m/>
    <n v="0"/>
    <n v="0"/>
    <n v="6"/>
    <n v="0"/>
    <n v="0"/>
    <n v="0"/>
    <n v="0"/>
    <s v="Y"/>
    <n v="0"/>
    <n v="0"/>
    <n v="0"/>
    <n v="0"/>
    <n v="0"/>
    <s v="Barnes"/>
    <m/>
    <s v="Church Road/Castelnau"/>
    <m/>
    <m/>
    <x v="0"/>
  </r>
  <r>
    <s v="17/1207/FUL"/>
    <s v="NEW"/>
    <m/>
    <s v="12 Princes Road_x000d_Kew_x000d_Richmond_x000d_TW9 3HP"/>
    <s v="Redevelopment comprising ground floor Change of Use from MOT garage (B2) to a Dental Surgery (D1) and Office (B1); and replacement (over) of 1 no. 2-bed flat with 3 no. 2-bed flats; and associated landscaping."/>
    <d v="2018-10-01T00:00:00"/>
    <m/>
    <x v="1"/>
    <s v="Open Market"/>
    <n v="518953"/>
    <n v="176997"/>
    <m/>
    <n v="0"/>
    <n v="1"/>
    <n v="0"/>
    <n v="0"/>
    <m/>
    <m/>
    <m/>
    <n v="1"/>
    <m/>
    <n v="0"/>
    <n v="3"/>
    <n v="0"/>
    <n v="0"/>
    <m/>
    <m/>
    <m/>
    <n v="3"/>
    <m/>
    <n v="0"/>
    <n v="2"/>
    <n v="0"/>
    <n v="0"/>
    <n v="0"/>
    <n v="0"/>
    <n v="0"/>
    <n v="2"/>
    <m/>
    <n v="0"/>
    <n v="2"/>
    <n v="0"/>
    <n v="0"/>
    <n v="0"/>
    <n v="0"/>
    <n v="0"/>
    <n v="0"/>
    <n v="0"/>
    <n v="0"/>
    <n v="0"/>
    <n v="0"/>
    <n v="0"/>
    <s v="Kew"/>
    <m/>
    <m/>
    <m/>
    <m/>
    <x v="0"/>
  </r>
  <r>
    <s v="17/1286/VRC"/>
    <s v="NEW"/>
    <m/>
    <s v="Teddington Studios Broom Road Teddington"/>
    <s v="Variation of approved drawing nos attached to 14/0914/FUL to allow for the development of Block B as two blocks and an increase in the overall number of units from 220 to 238 and minor changes to the riverside walkway._x000d_To allow changes to the internal la"/>
    <d v="2017-10-05T00:00:00"/>
    <m/>
    <x v="1"/>
    <s v="Open Market"/>
    <n v="516802"/>
    <n v="171333"/>
    <m/>
    <n v="0"/>
    <n v="0"/>
    <n v="0"/>
    <n v="0"/>
    <m/>
    <m/>
    <m/>
    <n v="0"/>
    <m/>
    <n v="23"/>
    <n v="65"/>
    <n v="52"/>
    <n v="6"/>
    <m/>
    <m/>
    <m/>
    <n v="146"/>
    <m/>
    <n v="23"/>
    <n v="65"/>
    <n v="52"/>
    <n v="6"/>
    <n v="0"/>
    <n v="0"/>
    <n v="0"/>
    <n v="146"/>
    <m/>
    <n v="0"/>
    <n v="0"/>
    <n v="73"/>
    <n v="73"/>
    <n v="0"/>
    <n v="0"/>
    <n v="0"/>
    <s v="Y"/>
    <n v="0"/>
    <n v="0"/>
    <n v="0"/>
    <n v="0"/>
    <n v="0"/>
    <s v="Teddington"/>
    <m/>
    <m/>
    <m/>
    <s v="Thames Policy Area"/>
    <x v="0"/>
  </r>
  <r>
    <s v="17/1286/VRC"/>
    <s v="NEW"/>
    <m/>
    <s v="Teddington Studios Broom Road Teddington"/>
    <s v="Variation of approved drawing nos attached to 14/0914/FUL to allow for the development of Block B as two blocks and an increase in the overall number of units from 220 to 238 and minor changes to the riverside walkway._x000d_To allow changes to the internal la"/>
    <d v="2017-10-05T00:00:00"/>
    <m/>
    <x v="1"/>
    <s v="Affordable Rent"/>
    <n v="516802"/>
    <n v="171333"/>
    <m/>
    <n v="0"/>
    <n v="0"/>
    <n v="0"/>
    <n v="0"/>
    <m/>
    <m/>
    <m/>
    <n v="0"/>
    <m/>
    <n v="4"/>
    <n v="11"/>
    <n v="0"/>
    <n v="0"/>
    <m/>
    <m/>
    <m/>
    <n v="15"/>
    <m/>
    <n v="4"/>
    <n v="11"/>
    <n v="0"/>
    <n v="0"/>
    <n v="0"/>
    <n v="0"/>
    <n v="0"/>
    <n v="15"/>
    <m/>
    <n v="0"/>
    <n v="15"/>
    <n v="0"/>
    <n v="0"/>
    <n v="0"/>
    <n v="0"/>
    <n v="0"/>
    <n v="0"/>
    <n v="0"/>
    <n v="0"/>
    <n v="0"/>
    <n v="0"/>
    <n v="0"/>
    <s v="Teddington"/>
    <m/>
    <m/>
    <m/>
    <s v="Thames Policy Area"/>
    <x v="0"/>
  </r>
  <r>
    <s v="17/1534/FUL"/>
    <s v="CHU"/>
    <m/>
    <s v="The Bungalow Oldfield Centre Oldfield Road Hampton TW12 2HP"/>
    <s v="Temporary change of use from residential (use class C3) to a community centre (use class D2) (temporary use for 2 years)."/>
    <d v="2019-01-14T00:00:00"/>
    <m/>
    <x v="1"/>
    <s v="Open Market"/>
    <n v="512735"/>
    <n v="169696"/>
    <m/>
    <n v="0"/>
    <n v="1"/>
    <n v="0"/>
    <n v="0"/>
    <m/>
    <m/>
    <m/>
    <n v="1"/>
    <m/>
    <n v="0"/>
    <n v="0"/>
    <n v="0"/>
    <n v="0"/>
    <m/>
    <m/>
    <m/>
    <n v="0"/>
    <m/>
    <n v="0"/>
    <n v="-1"/>
    <n v="0"/>
    <n v="0"/>
    <n v="0"/>
    <n v="0"/>
    <n v="0"/>
    <n v="-1"/>
    <m/>
    <n v="0"/>
    <n v="-1"/>
    <n v="0"/>
    <n v="0"/>
    <n v="0"/>
    <n v="0"/>
    <n v="0"/>
    <n v="0"/>
    <n v="0"/>
    <n v="0"/>
    <n v="0"/>
    <n v="0"/>
    <n v="0"/>
    <s v="Hampton"/>
    <s v="Y"/>
    <m/>
    <m/>
    <m/>
    <x v="0"/>
  </r>
  <r>
    <s v="17/1996/FUL"/>
    <s v="NEW"/>
    <m/>
    <s v="49 Clifford Avenue East Sheen SW14 7BW"/>
    <s v="Demolition of existing outbuildings and construction of 2 No. detached dwellinghouses."/>
    <m/>
    <m/>
    <x v="1"/>
    <s v="Open Market"/>
    <n v="519840"/>
    <n v="175428"/>
    <m/>
    <n v="0"/>
    <n v="0"/>
    <n v="0"/>
    <n v="0"/>
    <m/>
    <m/>
    <m/>
    <n v="0"/>
    <m/>
    <n v="0"/>
    <n v="0"/>
    <n v="0"/>
    <n v="2"/>
    <m/>
    <m/>
    <m/>
    <n v="2"/>
    <m/>
    <n v="0"/>
    <n v="0"/>
    <n v="0"/>
    <n v="2"/>
    <n v="0"/>
    <n v="0"/>
    <n v="0"/>
    <n v="2"/>
    <m/>
    <n v="0"/>
    <n v="2"/>
    <n v="0"/>
    <n v="0"/>
    <n v="0"/>
    <n v="0"/>
    <n v="0"/>
    <n v="0"/>
    <n v="0"/>
    <n v="0"/>
    <n v="0"/>
    <n v="0"/>
    <n v="0"/>
    <s v="North Richmond"/>
    <m/>
    <m/>
    <m/>
    <m/>
    <x v="0"/>
  </r>
  <r>
    <s v="17/2488/FUL"/>
    <s v="NEW"/>
    <m/>
    <s v="32 Fife Road East Sheen SW14 7EL"/>
    <s v="Replacement dwellinghouse with associated landscaping, boundary treatment and summer house."/>
    <d v="2018-12-01T00:00:00"/>
    <m/>
    <x v="1"/>
    <s v="Open Market"/>
    <n v="520119"/>
    <n v="174521"/>
    <m/>
    <n v="0"/>
    <n v="0"/>
    <n v="0"/>
    <n v="0"/>
    <n v="1"/>
    <m/>
    <m/>
    <n v="1"/>
    <m/>
    <n v="0"/>
    <n v="0"/>
    <n v="0"/>
    <n v="0"/>
    <m/>
    <n v="1"/>
    <m/>
    <n v="1"/>
    <m/>
    <n v="0"/>
    <n v="0"/>
    <n v="0"/>
    <n v="0"/>
    <n v="-1"/>
    <n v="1"/>
    <n v="0"/>
    <n v="0"/>
    <m/>
    <n v="0"/>
    <n v="0"/>
    <n v="0"/>
    <n v="0"/>
    <n v="0"/>
    <n v="0"/>
    <n v="0"/>
    <n v="0"/>
    <n v="0"/>
    <n v="0"/>
    <n v="0"/>
    <n v="0"/>
    <n v="0"/>
    <s v="East Sheen"/>
    <m/>
    <m/>
    <m/>
    <m/>
    <x v="0"/>
  </r>
  <r>
    <s v="17/2534/FUL"/>
    <s v="CON"/>
    <m/>
    <s v="1 Royston Road Richmond"/>
    <s v="Creation of a single storey rear and side extension and conversion of the two lower flats and upper maisonette into a single dwelling house"/>
    <d v="2019-03-01T00:00:00"/>
    <m/>
    <x v="1"/>
    <s v="Open Market"/>
    <n v="518396"/>
    <n v="174632"/>
    <m/>
    <n v="2"/>
    <n v="1"/>
    <n v="0"/>
    <n v="0"/>
    <m/>
    <m/>
    <m/>
    <n v="3"/>
    <m/>
    <n v="0"/>
    <n v="0"/>
    <n v="0"/>
    <n v="0"/>
    <n v="1"/>
    <m/>
    <m/>
    <n v="1"/>
    <m/>
    <n v="-2"/>
    <n v="-1"/>
    <n v="0"/>
    <n v="0"/>
    <n v="1"/>
    <n v="0"/>
    <n v="0"/>
    <n v="-2"/>
    <m/>
    <n v="0"/>
    <n v="-2"/>
    <n v="0"/>
    <n v="0"/>
    <n v="0"/>
    <n v="0"/>
    <n v="0"/>
    <n v="0"/>
    <n v="0"/>
    <n v="0"/>
    <n v="0"/>
    <n v="0"/>
    <n v="0"/>
    <s v="South Richmond"/>
    <m/>
    <m/>
    <m/>
    <m/>
    <x v="0"/>
  </r>
  <r>
    <s v="17/2769/FUL"/>
    <s v="NEW"/>
    <m/>
    <s v="54 Sandy Lane_x000a_Petersham_x000a_Richmond_x000a_TW10 7EL"/>
    <s v="Demolition of existing detached dwelling and construction of a new 2 storey, 5 bedroom dwelling."/>
    <d v="2018-11-30T00:00:00"/>
    <m/>
    <x v="1"/>
    <s v="Open Market"/>
    <n v="517655"/>
    <n v="172610"/>
    <m/>
    <n v="0"/>
    <n v="0"/>
    <n v="1"/>
    <n v="0"/>
    <m/>
    <m/>
    <m/>
    <n v="1"/>
    <m/>
    <n v="0"/>
    <n v="0"/>
    <n v="0"/>
    <n v="0"/>
    <n v="1"/>
    <m/>
    <m/>
    <n v="1"/>
    <m/>
    <n v="0"/>
    <n v="0"/>
    <n v="-1"/>
    <n v="0"/>
    <n v="1"/>
    <n v="0"/>
    <n v="0"/>
    <n v="0"/>
    <m/>
    <n v="0"/>
    <n v="0"/>
    <n v="0"/>
    <n v="0"/>
    <n v="0"/>
    <n v="0"/>
    <n v="0"/>
    <n v="0"/>
    <n v="0"/>
    <n v="0"/>
    <n v="0"/>
    <n v="0"/>
    <n v="0"/>
    <s v="Ham, Petersham and Richmond Riverside"/>
    <m/>
    <m/>
    <m/>
    <m/>
    <x v="0"/>
  </r>
  <r>
    <s v="17/2779/NMA"/>
    <s v="NEW"/>
    <m/>
    <s v="HMP Latchmere House Church Road Ham TW10 5HH"/>
    <s v="Non Material Amendment to Planning Permission 17/2779/VRC  (Removal of condition U05665 - NS09 (Formally condition 9 - Lifetime Homes Standards) of Planning Permission 16/0523/VRC) Amendments to include internal amendments to revise housing mix in Latchm"/>
    <d v="2016-05-02T00:00:00"/>
    <m/>
    <x v="1"/>
    <s v="Open Market"/>
    <n v="518534"/>
    <n v="171320"/>
    <m/>
    <n v="0"/>
    <n v="0"/>
    <n v="0"/>
    <n v="0"/>
    <m/>
    <m/>
    <m/>
    <n v="0"/>
    <m/>
    <n v="1"/>
    <n v="4"/>
    <n v="2"/>
    <n v="6"/>
    <n v="4"/>
    <m/>
    <m/>
    <n v="17"/>
    <m/>
    <n v="1"/>
    <n v="4"/>
    <n v="2"/>
    <n v="6"/>
    <n v="4"/>
    <n v="0"/>
    <n v="0"/>
    <n v="17"/>
    <m/>
    <n v="0"/>
    <n v="0"/>
    <n v="17"/>
    <n v="0"/>
    <n v="0"/>
    <n v="0"/>
    <n v="0"/>
    <s v="Y"/>
    <n v="0"/>
    <n v="0"/>
    <n v="0"/>
    <n v="0"/>
    <n v="0"/>
    <s v="Ham, Petersham and Richmond Riverside"/>
    <m/>
    <m/>
    <m/>
    <m/>
    <x v="0"/>
  </r>
  <r>
    <s v="17/2939/FUL"/>
    <s v="CHU"/>
    <m/>
    <s v="54 White Hart Lane_x000a_Barnes_x000a_London_x000a_SW13 0PZ"/>
    <s v="Part conversion of rear shop unit and single storey side/rear extension to form a studio flat."/>
    <d v="2018-09-04T00:00:00"/>
    <m/>
    <x v="1"/>
    <s v="Open Market"/>
    <n v="521310"/>
    <n v="175864"/>
    <m/>
    <n v="0"/>
    <n v="0"/>
    <n v="0"/>
    <n v="0"/>
    <m/>
    <m/>
    <m/>
    <n v="0"/>
    <n v="1"/>
    <n v="0"/>
    <n v="0"/>
    <n v="0"/>
    <n v="0"/>
    <m/>
    <m/>
    <m/>
    <n v="1"/>
    <n v="1"/>
    <n v="0"/>
    <n v="0"/>
    <n v="0"/>
    <n v="0"/>
    <n v="0"/>
    <n v="0"/>
    <n v="0"/>
    <n v="1"/>
    <m/>
    <n v="0"/>
    <n v="1"/>
    <n v="0"/>
    <n v="0"/>
    <n v="0"/>
    <n v="0"/>
    <n v="0"/>
    <n v="0"/>
    <n v="0"/>
    <n v="0"/>
    <n v="0"/>
    <n v="0"/>
    <n v="0"/>
    <s v="Mortlake and Barnes Common"/>
    <m/>
    <s v="White Hart lane"/>
    <m/>
    <m/>
    <x v="0"/>
  </r>
  <r>
    <s v="17/2995/FUL"/>
    <s v="CHU"/>
    <m/>
    <s v="24 Larkfield Road Richmond"/>
    <s v="Change of use from a House in Multiple Occupation (Use Class C4) to create three self-contained flats (Use Class C3).  Installation of rear conservation rooflight, side ground floor window and replacement windows."/>
    <d v="2019-01-31T00:00:00"/>
    <m/>
    <x v="1"/>
    <s v="Open Market"/>
    <n v="518267"/>
    <n v="175282"/>
    <m/>
    <n v="1"/>
    <n v="0"/>
    <n v="0"/>
    <n v="0"/>
    <n v="1"/>
    <m/>
    <m/>
    <n v="2"/>
    <m/>
    <n v="1"/>
    <n v="2"/>
    <n v="0"/>
    <n v="0"/>
    <m/>
    <m/>
    <m/>
    <n v="3"/>
    <m/>
    <n v="0"/>
    <n v="2"/>
    <n v="0"/>
    <n v="0"/>
    <n v="-1"/>
    <n v="0"/>
    <n v="0"/>
    <n v="1"/>
    <m/>
    <n v="0"/>
    <n v="1"/>
    <n v="0"/>
    <n v="0"/>
    <n v="0"/>
    <n v="0"/>
    <n v="0"/>
    <n v="0"/>
    <n v="0"/>
    <n v="0"/>
    <n v="0"/>
    <n v="0"/>
    <n v="0"/>
    <s v="North Richmond"/>
    <m/>
    <m/>
    <m/>
    <m/>
    <x v="0"/>
  </r>
  <r>
    <s v="17/3132/FUL"/>
    <s v="NEW"/>
    <m/>
    <s v="22 Vivienne Close Twickenham TW1 2JX"/>
    <s v="Demolition of existing garage and construction of a two-storey, 3-bedroom house, with accommodation in the roof space. Formation of new vehicular access and 1 off-street parking space in front on no.22."/>
    <d v="2019-02-05T00:00:00"/>
    <m/>
    <x v="1"/>
    <s v="Open Market"/>
    <n v="517531"/>
    <n v="174067"/>
    <m/>
    <n v="0"/>
    <n v="0"/>
    <n v="0"/>
    <n v="0"/>
    <m/>
    <m/>
    <m/>
    <n v="0"/>
    <m/>
    <n v="0"/>
    <n v="0"/>
    <n v="1"/>
    <n v="0"/>
    <m/>
    <m/>
    <m/>
    <n v="1"/>
    <m/>
    <n v="0"/>
    <n v="0"/>
    <n v="1"/>
    <n v="0"/>
    <n v="0"/>
    <n v="0"/>
    <n v="0"/>
    <n v="1"/>
    <m/>
    <n v="0"/>
    <n v="1"/>
    <n v="0"/>
    <n v="0"/>
    <n v="0"/>
    <n v="0"/>
    <n v="0"/>
    <n v="0"/>
    <n v="0"/>
    <n v="0"/>
    <n v="0"/>
    <n v="0"/>
    <n v="0"/>
    <s v="Twickenham Riverside"/>
    <m/>
    <m/>
    <m/>
    <m/>
    <x v="1"/>
  </r>
  <r>
    <s v="17/3347/FUL"/>
    <s v="NEW"/>
    <m/>
    <s v="12 Westfields Avenue_x000a_Barnes_x000a_London_x000a_SW13 0AU"/>
    <s v="Erection of a pair of four-bedroom semi-detached dwellings together with landscaping, following demolition of existing hall building (use class D2)."/>
    <d v="2018-11-01T00:00:00"/>
    <m/>
    <x v="1"/>
    <s v="Open Market"/>
    <n v="521397"/>
    <n v="175828"/>
    <m/>
    <n v="0"/>
    <n v="0"/>
    <n v="0"/>
    <n v="0"/>
    <m/>
    <m/>
    <m/>
    <n v="0"/>
    <m/>
    <n v="0"/>
    <n v="0"/>
    <n v="0"/>
    <n v="2"/>
    <m/>
    <m/>
    <m/>
    <n v="2"/>
    <m/>
    <n v="0"/>
    <n v="0"/>
    <n v="0"/>
    <n v="2"/>
    <n v="0"/>
    <n v="0"/>
    <n v="0"/>
    <n v="2"/>
    <m/>
    <n v="0"/>
    <n v="0"/>
    <n v="2"/>
    <n v="0"/>
    <n v="0"/>
    <n v="0"/>
    <n v="0"/>
    <s v="Y"/>
    <n v="0"/>
    <n v="0"/>
    <n v="0"/>
    <n v="0"/>
    <n v="0"/>
    <s v="Mortlake and Barnes Common"/>
    <m/>
    <m/>
    <m/>
    <m/>
    <x v="0"/>
  </r>
  <r>
    <s v="17/4238/FUL"/>
    <s v="NEW"/>
    <m/>
    <s v="105 Queens Road_x000a_Teddington_x000a_TW11 0LZ"/>
    <s v="Demolition of the existing bungalow and construction of a new 6 bedroom detached house, to include external hard and soft landscaping to the front and rear, to be used as a children's home."/>
    <d v="2019-02-13T00:00:00"/>
    <m/>
    <x v="1"/>
    <s v="Other?"/>
    <n v="515649"/>
    <n v="170638"/>
    <m/>
    <n v="0"/>
    <n v="0"/>
    <n v="1"/>
    <n v="0"/>
    <m/>
    <m/>
    <m/>
    <n v="1"/>
    <m/>
    <n v="0"/>
    <n v="0"/>
    <n v="0"/>
    <n v="0"/>
    <m/>
    <n v="1"/>
    <m/>
    <n v="1"/>
    <m/>
    <n v="0"/>
    <n v="0"/>
    <n v="-1"/>
    <n v="0"/>
    <n v="0"/>
    <n v="1"/>
    <n v="0"/>
    <n v="0"/>
    <m/>
    <n v="0"/>
    <n v="0"/>
    <n v="0"/>
    <n v="0"/>
    <n v="0"/>
    <n v="0"/>
    <n v="0"/>
    <n v="0"/>
    <n v="0"/>
    <n v="0"/>
    <n v="0"/>
    <n v="0"/>
    <n v="0"/>
    <s v="Teddington"/>
    <m/>
    <m/>
    <m/>
    <m/>
    <x v="0"/>
  </r>
  <r>
    <s v="17/4268/FUL"/>
    <s v="NEW"/>
    <m/>
    <s v="41 Lonsdale Road Barnes"/>
    <s v="Demolition of existing garages and construction of a new part subterranean split level part two storey dwelling house, new landscaping to surrounding amenity space."/>
    <d v="2019-03-01T00:00:00"/>
    <m/>
    <x v="1"/>
    <s v="Open Market"/>
    <n v="522397"/>
    <n v="177790"/>
    <m/>
    <n v="0"/>
    <n v="0"/>
    <n v="0"/>
    <n v="0"/>
    <m/>
    <m/>
    <m/>
    <n v="0"/>
    <m/>
    <n v="0"/>
    <n v="0"/>
    <n v="1"/>
    <n v="0"/>
    <m/>
    <m/>
    <m/>
    <n v="1"/>
    <m/>
    <n v="0"/>
    <n v="0"/>
    <n v="1"/>
    <n v="0"/>
    <n v="0"/>
    <n v="0"/>
    <n v="0"/>
    <n v="1"/>
    <m/>
    <n v="0"/>
    <n v="1"/>
    <n v="0"/>
    <n v="0"/>
    <n v="0"/>
    <n v="0"/>
    <n v="0"/>
    <n v="0"/>
    <n v="0"/>
    <n v="0"/>
    <n v="0"/>
    <n v="0"/>
    <n v="0"/>
    <s v="Barnes"/>
    <m/>
    <m/>
    <m/>
    <m/>
    <x v="0"/>
  </r>
  <r>
    <s v="17/4517/VRC"/>
    <s v="NEW"/>
    <m/>
    <s v="66 Derby Road East Sheen SW14 7DP"/>
    <s v="Variation of condition U30401 (Approved drawings) of planning permission 17/2624/FUL (Demolition of the existing four bedroom house and erection of two semi-detached, four bedroom townhouses incorporating basements) to allow for internal alterations to l"/>
    <d v="2019-03-01T00:00:00"/>
    <m/>
    <x v="1"/>
    <s v="Open Market"/>
    <n v="519786"/>
    <n v="175060"/>
    <m/>
    <n v="0"/>
    <n v="0"/>
    <n v="0"/>
    <n v="1"/>
    <m/>
    <m/>
    <m/>
    <n v="1"/>
    <m/>
    <n v="0"/>
    <n v="0"/>
    <n v="0"/>
    <n v="0"/>
    <n v="2"/>
    <m/>
    <m/>
    <n v="2"/>
    <m/>
    <n v="0"/>
    <n v="0"/>
    <n v="0"/>
    <n v="-1"/>
    <n v="2"/>
    <n v="0"/>
    <n v="0"/>
    <n v="1"/>
    <m/>
    <n v="0"/>
    <n v="1"/>
    <n v="0"/>
    <n v="0"/>
    <n v="0"/>
    <n v="0"/>
    <n v="0"/>
    <n v="0"/>
    <n v="0"/>
    <n v="0"/>
    <n v="0"/>
    <n v="0"/>
    <n v="0"/>
    <s v="East Sheen"/>
    <m/>
    <m/>
    <m/>
    <m/>
    <x v="0"/>
  </r>
  <r>
    <s v="17/4606/FUL"/>
    <s v="NEW"/>
    <m/>
    <s v="1 Upper Ham Road Ham TW10 5LD"/>
    <s v="Construction of 2No. 3 bed dwellinghouses (including basement accommodation) with rear plot boundary alteration."/>
    <d v="2018-03-01T00:00:00"/>
    <m/>
    <x v="1"/>
    <s v="Open Market"/>
    <n v="517784"/>
    <n v="171703"/>
    <m/>
    <n v="0"/>
    <n v="0"/>
    <n v="1"/>
    <n v="0"/>
    <m/>
    <m/>
    <m/>
    <n v="1"/>
    <m/>
    <n v="0"/>
    <n v="0"/>
    <n v="2"/>
    <n v="0"/>
    <m/>
    <m/>
    <m/>
    <n v="2"/>
    <m/>
    <n v="0"/>
    <n v="0"/>
    <n v="1"/>
    <n v="0"/>
    <n v="0"/>
    <n v="0"/>
    <n v="0"/>
    <n v="1"/>
    <m/>
    <n v="0"/>
    <n v="1"/>
    <n v="0"/>
    <n v="0"/>
    <n v="0"/>
    <n v="0"/>
    <n v="0"/>
    <n v="0"/>
    <n v="0"/>
    <n v="0"/>
    <n v="0"/>
    <n v="0"/>
    <n v="0"/>
    <s v="Ham, Petersham and Richmond Riverside"/>
    <m/>
    <m/>
    <m/>
    <m/>
    <x v="0"/>
  </r>
  <r>
    <s v="18/0282/FUL"/>
    <s v="NEW"/>
    <m/>
    <s v="Upton House 19 - 20 Queens Ride Barnes SW13 0HX"/>
    <s v="Demolition of the existing 2 storey residential building and single storey garages and erection of a pair of semi-detached, 3 storey (plus basement) 4 bedroom dwellings with associated private gardens and off street parking.  Creation of a new crossover"/>
    <d v="2019-03-01T00:00:00"/>
    <m/>
    <x v="1"/>
    <s v="Open Market"/>
    <n v="522357"/>
    <n v="175528"/>
    <m/>
    <n v="0"/>
    <n v="0"/>
    <n v="2"/>
    <n v="0"/>
    <m/>
    <m/>
    <m/>
    <n v="2"/>
    <m/>
    <n v="0"/>
    <n v="0"/>
    <n v="0"/>
    <n v="2"/>
    <m/>
    <m/>
    <m/>
    <n v="2"/>
    <m/>
    <n v="0"/>
    <n v="0"/>
    <n v="-2"/>
    <n v="2"/>
    <n v="0"/>
    <n v="0"/>
    <n v="0"/>
    <n v="0"/>
    <m/>
    <n v="0"/>
    <n v="0"/>
    <n v="0"/>
    <n v="0"/>
    <n v="0"/>
    <n v="0"/>
    <n v="0"/>
    <n v="0"/>
    <n v="0"/>
    <n v="0"/>
    <n v="0"/>
    <n v="0"/>
    <n v="0"/>
    <s v="Mortlake and Barnes Common"/>
    <m/>
    <m/>
    <m/>
    <m/>
    <x v="0"/>
  </r>
  <r>
    <s v="18/0318/FUL"/>
    <s v="CON"/>
    <m/>
    <s v="Maisonette 35 Staines Road Twickenham TW2 5BG"/>
    <s v="Change of use of existing basement area to residential (C3); part single; part two-storey rear extension (following demolition of existing rear extensions/outrigger); hip to gable and rear dormer roof extension; two rooflights to the front roofslope; dec"/>
    <m/>
    <m/>
    <x v="1"/>
    <s v="Open Market"/>
    <n v="514998"/>
    <n v="172958"/>
    <m/>
    <n v="0"/>
    <n v="1"/>
    <n v="0"/>
    <n v="0"/>
    <m/>
    <m/>
    <m/>
    <n v="1"/>
    <m/>
    <n v="0"/>
    <n v="1"/>
    <n v="0"/>
    <n v="0"/>
    <m/>
    <m/>
    <m/>
    <n v="1"/>
    <m/>
    <n v="0"/>
    <n v="0"/>
    <n v="0"/>
    <n v="0"/>
    <n v="0"/>
    <n v="0"/>
    <n v="0"/>
    <n v="0"/>
    <m/>
    <n v="0"/>
    <n v="0"/>
    <n v="0"/>
    <n v="0"/>
    <n v="0"/>
    <n v="0"/>
    <n v="0"/>
    <n v="0"/>
    <n v="0"/>
    <n v="0"/>
    <n v="0"/>
    <n v="0"/>
    <n v="0"/>
    <s v="West Twickenham"/>
    <m/>
    <m/>
    <m/>
    <m/>
    <x v="0"/>
  </r>
  <r>
    <s v="18/0449/FUL"/>
    <s v="CON"/>
    <m/>
    <s v="1 North Cottage Hampton Court Road Hampton KT8 9BZ"/>
    <s v="Replacement window on first floor front elevation to facilitate the conversion of existing 2 bed maisonette into 2 x 1bedroom flats."/>
    <d v="2018-11-01T00:00:00"/>
    <m/>
    <x v="1"/>
    <s v="Open Market"/>
    <n v="515991"/>
    <n v="168830"/>
    <m/>
    <n v="0"/>
    <n v="1"/>
    <n v="0"/>
    <n v="0"/>
    <m/>
    <m/>
    <m/>
    <n v="1"/>
    <m/>
    <n v="2"/>
    <n v="0"/>
    <n v="0"/>
    <n v="0"/>
    <m/>
    <m/>
    <m/>
    <n v="2"/>
    <m/>
    <n v="2"/>
    <n v="-1"/>
    <n v="0"/>
    <n v="0"/>
    <n v="0"/>
    <n v="0"/>
    <n v="0"/>
    <n v="1"/>
    <m/>
    <n v="0"/>
    <n v="1"/>
    <n v="0"/>
    <n v="0"/>
    <n v="0"/>
    <n v="0"/>
    <n v="0"/>
    <n v="0"/>
    <n v="0"/>
    <n v="0"/>
    <n v="0"/>
    <n v="0"/>
    <n v="0"/>
    <s v="Hampton"/>
    <m/>
    <m/>
    <m/>
    <m/>
    <x v="0"/>
  </r>
  <r>
    <s v="18/0665/FUL"/>
    <s v="NEW"/>
    <m/>
    <s v="243 Stanley Road Twickenham TW2 5NL"/>
    <s v="Demolition of an existing detached bungalow, garage and outbuildings and the erection of 2No. semi-detached 3 bedroom houses with associated parking, cycle and refuse store and hard and soft landscaping. The removal of recessed entrance gates and erectio"/>
    <d v="2018-04-09T00:00:00"/>
    <m/>
    <x v="1"/>
    <s v="Open Market"/>
    <n v="514859"/>
    <n v="172254"/>
    <m/>
    <n v="0"/>
    <n v="0"/>
    <n v="1"/>
    <n v="0"/>
    <m/>
    <m/>
    <m/>
    <n v="1"/>
    <m/>
    <n v="0"/>
    <n v="0"/>
    <n v="2"/>
    <n v="0"/>
    <m/>
    <m/>
    <m/>
    <n v="2"/>
    <m/>
    <n v="0"/>
    <n v="0"/>
    <n v="1"/>
    <n v="0"/>
    <n v="0"/>
    <n v="0"/>
    <n v="0"/>
    <n v="1"/>
    <m/>
    <n v="0"/>
    <n v="1"/>
    <n v="0"/>
    <n v="0"/>
    <n v="0"/>
    <n v="0"/>
    <n v="0"/>
    <n v="0"/>
    <n v="0"/>
    <n v="0"/>
    <n v="0"/>
    <n v="0"/>
    <n v="0"/>
    <s v="South Twickenham"/>
    <m/>
    <m/>
    <m/>
    <m/>
    <x v="0"/>
  </r>
  <r>
    <s v="18/0737/FUL"/>
    <s v="CHU"/>
    <m/>
    <s v="70 White Hart Lane_x000a_Barnes_x000a_London_x000a_SW13 0PZ"/>
    <s v="Change of use of rear part of ground floor from retail use (Class A1) to residential use (Class C3) to create a 1No. one-bedroom dwelling with basement accommodation excavated."/>
    <m/>
    <m/>
    <x v="1"/>
    <s v="Open Market"/>
    <n v="521322"/>
    <n v="175815"/>
    <m/>
    <n v="0"/>
    <n v="0"/>
    <n v="0"/>
    <n v="0"/>
    <m/>
    <m/>
    <m/>
    <n v="0"/>
    <n v="1"/>
    <n v="0"/>
    <n v="0"/>
    <n v="0"/>
    <n v="0"/>
    <m/>
    <m/>
    <m/>
    <n v="1"/>
    <m/>
    <n v="0"/>
    <n v="0"/>
    <n v="0"/>
    <n v="0"/>
    <n v="0"/>
    <n v="0"/>
    <n v="0"/>
    <n v="1"/>
    <m/>
    <n v="0"/>
    <n v="1"/>
    <n v="0"/>
    <n v="0"/>
    <n v="0"/>
    <n v="0"/>
    <n v="0"/>
    <n v="0"/>
    <n v="0"/>
    <n v="0"/>
    <n v="0"/>
    <n v="0"/>
    <n v="0"/>
    <s v="Mortlake and Barnes Common"/>
    <m/>
    <s v="White Hart lane"/>
    <m/>
    <m/>
    <x v="0"/>
  </r>
  <r>
    <s v="18/0743/FUL"/>
    <s v="NEW"/>
    <m/>
    <s v="4 Sixth Cross Road Twickenham TW2 5PB"/>
    <s v="Demolition of the existing garage and concrete slabs and erection of 1 no. single storey two bedroom dwelling with green roof to the rear of 4 Sixth Cross Road. Demolition of existing garage to the rear of number 8 Sixth Cross Road to facilitate provisio"/>
    <m/>
    <d v="2019-05-28T00:00:00"/>
    <x v="1"/>
    <s v="Open Market"/>
    <n v="514675"/>
    <n v="172117"/>
    <m/>
    <n v="0"/>
    <n v="0"/>
    <n v="0"/>
    <n v="0"/>
    <m/>
    <m/>
    <m/>
    <n v="0"/>
    <m/>
    <n v="0"/>
    <n v="1"/>
    <n v="0"/>
    <n v="0"/>
    <m/>
    <m/>
    <m/>
    <n v="1"/>
    <m/>
    <n v="0"/>
    <n v="1"/>
    <n v="0"/>
    <n v="0"/>
    <n v="0"/>
    <n v="0"/>
    <n v="0"/>
    <n v="1"/>
    <m/>
    <n v="0"/>
    <n v="1"/>
    <n v="0"/>
    <n v="0"/>
    <n v="0"/>
    <n v="0"/>
    <n v="0"/>
    <n v="0"/>
    <n v="0"/>
    <n v="0"/>
    <n v="0"/>
    <n v="0"/>
    <n v="0"/>
    <s v="West Twickenham"/>
    <m/>
    <m/>
    <m/>
    <m/>
    <x v="1"/>
  </r>
  <r>
    <s v="18/0745/FUL"/>
    <s v="CON"/>
    <m/>
    <s v="149 High Street Teddington TW11 8HH"/>
    <s v="Part two-storey rear extension including Juliet balcony at ground floor level rear elevation; part lower ground floor side and rear extension to allow for the conversion of the existing dwellinghouse into 2x2 bed (1X 2B4P and 1x 2B3P flats); retention of"/>
    <d v="2018-10-01T00:00:00"/>
    <m/>
    <x v="1"/>
    <s v="Open Market"/>
    <n v="516418"/>
    <n v="171190"/>
    <m/>
    <n v="0"/>
    <n v="0"/>
    <n v="0"/>
    <n v="0"/>
    <n v="1"/>
    <m/>
    <m/>
    <n v="1"/>
    <m/>
    <n v="0"/>
    <n v="2"/>
    <n v="0"/>
    <n v="0"/>
    <m/>
    <m/>
    <m/>
    <n v="2"/>
    <m/>
    <n v="0"/>
    <n v="2"/>
    <n v="0"/>
    <n v="0"/>
    <n v="-1"/>
    <n v="0"/>
    <n v="0"/>
    <n v="1"/>
    <m/>
    <n v="0"/>
    <n v="1"/>
    <n v="0"/>
    <n v="0"/>
    <n v="0"/>
    <n v="0"/>
    <n v="0"/>
    <n v="0"/>
    <n v="0"/>
    <n v="0"/>
    <n v="0"/>
    <n v="0"/>
    <n v="0"/>
    <s v="Teddington"/>
    <m/>
    <m/>
    <m/>
    <m/>
    <x v="0"/>
  </r>
  <r>
    <s v="18/0771/FUL"/>
    <s v="NEW"/>
    <m/>
    <s v="Land Adjacent To 94 Pigeon Lane Hampton TW12 1AF"/>
    <s v="Erection of a 1B2P bungalow with associated hard and soft landscaping and cycle and refuse store.  Creation of dropped kerb to faclitate provision of 1 no. parking space."/>
    <d v="2018-12-01T00:00:00"/>
    <m/>
    <x v="1"/>
    <s v="Open Market"/>
    <n v="513452"/>
    <n v="171614"/>
    <m/>
    <n v="0"/>
    <n v="0"/>
    <n v="0"/>
    <n v="0"/>
    <m/>
    <m/>
    <m/>
    <n v="0"/>
    <m/>
    <n v="1"/>
    <n v="0"/>
    <n v="0"/>
    <n v="0"/>
    <m/>
    <m/>
    <m/>
    <n v="1"/>
    <m/>
    <n v="1"/>
    <n v="0"/>
    <n v="0"/>
    <n v="0"/>
    <n v="0"/>
    <n v="0"/>
    <n v="0"/>
    <n v="1"/>
    <m/>
    <n v="0"/>
    <n v="0"/>
    <n v="1"/>
    <n v="0"/>
    <n v="0"/>
    <n v="0"/>
    <n v="0"/>
    <s v="Y"/>
    <n v="0"/>
    <n v="0"/>
    <n v="0"/>
    <n v="0"/>
    <n v="0"/>
    <s v="Hampton North"/>
    <m/>
    <m/>
    <m/>
    <m/>
    <x v="1"/>
  </r>
  <r>
    <s v="18/0860/GPD15"/>
    <s v="CHU"/>
    <s v="PA"/>
    <s v="2 Elmfield Avenue_x000a_Teddington_x000a_TW11 8BS"/>
    <s v="Change of use from B1(c) to C3 to provide seven new self-contained studio residential dwellings."/>
    <m/>
    <d v="2019-06-14T00:00:00"/>
    <x v="1"/>
    <s v="Open Market"/>
    <n v="516011"/>
    <n v="171165"/>
    <m/>
    <n v="0"/>
    <n v="0"/>
    <n v="0"/>
    <n v="0"/>
    <m/>
    <m/>
    <m/>
    <n v="0"/>
    <n v="7"/>
    <n v="0"/>
    <n v="0"/>
    <n v="0"/>
    <n v="0"/>
    <m/>
    <m/>
    <m/>
    <n v="7"/>
    <n v="7"/>
    <n v="0"/>
    <n v="0"/>
    <n v="0"/>
    <n v="0"/>
    <n v="0"/>
    <n v="0"/>
    <n v="0"/>
    <n v="7"/>
    <m/>
    <n v="0"/>
    <n v="7"/>
    <n v="0"/>
    <n v="0"/>
    <n v="0"/>
    <n v="0"/>
    <n v="0"/>
    <n v="0"/>
    <n v="0"/>
    <n v="0"/>
    <n v="0"/>
    <n v="0"/>
    <n v="0"/>
    <s v="Teddington"/>
    <m/>
    <m/>
    <s v="Teddington"/>
    <m/>
    <x v="0"/>
  </r>
  <r>
    <s v="18/0896/FUL"/>
    <s v="CHU"/>
    <m/>
    <s v="1 - 2 Archer Mews Hampton Hill"/>
    <s v="Construction of additional storey, two storey front extension, replacement windows and doors on all elevations and alterations to external materials on elevations to facilitate the change of use of building and 6 no. parking spaces from offices (Class B1"/>
    <d v="2019-02-01T00:00:00"/>
    <m/>
    <x v="1"/>
    <s v="Open Market"/>
    <n v="514280"/>
    <n v="170996"/>
    <m/>
    <n v="0"/>
    <n v="0"/>
    <n v="0"/>
    <n v="0"/>
    <m/>
    <m/>
    <m/>
    <n v="0"/>
    <m/>
    <n v="4"/>
    <n v="2"/>
    <n v="0"/>
    <n v="0"/>
    <m/>
    <m/>
    <m/>
    <n v="6"/>
    <m/>
    <n v="4"/>
    <n v="2"/>
    <n v="0"/>
    <n v="0"/>
    <n v="0"/>
    <n v="0"/>
    <n v="0"/>
    <n v="6"/>
    <m/>
    <n v="0"/>
    <n v="3"/>
    <n v="3"/>
    <n v="0"/>
    <n v="0"/>
    <n v="0"/>
    <n v="0"/>
    <s v="Y"/>
    <n v="0"/>
    <n v="0"/>
    <n v="0"/>
    <n v="0"/>
    <n v="0"/>
    <s v="Fulwell and Hampton Hill"/>
    <m/>
    <s v="High Street"/>
    <m/>
    <m/>
    <x v="0"/>
  </r>
  <r>
    <s v="18/0929/FUL"/>
    <s v="MIX"/>
    <m/>
    <s v="195 High Street Hampton Hill TW12 1NL"/>
    <s v="Replacement shopfront and new entrance door.  New doors/windows to the side and rear elevation of the existing rear extension.   Change of use of the front part of ground floor level from restaurant (Class A3) to retail (Class A1).  First floor rear exte"/>
    <d v="2018-10-01T00:00:00"/>
    <m/>
    <x v="1"/>
    <s v="Open Market"/>
    <n v="514485"/>
    <n v="171271"/>
    <m/>
    <n v="3"/>
    <n v="0"/>
    <n v="0"/>
    <n v="0"/>
    <m/>
    <m/>
    <m/>
    <n v="3"/>
    <m/>
    <n v="0"/>
    <n v="3"/>
    <n v="0"/>
    <n v="0"/>
    <m/>
    <m/>
    <m/>
    <n v="3"/>
    <m/>
    <n v="-3"/>
    <n v="3"/>
    <n v="0"/>
    <n v="0"/>
    <n v="0"/>
    <n v="0"/>
    <n v="0"/>
    <n v="0"/>
    <m/>
    <n v="0"/>
    <n v="0"/>
    <n v="0"/>
    <n v="0"/>
    <n v="0"/>
    <n v="0"/>
    <n v="0"/>
    <n v="0"/>
    <n v="0"/>
    <n v="0"/>
    <n v="0"/>
    <n v="0"/>
    <n v="0"/>
    <s v="Fulwell and Hampton Hill"/>
    <m/>
    <s v="High Street"/>
    <m/>
    <m/>
    <x v="0"/>
  </r>
  <r>
    <s v="18/1175/FUL"/>
    <s v="EXT"/>
    <m/>
    <s v="17 - 20 Tersha Street_x000a_Richmond"/>
    <s v="Construction of 3 front roof dormer windows to facilitate the creation of a new two-bedroom flat in the roof space, including the alteration to the layout of flat 19 (resulting in a decrease in size) to provide access."/>
    <m/>
    <d v="2019-07-01T00:00:00"/>
    <x v="1"/>
    <s v="Open Market"/>
    <n v="518588"/>
    <n v="175372"/>
    <m/>
    <n v="0"/>
    <n v="0"/>
    <n v="0"/>
    <n v="0"/>
    <m/>
    <m/>
    <m/>
    <n v="0"/>
    <m/>
    <n v="0"/>
    <n v="1"/>
    <n v="0"/>
    <n v="0"/>
    <m/>
    <m/>
    <m/>
    <n v="1"/>
    <m/>
    <n v="0"/>
    <n v="1"/>
    <n v="0"/>
    <n v="0"/>
    <n v="0"/>
    <n v="0"/>
    <n v="0"/>
    <n v="1"/>
    <m/>
    <n v="0"/>
    <n v="1"/>
    <n v="0"/>
    <n v="0"/>
    <n v="0"/>
    <n v="0"/>
    <n v="0"/>
    <n v="0"/>
    <n v="0"/>
    <n v="0"/>
    <n v="0"/>
    <n v="0"/>
    <n v="0"/>
    <s v="North Richmond"/>
    <m/>
    <m/>
    <m/>
    <m/>
    <x v="0"/>
  </r>
  <r>
    <s v="18/1446/FUL"/>
    <s v="NEW"/>
    <m/>
    <s v="32 Albion Road Twickenham TW2 6QJ"/>
    <s v="Demolition of existing single family dwelling and erection of a replacement two-storey dwelling house, with accommodation in the mansard roof."/>
    <d v="2019-02-01T00:00:00"/>
    <m/>
    <x v="1"/>
    <s v="Open Market"/>
    <n v="515299"/>
    <n v="173105"/>
    <m/>
    <n v="0"/>
    <n v="0"/>
    <n v="0"/>
    <n v="1"/>
    <m/>
    <m/>
    <m/>
    <n v="1"/>
    <m/>
    <n v="0"/>
    <n v="0"/>
    <n v="0"/>
    <n v="1"/>
    <m/>
    <m/>
    <m/>
    <n v="1"/>
    <m/>
    <n v="0"/>
    <n v="0"/>
    <n v="0"/>
    <n v="0"/>
    <n v="0"/>
    <n v="0"/>
    <n v="0"/>
    <n v="0"/>
    <m/>
    <n v="0"/>
    <n v="0"/>
    <n v="0"/>
    <n v="0"/>
    <n v="0"/>
    <n v="0"/>
    <n v="0"/>
    <n v="0"/>
    <n v="0"/>
    <n v="0"/>
    <n v="0"/>
    <n v="0"/>
    <n v="0"/>
    <s v="South Twickenham"/>
    <m/>
    <m/>
    <m/>
    <m/>
    <x v="0"/>
  </r>
  <r>
    <s v="18/1566/FUL"/>
    <s v="CON"/>
    <m/>
    <s v="16 Whitton Road Twickenham TW1 1BJ"/>
    <s v="Second floor rear roof extension, replacement windows on first floor rear and side elevations, 2 no. rooflights on front roof slope to facilitate the conversion of existing 3 bed dwelling house to form 2x 2 bed flats and 1x 1 bed flat and associated cycl"/>
    <d v="2019-01-31T00:00:00"/>
    <m/>
    <x v="1"/>
    <s v="Open Market"/>
    <n v="515965"/>
    <n v="173782"/>
    <m/>
    <n v="0"/>
    <n v="0"/>
    <n v="1"/>
    <n v="0"/>
    <m/>
    <m/>
    <m/>
    <n v="1"/>
    <m/>
    <n v="1"/>
    <n v="2"/>
    <n v="0"/>
    <n v="0"/>
    <m/>
    <m/>
    <m/>
    <n v="3"/>
    <m/>
    <n v="1"/>
    <n v="2"/>
    <n v="-1"/>
    <n v="0"/>
    <n v="0"/>
    <n v="0"/>
    <n v="0"/>
    <n v="2"/>
    <m/>
    <n v="0"/>
    <n v="2"/>
    <n v="0"/>
    <n v="0"/>
    <n v="0"/>
    <n v="0"/>
    <n v="0"/>
    <n v="0"/>
    <n v="0"/>
    <n v="0"/>
    <n v="0"/>
    <n v="0"/>
    <n v="0"/>
    <s v="St. Margarets and North Twickenham"/>
    <m/>
    <m/>
    <m/>
    <m/>
    <x v="0"/>
  </r>
  <r>
    <s v="18/1569/FUL"/>
    <s v="CON"/>
    <m/>
    <s v="14 Norman Avenue Twickenham TW1 2LY"/>
    <s v="Reversion of to two self-contained flats into single family dwelling house."/>
    <d v="2019-03-31T00:00:00"/>
    <m/>
    <x v="1"/>
    <s v="Open Market"/>
    <n v="516997"/>
    <n v="173966"/>
    <m/>
    <n v="0"/>
    <n v="2"/>
    <n v="0"/>
    <n v="0"/>
    <m/>
    <m/>
    <m/>
    <n v="2"/>
    <m/>
    <n v="0"/>
    <n v="0"/>
    <n v="0"/>
    <n v="1"/>
    <m/>
    <m/>
    <m/>
    <n v="1"/>
    <m/>
    <n v="0"/>
    <n v="-2"/>
    <n v="0"/>
    <n v="1"/>
    <n v="0"/>
    <n v="0"/>
    <n v="0"/>
    <n v="-1"/>
    <m/>
    <n v="0"/>
    <n v="-1"/>
    <n v="0"/>
    <n v="0"/>
    <n v="0"/>
    <n v="0"/>
    <n v="0"/>
    <n v="0"/>
    <n v="0"/>
    <n v="0"/>
    <n v="0"/>
    <n v="0"/>
    <n v="0"/>
    <s v="Twickenham Riverside"/>
    <m/>
    <m/>
    <m/>
    <m/>
    <x v="0"/>
  </r>
  <r>
    <s v="18/1722/GPD13"/>
    <s v="CHU"/>
    <s v="PA"/>
    <s v="Ground Floor_x000a_204 Stanley Road_x000a_Teddington_x000a_TW11 8UE"/>
    <s v="Change of use from A1(Retail) to C3 (Residential) to create a two bedroom flat."/>
    <d v="2018-07-12T00:00:00"/>
    <m/>
    <x v="1"/>
    <s v="Open Market"/>
    <n v="515113"/>
    <n v="171634"/>
    <m/>
    <n v="0"/>
    <n v="0"/>
    <n v="0"/>
    <n v="0"/>
    <m/>
    <m/>
    <m/>
    <n v="0"/>
    <m/>
    <n v="0"/>
    <n v="1"/>
    <n v="0"/>
    <n v="0"/>
    <m/>
    <m/>
    <m/>
    <n v="1"/>
    <m/>
    <n v="0"/>
    <n v="1"/>
    <n v="0"/>
    <n v="0"/>
    <n v="0"/>
    <n v="0"/>
    <n v="0"/>
    <n v="1"/>
    <m/>
    <n v="0"/>
    <n v="1"/>
    <n v="0"/>
    <n v="0"/>
    <n v="0"/>
    <n v="0"/>
    <n v="0"/>
    <n v="0"/>
    <n v="0"/>
    <n v="0"/>
    <n v="0"/>
    <n v="0"/>
    <n v="0"/>
    <s v="Fulwell and Hampton Hill"/>
    <m/>
    <s v="Stanley Road"/>
    <m/>
    <m/>
    <x v="0"/>
  </r>
  <r>
    <s v="18/1767/FUL"/>
    <s v="CHU"/>
    <m/>
    <s v="73 High Street Hampton Hill TW12 1NH"/>
    <s v="Alterations to the existing shopfront and reduction to ground floor floorspace to facilitate the re-provision of a Class A2 use at ground floor level.  _x000d_Change of use of existing A2 to C3 (Residential) Use at part ground level and first floor level.  Rep"/>
    <d v="2019-03-01T00:00:00"/>
    <m/>
    <x v="1"/>
    <s v="Open Market"/>
    <n v="514273"/>
    <n v="170844"/>
    <m/>
    <n v="0"/>
    <n v="0"/>
    <n v="0"/>
    <n v="0"/>
    <m/>
    <m/>
    <m/>
    <n v="0"/>
    <m/>
    <n v="0"/>
    <n v="2"/>
    <n v="0"/>
    <n v="0"/>
    <m/>
    <m/>
    <m/>
    <n v="2"/>
    <m/>
    <n v="0"/>
    <n v="2"/>
    <n v="0"/>
    <n v="0"/>
    <n v="0"/>
    <n v="0"/>
    <n v="0"/>
    <n v="2"/>
    <m/>
    <n v="0"/>
    <n v="0"/>
    <n v="2"/>
    <n v="0"/>
    <n v="0"/>
    <n v="0"/>
    <n v="0"/>
    <s v="Y"/>
    <n v="0"/>
    <n v="0"/>
    <n v="0"/>
    <n v="0"/>
    <n v="0"/>
    <s v="Fulwell and Hampton Hill"/>
    <m/>
    <s v="High Street"/>
    <m/>
    <m/>
    <x v="0"/>
  </r>
  <r>
    <s v="18/2114/FUL"/>
    <s v="CHU"/>
    <m/>
    <s v="7 Barnes High Street_x000a_Barnes_x000a_London_x000a_SW13 9LW"/>
    <s v="Two-storey rear extension, rear roof extension and conversion of the rear part of the ground floor shop; in connection with the use of the property as a ground floor retail unit, 1x two-bedroom flat and 2 x one-bedroom flats."/>
    <d v="2019-02-01T00:00:00"/>
    <m/>
    <x v="1"/>
    <s v="Open Market"/>
    <n v="521729"/>
    <n v="176389"/>
    <m/>
    <n v="2"/>
    <n v="0"/>
    <n v="0"/>
    <n v="0"/>
    <m/>
    <m/>
    <m/>
    <n v="2"/>
    <m/>
    <n v="2"/>
    <n v="1"/>
    <n v="0"/>
    <n v="0"/>
    <m/>
    <m/>
    <m/>
    <n v="3"/>
    <m/>
    <n v="0"/>
    <n v="1"/>
    <n v="0"/>
    <n v="0"/>
    <n v="0"/>
    <n v="0"/>
    <n v="0"/>
    <n v="1"/>
    <m/>
    <n v="0"/>
    <n v="1"/>
    <n v="0"/>
    <n v="0"/>
    <n v="0"/>
    <n v="0"/>
    <n v="0"/>
    <n v="0"/>
    <n v="0"/>
    <n v="0"/>
    <n v="0"/>
    <n v="0"/>
    <n v="0"/>
    <s v="Mortlake and Barnes Common"/>
    <m/>
    <s v="High Street"/>
    <m/>
    <m/>
    <x v="0"/>
  </r>
  <r>
    <s v="18/2620/FUL"/>
    <s v="CHU"/>
    <m/>
    <s v="Ground Floor _x000a_204 Stanley Road_x000a_Teddington_x000a_TW11 8UE"/>
    <s v="Alteration of the former shop frontage, new window on side elevation and erection of single storey side/rear extension to facilitate the change of use of existing ground floor A1(retail) unit to provide 1 x 2 bed flat and 1x one-person studio flat with a"/>
    <d v="2018-04-01T00:00:00"/>
    <m/>
    <x v="1"/>
    <s v="Open Market"/>
    <n v="515113"/>
    <n v="171634"/>
    <m/>
    <n v="0"/>
    <n v="0"/>
    <n v="0"/>
    <n v="0"/>
    <m/>
    <m/>
    <m/>
    <n v="0"/>
    <n v="1"/>
    <n v="0"/>
    <n v="0"/>
    <n v="0"/>
    <n v="0"/>
    <m/>
    <m/>
    <m/>
    <n v="1"/>
    <n v="1"/>
    <n v="0"/>
    <n v="0"/>
    <n v="0"/>
    <n v="0"/>
    <n v="0"/>
    <n v="0"/>
    <n v="0"/>
    <n v="1"/>
    <m/>
    <n v="0"/>
    <n v="1"/>
    <n v="0"/>
    <n v="0"/>
    <n v="0"/>
    <n v="0"/>
    <n v="0"/>
    <n v="0"/>
    <n v="0"/>
    <n v="0"/>
    <n v="0"/>
    <n v="0"/>
    <n v="0"/>
    <s v="Fulwell and Hampton Hill"/>
    <m/>
    <s v="Stanley Road"/>
    <m/>
    <m/>
    <x v="0"/>
  </r>
  <r>
    <s v="18/2928/FUL"/>
    <s v="CHU"/>
    <m/>
    <s v="20 - 22 High Street Teddington TW11 8EW"/>
    <s v="Change of use of ancillary A3 accommodation on 1st and 2nd floors to create 1No. 3bed self-contained flat (C3 use) and installation of a rear door and railings at first floor level."/>
    <d v="2019-03-29T00:00:00"/>
    <m/>
    <x v="1"/>
    <s v="Open Market"/>
    <n v="516022"/>
    <n v="171099"/>
    <m/>
    <n v="0"/>
    <n v="0"/>
    <n v="0"/>
    <n v="0"/>
    <m/>
    <m/>
    <m/>
    <n v="0"/>
    <m/>
    <n v="0"/>
    <n v="0"/>
    <n v="1"/>
    <n v="0"/>
    <m/>
    <m/>
    <m/>
    <n v="1"/>
    <m/>
    <n v="0"/>
    <n v="0"/>
    <n v="1"/>
    <n v="0"/>
    <n v="0"/>
    <n v="0"/>
    <n v="0"/>
    <n v="1"/>
    <m/>
    <n v="0"/>
    <n v="1"/>
    <n v="0"/>
    <n v="0"/>
    <n v="0"/>
    <n v="0"/>
    <n v="0"/>
    <n v="0"/>
    <n v="0"/>
    <n v="0"/>
    <n v="0"/>
    <n v="0"/>
    <n v="0"/>
    <s v="Teddington"/>
    <m/>
    <m/>
    <s v="Teddington"/>
    <m/>
    <x v="0"/>
  </r>
  <r>
    <s v="18/3941/GPD15"/>
    <s v="CHU"/>
    <s v="PA"/>
    <s v="Sherwood House Forest Road Kew TW9 3BY"/>
    <s v="Change of use from office (B1) to three residential units (C3), with associated car parking provision."/>
    <d v="2019-03-01T00:00:00"/>
    <m/>
    <x v="1"/>
    <s v="Open Market"/>
    <n v="519311"/>
    <n v="177214"/>
    <m/>
    <n v="0"/>
    <n v="0"/>
    <n v="0"/>
    <n v="0"/>
    <m/>
    <m/>
    <m/>
    <n v="0"/>
    <m/>
    <n v="0"/>
    <n v="1"/>
    <n v="2"/>
    <n v="0"/>
    <m/>
    <m/>
    <m/>
    <n v="3"/>
    <m/>
    <n v="0"/>
    <n v="1"/>
    <n v="2"/>
    <n v="0"/>
    <n v="0"/>
    <n v="0"/>
    <n v="0"/>
    <n v="3"/>
    <m/>
    <n v="0"/>
    <n v="3"/>
    <n v="0"/>
    <n v="0"/>
    <n v="0"/>
    <n v="0"/>
    <n v="0"/>
    <n v="0"/>
    <n v="0"/>
    <n v="0"/>
    <n v="0"/>
    <n v="0"/>
    <n v="0"/>
    <s v="Kew"/>
    <m/>
    <m/>
    <m/>
    <m/>
    <x v="0"/>
  </r>
  <r>
    <s v="19/0347/GPD15"/>
    <s v="CHU"/>
    <s v="PA"/>
    <s v="Albion House Colne Road Twickenham TW2 6QL"/>
    <s v="Change of use from B1(a) Office use to C3 Residential use to provide 3 x 1 bed and 1 x 2 bed flats with associated internal refuse and cycle storage."/>
    <d v="2019-03-01T00:00:00"/>
    <m/>
    <x v="1"/>
    <s v="Open Market"/>
    <n v="515383"/>
    <n v="173139"/>
    <m/>
    <n v="0"/>
    <n v="0"/>
    <n v="0"/>
    <n v="0"/>
    <m/>
    <m/>
    <m/>
    <n v="0"/>
    <m/>
    <n v="3"/>
    <n v="1"/>
    <n v="0"/>
    <n v="0"/>
    <m/>
    <m/>
    <m/>
    <n v="4"/>
    <m/>
    <n v="3"/>
    <n v="1"/>
    <n v="0"/>
    <n v="0"/>
    <n v="0"/>
    <n v="0"/>
    <n v="0"/>
    <n v="4"/>
    <m/>
    <n v="0"/>
    <n v="2"/>
    <n v="2"/>
    <n v="0"/>
    <n v="0"/>
    <n v="0"/>
    <n v="0"/>
    <s v="Y"/>
    <n v="0"/>
    <n v="0"/>
    <n v="0"/>
    <n v="0"/>
    <n v="0"/>
    <s v="South Twickenham"/>
    <m/>
    <m/>
    <m/>
    <m/>
    <x v="0"/>
  </r>
  <r>
    <s v="13/2484/FUL"/>
    <s v="NEW"/>
    <m/>
    <s v="The Bungalow Annexe Willoughby Road Twickenham TW1 2QH"/>
    <s v="Demolish 'The Bungalow' and 'The Annexe' and erect one pair of semi detached five bed houses on three floors with garages, access, forecourt, bin stores, landscaping and ancillary works"/>
    <m/>
    <m/>
    <x v="2"/>
    <s v="Open Market"/>
    <n v="517502"/>
    <n v="174565"/>
    <m/>
    <n v="1"/>
    <n v="1"/>
    <n v="0"/>
    <n v="0"/>
    <m/>
    <m/>
    <m/>
    <n v="2"/>
    <m/>
    <n v="0"/>
    <n v="0"/>
    <n v="0"/>
    <n v="2"/>
    <m/>
    <m/>
    <m/>
    <n v="2"/>
    <m/>
    <n v="-1"/>
    <n v="-1"/>
    <n v="0"/>
    <n v="2"/>
    <n v="0"/>
    <n v="0"/>
    <n v="0"/>
    <n v="0"/>
    <m/>
    <n v="0"/>
    <n v="0"/>
    <n v="0"/>
    <n v="0"/>
    <n v="0"/>
    <n v="0"/>
    <n v="0"/>
    <n v="0"/>
    <n v="0"/>
    <n v="0"/>
    <n v="0"/>
    <n v="0"/>
    <n v="0"/>
    <s v="Twickenham Riverside"/>
    <m/>
    <m/>
    <m/>
    <s v="Thames Policy Area"/>
    <x v="0"/>
  </r>
  <r>
    <s v="14/0157/FUL"/>
    <s v="NEW"/>
    <m/>
    <s v="Lockcorp House 75 Norcutt Road Twickenham TW2 6SR"/>
    <s v="Demolition of the existing light industrial building and replacement with a detached three-storey building (with accommodation in roof) to provide 9 No.flats (all affordable housing) together with 6 off-street car parking spaces and associated amenity an"/>
    <m/>
    <m/>
    <x v="2"/>
    <s v="Open Market"/>
    <n v="515337"/>
    <n v="173383"/>
    <m/>
    <n v="0"/>
    <n v="0"/>
    <n v="0"/>
    <n v="0"/>
    <m/>
    <m/>
    <m/>
    <n v="0"/>
    <m/>
    <n v="5"/>
    <n v="3"/>
    <n v="1"/>
    <n v="0"/>
    <m/>
    <m/>
    <m/>
    <n v="9"/>
    <m/>
    <n v="5"/>
    <n v="3"/>
    <n v="1"/>
    <n v="0"/>
    <n v="0"/>
    <n v="0"/>
    <n v="0"/>
    <n v="9"/>
    <m/>
    <n v="0"/>
    <n v="0"/>
    <n v="0"/>
    <n v="0"/>
    <n v="0"/>
    <n v="0"/>
    <n v="0"/>
    <n v="0"/>
    <n v="0"/>
    <n v="0"/>
    <n v="0"/>
    <n v="0"/>
    <n v="0"/>
    <s v="South Twickenham"/>
    <m/>
    <m/>
    <m/>
    <m/>
    <x v="0"/>
  </r>
  <r>
    <s v="14/0676/FUL"/>
    <s v="NEW"/>
    <m/>
    <s v="36 Lonsdale Road Barnes SW13 9EB"/>
    <s v="Demolition of single storey garden building and erection of a two storey, 3 bedroom dwelling"/>
    <m/>
    <m/>
    <x v="2"/>
    <s v="Open Market"/>
    <n v="522672"/>
    <n v="177849"/>
    <m/>
    <n v="0"/>
    <n v="0"/>
    <n v="0"/>
    <n v="0"/>
    <m/>
    <m/>
    <m/>
    <n v="0"/>
    <m/>
    <n v="0"/>
    <n v="0"/>
    <n v="1"/>
    <n v="0"/>
    <m/>
    <m/>
    <m/>
    <n v="1"/>
    <m/>
    <n v="0"/>
    <n v="0"/>
    <n v="1"/>
    <n v="0"/>
    <n v="0"/>
    <n v="0"/>
    <n v="0"/>
    <n v="1"/>
    <m/>
    <n v="0"/>
    <n v="0"/>
    <n v="0.33333333333333331"/>
    <n v="0.33333333333333331"/>
    <n v="0.33333333333333331"/>
    <n v="0"/>
    <n v="0"/>
    <s v="Y"/>
    <n v="0"/>
    <n v="0"/>
    <n v="0"/>
    <n v="0"/>
    <n v="0"/>
    <s v="Barnes"/>
    <m/>
    <m/>
    <m/>
    <m/>
    <x v="0"/>
  </r>
  <r>
    <s v="14/4839/FUL"/>
    <s v="NEW"/>
    <m/>
    <s v="The Cottage Eel Pie Island Twickenham TW1 3DY"/>
    <s v="Demolition of existing house and construction of a new 3 bedroom house."/>
    <m/>
    <m/>
    <x v="2"/>
    <s v="Open Market"/>
    <n v="516355"/>
    <n v="173076"/>
    <m/>
    <n v="0"/>
    <n v="1"/>
    <n v="0"/>
    <n v="0"/>
    <m/>
    <m/>
    <m/>
    <n v="1"/>
    <m/>
    <n v="0"/>
    <n v="0"/>
    <n v="1"/>
    <n v="0"/>
    <m/>
    <m/>
    <m/>
    <n v="1"/>
    <m/>
    <n v="0"/>
    <n v="-1"/>
    <n v="1"/>
    <n v="0"/>
    <n v="0"/>
    <n v="0"/>
    <n v="0"/>
    <n v="0"/>
    <m/>
    <n v="0"/>
    <n v="0"/>
    <n v="0"/>
    <n v="0"/>
    <n v="0"/>
    <n v="0"/>
    <n v="0"/>
    <n v="0"/>
    <n v="0"/>
    <n v="0"/>
    <n v="0"/>
    <n v="0"/>
    <n v="0"/>
    <s v="Twickenham Riverside"/>
    <m/>
    <m/>
    <m/>
    <s v="Thames Policy Area"/>
    <x v="0"/>
  </r>
  <r>
    <s v="15/1151/FUL"/>
    <s v="NEW"/>
    <m/>
    <s v="Old TAVR Centre_x000a_Stanley Road_x000a_Twickenham"/>
    <s v="Demolition of existing TAVR buildings and erection of a new martial arts and fitness centre with associated parking and widening of vehicular entrance thereto to provide a multi-use community fitness facility alongside a publicly accessible open space in"/>
    <m/>
    <m/>
    <x v="2"/>
    <s v="Open Market"/>
    <n v="514934"/>
    <n v="172192"/>
    <m/>
    <n v="0"/>
    <n v="0"/>
    <n v="0"/>
    <n v="0"/>
    <m/>
    <m/>
    <m/>
    <n v="0"/>
    <m/>
    <n v="0"/>
    <n v="0"/>
    <n v="0"/>
    <n v="0"/>
    <m/>
    <m/>
    <m/>
    <n v="0"/>
    <m/>
    <n v="0"/>
    <n v="0"/>
    <n v="0"/>
    <n v="0"/>
    <n v="0"/>
    <n v="0"/>
    <n v="0"/>
    <n v="0"/>
    <m/>
    <n v="0"/>
    <n v="0"/>
    <n v="0"/>
    <n v="0"/>
    <n v="0"/>
    <n v="0"/>
    <n v="0"/>
    <n v="0"/>
    <n v="0"/>
    <n v="0"/>
    <n v="0"/>
    <n v="0"/>
    <n v="0"/>
    <s v="South Twickenham"/>
    <m/>
    <m/>
    <m/>
    <m/>
    <x v="0"/>
  </r>
  <r>
    <s v="15/2204/FUL"/>
    <s v="NEW"/>
    <m/>
    <s v="1E Colonial Avenue Twickenham TW2 7EE"/>
    <s v="Change of use from a private garage and store to a 2 bedroom house with associated single storey extensions; retention of existing photovoltaic arrays; associated cycle and refuse/recycle stores; hard and soft landscaping and installation of car turntabl"/>
    <m/>
    <m/>
    <x v="2"/>
    <s v="Open Market"/>
    <n v="514174"/>
    <n v="174381"/>
    <m/>
    <n v="0"/>
    <n v="0"/>
    <n v="0"/>
    <n v="0"/>
    <m/>
    <m/>
    <m/>
    <n v="0"/>
    <m/>
    <n v="0"/>
    <n v="1"/>
    <n v="0"/>
    <n v="0"/>
    <m/>
    <m/>
    <m/>
    <n v="1"/>
    <m/>
    <n v="0"/>
    <n v="1"/>
    <n v="0"/>
    <n v="0"/>
    <n v="0"/>
    <n v="0"/>
    <n v="0"/>
    <n v="1"/>
    <m/>
    <n v="0"/>
    <n v="0"/>
    <n v="0.33333333333333331"/>
    <n v="0.33333333333333331"/>
    <n v="0.33333333333333331"/>
    <n v="0"/>
    <n v="0"/>
    <s v="Y"/>
    <n v="0"/>
    <n v="0"/>
    <n v="0"/>
    <n v="0"/>
    <n v="0"/>
    <s v="Whitton"/>
    <m/>
    <m/>
    <m/>
    <m/>
    <x v="0"/>
  </r>
  <r>
    <s v="15/2854/FUL"/>
    <s v="NEW"/>
    <m/>
    <s v="Garages At Riverside Drive Ham"/>
    <s v="Demolition of a row of 18 garages; Proposed to construct two two-bedroom Wheelchair Bungalows; Provision of two car parking spaces."/>
    <m/>
    <m/>
    <x v="2"/>
    <s v="Open Market"/>
    <n v="517050"/>
    <n v="172680"/>
    <m/>
    <n v="0"/>
    <n v="0"/>
    <n v="0"/>
    <n v="0"/>
    <m/>
    <m/>
    <m/>
    <n v="0"/>
    <m/>
    <n v="0"/>
    <n v="2"/>
    <n v="0"/>
    <n v="0"/>
    <m/>
    <m/>
    <m/>
    <n v="2"/>
    <m/>
    <n v="0"/>
    <n v="2"/>
    <n v="0"/>
    <n v="0"/>
    <n v="0"/>
    <n v="0"/>
    <n v="0"/>
    <n v="2"/>
    <m/>
    <n v="0"/>
    <n v="1"/>
    <n v="1"/>
    <n v="0"/>
    <n v="0"/>
    <n v="0"/>
    <n v="0"/>
    <s v="Y"/>
    <n v="0"/>
    <n v="0"/>
    <n v="0"/>
    <n v="0"/>
    <n v="0"/>
    <s v="Ham, Petersham and Richmond Riverside"/>
    <m/>
    <m/>
    <m/>
    <m/>
    <x v="0"/>
  </r>
  <r>
    <s v="15/2855/FUL"/>
    <s v="NEW"/>
    <m/>
    <s v="Garages At Maguire Drive Ham"/>
    <s v="Demolition of 20 garages in two rows; Construction of two three-bedroom houses"/>
    <m/>
    <m/>
    <x v="2"/>
    <s v="Affordable Rent"/>
    <n v="517476"/>
    <n v="171658"/>
    <m/>
    <n v="0"/>
    <n v="0"/>
    <n v="0"/>
    <n v="0"/>
    <m/>
    <m/>
    <m/>
    <n v="0"/>
    <m/>
    <n v="0"/>
    <n v="0"/>
    <n v="2"/>
    <n v="0"/>
    <m/>
    <m/>
    <m/>
    <n v="2"/>
    <m/>
    <n v="0"/>
    <n v="0"/>
    <n v="2"/>
    <n v="0"/>
    <n v="0"/>
    <n v="0"/>
    <n v="0"/>
    <n v="2"/>
    <m/>
    <n v="0"/>
    <n v="0"/>
    <n v="0.66666666666666663"/>
    <n v="0.66666666666666663"/>
    <n v="0.66666666666666663"/>
    <n v="0"/>
    <n v="0"/>
    <s v="Y"/>
    <n v="0"/>
    <n v="0"/>
    <n v="0"/>
    <n v="0"/>
    <n v="0"/>
    <s v="Ham, Petersham and Richmond Riverside"/>
    <m/>
    <m/>
    <m/>
    <m/>
    <x v="0"/>
  </r>
  <r>
    <s v="15/2857/FUL"/>
    <s v="NEW"/>
    <m/>
    <s v="Garages At Clifford Road Petersham"/>
    <s v="Removal of 26 garages; Creation of 3 two storey three-bedroom houses. Provision of 11 parking spaces in a shared surface courtyard"/>
    <m/>
    <m/>
    <x v="2"/>
    <s v="Affordable Rent"/>
    <n v="517848"/>
    <n v="172830"/>
    <m/>
    <n v="0"/>
    <n v="0"/>
    <n v="0"/>
    <n v="0"/>
    <m/>
    <m/>
    <m/>
    <n v="0"/>
    <m/>
    <n v="0"/>
    <n v="0"/>
    <n v="3"/>
    <n v="0"/>
    <m/>
    <m/>
    <m/>
    <n v="3"/>
    <m/>
    <n v="0"/>
    <n v="0"/>
    <n v="3"/>
    <n v="0"/>
    <n v="0"/>
    <n v="0"/>
    <n v="0"/>
    <n v="3"/>
    <m/>
    <n v="0"/>
    <n v="0"/>
    <n v="1"/>
    <n v="1"/>
    <n v="1"/>
    <n v="0"/>
    <n v="0"/>
    <s v="Y"/>
    <n v="0"/>
    <n v="0"/>
    <n v="0"/>
    <n v="0"/>
    <n v="0"/>
    <s v="Ham, Petersham and Richmond Riverside"/>
    <m/>
    <m/>
    <m/>
    <m/>
    <x v="0"/>
  </r>
  <r>
    <s v="15/2911/FUL"/>
    <s v="NEW"/>
    <m/>
    <s v="17A Tower Road_x000a_Twickenham_x000a_TW1 4PD"/>
    <s v="Demolition of existing single family dwelling and creation of new replacement single family dwelling."/>
    <m/>
    <m/>
    <x v="2"/>
    <s v="Open Market"/>
    <n v="515807"/>
    <n v="172452"/>
    <m/>
    <n v="0"/>
    <n v="1"/>
    <n v="0"/>
    <n v="0"/>
    <m/>
    <m/>
    <m/>
    <n v="1"/>
    <m/>
    <n v="0"/>
    <n v="0"/>
    <n v="1"/>
    <n v="0"/>
    <m/>
    <m/>
    <m/>
    <n v="1"/>
    <m/>
    <n v="0"/>
    <n v="-1"/>
    <n v="1"/>
    <n v="0"/>
    <n v="0"/>
    <n v="0"/>
    <n v="0"/>
    <n v="0"/>
    <m/>
    <n v="0"/>
    <n v="0"/>
    <n v="0"/>
    <n v="0"/>
    <n v="0"/>
    <n v="0"/>
    <n v="0"/>
    <n v="0"/>
    <n v="0"/>
    <n v="0"/>
    <n v="0"/>
    <n v="0"/>
    <n v="0"/>
    <s v="South Twickenham"/>
    <m/>
    <m/>
    <m/>
    <m/>
    <x v="0"/>
  </r>
  <r>
    <s v="15/3394/FUL"/>
    <s v="EXT"/>
    <m/>
    <s v="Wick House_x000a_10 Station Road_x000a_Hampton Wick"/>
    <s v="Erection of new mansard roof to accommodate 2 new self contained flats, new lift shaft, new bin stores."/>
    <m/>
    <m/>
    <x v="2"/>
    <s v="Open Market"/>
    <n v="517543"/>
    <n v="169767"/>
    <m/>
    <n v="0"/>
    <n v="0"/>
    <n v="0"/>
    <n v="0"/>
    <m/>
    <m/>
    <m/>
    <n v="0"/>
    <m/>
    <n v="0"/>
    <n v="2"/>
    <n v="0"/>
    <n v="0"/>
    <m/>
    <m/>
    <m/>
    <n v="2"/>
    <m/>
    <n v="0"/>
    <n v="2"/>
    <n v="0"/>
    <n v="0"/>
    <n v="0"/>
    <n v="0"/>
    <n v="0"/>
    <n v="2"/>
    <m/>
    <n v="0"/>
    <n v="0.5"/>
    <n v="0.5"/>
    <n v="0.5"/>
    <n v="0.5"/>
    <n v="0"/>
    <n v="0"/>
    <s v="Y"/>
    <n v="0"/>
    <n v="0"/>
    <n v="0"/>
    <n v="0"/>
    <n v="0"/>
    <s v="Hampton Wick"/>
    <m/>
    <m/>
    <m/>
    <m/>
    <x v="0"/>
  </r>
  <r>
    <s v="15/3518/FUL"/>
    <s v="NEW"/>
    <m/>
    <s v="58 Denton Road_x000a_Twickenham_x000a_TW1 2HQ"/>
    <s v="Erection of a pair of semi-detached dwellings with associated access, parking and private amenity space following the demolition of the existing building comprising 2No. maisonettes and associated outbuildings."/>
    <m/>
    <m/>
    <x v="2"/>
    <s v="Open Market"/>
    <n v="517831"/>
    <n v="174076"/>
    <m/>
    <n v="0"/>
    <n v="2"/>
    <n v="0"/>
    <n v="0"/>
    <m/>
    <m/>
    <m/>
    <n v="2"/>
    <m/>
    <n v="0"/>
    <n v="0"/>
    <n v="0"/>
    <n v="2"/>
    <m/>
    <m/>
    <m/>
    <n v="2"/>
    <m/>
    <n v="0"/>
    <n v="-2"/>
    <n v="0"/>
    <n v="2"/>
    <n v="0"/>
    <n v="0"/>
    <n v="0"/>
    <n v="0"/>
    <m/>
    <n v="0"/>
    <n v="0"/>
    <n v="0"/>
    <n v="0"/>
    <n v="0"/>
    <n v="0"/>
    <n v="0"/>
    <n v="0"/>
    <n v="0"/>
    <n v="0"/>
    <n v="0"/>
    <n v="0"/>
    <n v="0"/>
    <s v="Twickenham Riverside"/>
    <m/>
    <m/>
    <m/>
    <m/>
    <x v="0"/>
  </r>
  <r>
    <s v="15/4280/FUL"/>
    <s v="CON"/>
    <m/>
    <s v="1 Bloxham Crescent Hampton TW12 2QF"/>
    <s v="Conversion of an existing residential 3 bed property into two x 2 bed properties and two storey side extension with formation of new vehiclar access."/>
    <m/>
    <m/>
    <x v="2"/>
    <s v="Open Market"/>
    <n v="513068"/>
    <n v="169904"/>
    <m/>
    <n v="0"/>
    <n v="0"/>
    <n v="1"/>
    <n v="0"/>
    <m/>
    <m/>
    <m/>
    <n v="1"/>
    <m/>
    <n v="0"/>
    <n v="2"/>
    <n v="0"/>
    <n v="0"/>
    <m/>
    <m/>
    <m/>
    <n v="2"/>
    <m/>
    <n v="0"/>
    <n v="2"/>
    <n v="-1"/>
    <n v="0"/>
    <n v="0"/>
    <n v="0"/>
    <n v="0"/>
    <n v="1"/>
    <m/>
    <n v="0"/>
    <n v="0.25"/>
    <n v="0.25"/>
    <n v="0.25"/>
    <n v="0.25"/>
    <n v="0"/>
    <n v="0"/>
    <s v="Y"/>
    <n v="0"/>
    <n v="0"/>
    <n v="0"/>
    <n v="0"/>
    <n v="0"/>
    <s v="Hampton"/>
    <m/>
    <m/>
    <m/>
    <m/>
    <x v="0"/>
  </r>
  <r>
    <s v="15/4581/FUL"/>
    <s v="NEW"/>
    <m/>
    <s v="45 - 49 Station Road Hampton TW12 2BT"/>
    <s v="Demolition of all site buildings and redevelopment of the site for a mixed use development comprising a new car showroom with associated workshops (sui generis), office accommodation (Use Class B1a) and six three-bedrooom residential dwellings (Use Class"/>
    <m/>
    <m/>
    <x v="2"/>
    <s v="Open Market"/>
    <n v="513825"/>
    <n v="169567"/>
    <m/>
    <n v="0"/>
    <n v="0"/>
    <n v="0"/>
    <n v="0"/>
    <m/>
    <m/>
    <m/>
    <n v="0"/>
    <m/>
    <n v="0"/>
    <n v="0"/>
    <n v="6"/>
    <n v="0"/>
    <m/>
    <m/>
    <m/>
    <n v="6"/>
    <m/>
    <n v="0"/>
    <n v="0"/>
    <n v="6"/>
    <n v="0"/>
    <n v="0"/>
    <n v="0"/>
    <n v="0"/>
    <n v="6"/>
    <m/>
    <n v="0"/>
    <n v="0"/>
    <n v="2"/>
    <n v="2"/>
    <n v="2"/>
    <n v="0"/>
    <n v="0"/>
    <s v="Y"/>
    <n v="0"/>
    <n v="0"/>
    <n v="0"/>
    <n v="0"/>
    <n v="0"/>
    <s v="Hampton"/>
    <m/>
    <m/>
    <m/>
    <m/>
    <x v="0"/>
  </r>
  <r>
    <s v="15/4586/FUL"/>
    <s v="NEW"/>
    <m/>
    <s v="257 Waldegrave Road_x000a_Twickenham_x000a_TW1 4SY"/>
    <s v="Erection of a two-storey replacement dwellinghouse with attic space."/>
    <m/>
    <m/>
    <x v="2"/>
    <s v="Open Market"/>
    <n v="515611"/>
    <n v="172008"/>
    <m/>
    <n v="0"/>
    <n v="0"/>
    <n v="0"/>
    <n v="1"/>
    <m/>
    <m/>
    <m/>
    <n v="1"/>
    <m/>
    <n v="0"/>
    <n v="0"/>
    <n v="0"/>
    <n v="0"/>
    <n v="1"/>
    <m/>
    <m/>
    <n v="1"/>
    <m/>
    <n v="0"/>
    <n v="0"/>
    <n v="0"/>
    <n v="-1"/>
    <n v="1"/>
    <n v="0"/>
    <n v="0"/>
    <n v="0"/>
    <m/>
    <n v="0"/>
    <n v="0"/>
    <n v="0"/>
    <n v="0"/>
    <n v="0"/>
    <n v="0"/>
    <n v="0"/>
    <n v="0"/>
    <n v="0"/>
    <n v="0"/>
    <n v="0"/>
    <n v="0"/>
    <n v="0"/>
    <s v="South Twickenham"/>
    <m/>
    <m/>
    <m/>
    <m/>
    <x v="0"/>
  </r>
  <r>
    <s v="15/5217/FUL"/>
    <s v="NEW"/>
    <m/>
    <s v="Silver Birches_x000a_2 - 6 Marchmont Road_x000a_Richmond_x000a_TW10 6HH"/>
    <s v="Demolition of care home, and the construction of nine residential units and associated works. (The affordable housing associated to this development is proposed off site on The Avenue Centre site as part of its redevelopment - refer to application 15/521"/>
    <m/>
    <m/>
    <x v="2"/>
    <s v="Open Market"/>
    <n v="518559"/>
    <n v="174698"/>
    <m/>
    <n v="1"/>
    <n v="0"/>
    <n v="0"/>
    <n v="0"/>
    <m/>
    <m/>
    <m/>
    <n v="1"/>
    <m/>
    <n v="0"/>
    <n v="2"/>
    <n v="5"/>
    <n v="2"/>
    <m/>
    <m/>
    <m/>
    <n v="9"/>
    <m/>
    <n v="-1"/>
    <n v="2"/>
    <n v="5"/>
    <n v="2"/>
    <n v="0"/>
    <n v="0"/>
    <n v="0"/>
    <n v="8"/>
    <m/>
    <n v="0"/>
    <n v="0"/>
    <n v="2.6666666666666665"/>
    <n v="2.6666666666666665"/>
    <n v="2.6666666666666665"/>
    <n v="0"/>
    <n v="0"/>
    <s v="Y"/>
    <n v="0"/>
    <n v="0"/>
    <n v="0"/>
    <n v="0"/>
    <n v="0"/>
    <s v="South Richmond"/>
    <m/>
    <m/>
    <m/>
    <m/>
    <x v="0"/>
  </r>
  <r>
    <s v="15/5351/FUL"/>
    <s v="NEW"/>
    <m/>
    <s v="11 Fifth Cross Road_x000a_Twickenham"/>
    <s v="Erection of a pair of two-bedroom, semi-detached dwellings with associated access, car turntable, parking and amenity space following the demolition of existing dwelling."/>
    <m/>
    <m/>
    <x v="2"/>
    <s v="Open Market"/>
    <n v="514775"/>
    <n v="172397"/>
    <m/>
    <n v="0"/>
    <n v="0"/>
    <n v="1"/>
    <n v="0"/>
    <m/>
    <m/>
    <m/>
    <n v="1"/>
    <m/>
    <n v="0"/>
    <n v="2"/>
    <n v="0"/>
    <n v="0"/>
    <m/>
    <m/>
    <m/>
    <n v="2"/>
    <m/>
    <n v="0"/>
    <n v="2"/>
    <n v="-1"/>
    <n v="0"/>
    <n v="0"/>
    <n v="0"/>
    <n v="0"/>
    <n v="1"/>
    <m/>
    <n v="0"/>
    <n v="0"/>
    <n v="0.33333333333333331"/>
    <n v="0.33333333333333331"/>
    <n v="0.33333333333333331"/>
    <n v="0"/>
    <n v="0"/>
    <s v="Y"/>
    <n v="0"/>
    <n v="0"/>
    <n v="0"/>
    <n v="0"/>
    <n v="0"/>
    <s v="West Twickenham"/>
    <m/>
    <m/>
    <m/>
    <m/>
    <x v="0"/>
  </r>
  <r>
    <s v="15/5395/FUL"/>
    <s v="CON"/>
    <m/>
    <s v="68 Shalstone Road_x000a_Mortlake_x000a_London"/>
    <s v="Conversion from 2 flats to a single dwelling house and the addition of an entrance porch and window."/>
    <m/>
    <m/>
    <x v="2"/>
    <s v="Open Market"/>
    <n v="519787"/>
    <n v="175797"/>
    <m/>
    <n v="2"/>
    <n v="0"/>
    <n v="0"/>
    <n v="0"/>
    <m/>
    <m/>
    <m/>
    <n v="2"/>
    <m/>
    <n v="0"/>
    <n v="0"/>
    <n v="0"/>
    <n v="1"/>
    <m/>
    <m/>
    <m/>
    <n v="1"/>
    <m/>
    <n v="-2"/>
    <n v="0"/>
    <n v="0"/>
    <n v="1"/>
    <n v="0"/>
    <n v="0"/>
    <n v="0"/>
    <n v="-1"/>
    <m/>
    <n v="0"/>
    <n v="-0.25"/>
    <n v="-0.25"/>
    <n v="-0.25"/>
    <n v="-0.25"/>
    <n v="0"/>
    <n v="0"/>
    <s v="Y"/>
    <n v="0"/>
    <n v="0"/>
    <n v="0"/>
    <n v="0"/>
    <n v="0"/>
    <s v="North Richmond"/>
    <m/>
    <m/>
    <m/>
    <m/>
    <x v="0"/>
  </r>
  <r>
    <s v="16/0058/FUL"/>
    <s v="CHU"/>
    <m/>
    <s v="29 George Street Richmond TW9 1HY"/>
    <s v="Change of use of 2nd floor and 3rd floor level from ancillary retail to nine 1 bedroom flats (C3 use) with external alterations and enclosure of walkway at 1st floor, new residential access, bin store, bicycle storage, replacement of plant, new stairs to"/>
    <m/>
    <m/>
    <x v="2"/>
    <s v="Open Market"/>
    <n v="517924"/>
    <n v="174891"/>
    <m/>
    <n v="0"/>
    <n v="0"/>
    <n v="0"/>
    <n v="0"/>
    <m/>
    <m/>
    <m/>
    <n v="0"/>
    <m/>
    <n v="9"/>
    <n v="0"/>
    <n v="0"/>
    <n v="0"/>
    <m/>
    <m/>
    <m/>
    <n v="9"/>
    <m/>
    <n v="9"/>
    <n v="0"/>
    <n v="0"/>
    <n v="0"/>
    <n v="0"/>
    <n v="0"/>
    <n v="0"/>
    <n v="9"/>
    <m/>
    <n v="0"/>
    <n v="2.25"/>
    <n v="2.25"/>
    <n v="2.25"/>
    <n v="2.25"/>
    <n v="0"/>
    <n v="0"/>
    <s v="Y"/>
    <n v="0"/>
    <n v="0"/>
    <n v="0"/>
    <n v="0"/>
    <n v="0"/>
    <s v="South Richmond"/>
    <m/>
    <m/>
    <s v="Richmond"/>
    <m/>
    <x v="0"/>
  </r>
  <r>
    <s v="16/0344/FUL"/>
    <s v="CON"/>
    <m/>
    <s v="113 Stanley Road_x000a_Teddington_x000a_TW11 8UB"/>
    <s v="Side extension to existing 1st floor back addition and convert existing 1 bedroom flat to two studio flats"/>
    <m/>
    <m/>
    <x v="2"/>
    <s v="Open Market"/>
    <n v="515085"/>
    <n v="171577"/>
    <m/>
    <n v="0"/>
    <n v="1"/>
    <n v="0"/>
    <n v="0"/>
    <m/>
    <m/>
    <m/>
    <n v="1"/>
    <n v="2"/>
    <n v="0"/>
    <n v="0"/>
    <n v="0"/>
    <n v="0"/>
    <m/>
    <m/>
    <m/>
    <n v="2"/>
    <m/>
    <n v="0"/>
    <n v="-1"/>
    <n v="0"/>
    <n v="0"/>
    <n v="0"/>
    <n v="0"/>
    <n v="0"/>
    <n v="1"/>
    <m/>
    <n v="0"/>
    <n v="0.25"/>
    <n v="0.25"/>
    <n v="0.25"/>
    <n v="0.25"/>
    <n v="0"/>
    <n v="0"/>
    <s v="Y"/>
    <n v="0"/>
    <n v="0"/>
    <n v="0"/>
    <n v="0"/>
    <n v="0"/>
    <s v="Fulwell and Hampton Hill"/>
    <m/>
    <s v="Stanley Road"/>
    <m/>
    <m/>
    <x v="0"/>
  </r>
  <r>
    <s v="16/0489/PS192"/>
    <s v="CHU"/>
    <m/>
    <s v="321 Richmond Road Ham KT2 5QU"/>
    <s v="Change of use of ground floor from Class A1 (shops) to Class A2 (financial and professional services)."/>
    <m/>
    <m/>
    <x v="2"/>
    <s v="Open Market"/>
    <n v="517763"/>
    <n v="171588"/>
    <m/>
    <n v="0"/>
    <n v="0"/>
    <n v="0"/>
    <n v="0"/>
    <m/>
    <m/>
    <m/>
    <n v="0"/>
    <m/>
    <n v="0"/>
    <n v="0"/>
    <n v="0"/>
    <n v="0"/>
    <m/>
    <m/>
    <m/>
    <n v="0"/>
    <m/>
    <n v="0"/>
    <n v="0"/>
    <n v="0"/>
    <n v="0"/>
    <n v="0"/>
    <n v="0"/>
    <n v="0"/>
    <n v="0"/>
    <m/>
    <n v="0"/>
    <n v="0"/>
    <n v="0"/>
    <n v="0"/>
    <n v="0"/>
    <n v="0"/>
    <n v="0"/>
    <n v="0"/>
    <n v="0"/>
    <n v="0"/>
    <n v="0"/>
    <n v="0"/>
    <n v="0"/>
    <s v="Ham, Petersham and Richmond Riverside"/>
    <m/>
    <m/>
    <m/>
    <m/>
    <x v="0"/>
  </r>
  <r>
    <s v="16/0510/FUL"/>
    <s v="CHU"/>
    <m/>
    <s v="Shanklin House_x000a_70 Sheen Road_x000a_Richmond_x000a_TW9 1UF"/>
    <s v="Alterations including construction of a new rear ground floor extension and change of use to commercial space and two 2-bedroom self-contained flats."/>
    <m/>
    <m/>
    <x v="2"/>
    <s v="Open Market"/>
    <n v="518392"/>
    <n v="175032"/>
    <m/>
    <n v="0"/>
    <n v="0"/>
    <n v="0"/>
    <n v="0"/>
    <m/>
    <m/>
    <m/>
    <n v="0"/>
    <m/>
    <n v="0"/>
    <n v="2"/>
    <n v="0"/>
    <n v="0"/>
    <m/>
    <m/>
    <m/>
    <n v="2"/>
    <m/>
    <n v="0"/>
    <n v="2"/>
    <n v="0"/>
    <n v="0"/>
    <n v="0"/>
    <n v="0"/>
    <n v="0"/>
    <n v="2"/>
    <m/>
    <n v="0"/>
    <n v="0.5"/>
    <n v="0.5"/>
    <n v="0.5"/>
    <n v="0.5"/>
    <n v="0"/>
    <n v="0"/>
    <s v="Y"/>
    <n v="0"/>
    <n v="0"/>
    <n v="0"/>
    <n v="0"/>
    <n v="0"/>
    <s v="South Richmond"/>
    <m/>
    <s v="Sheen Road"/>
    <m/>
    <m/>
    <x v="0"/>
  </r>
  <r>
    <s v="16/0606/FUL"/>
    <s v="MIX"/>
    <m/>
    <s v="Police Station 60 - 68 Station Road Hampton"/>
    <s v="Retention of former police station building with partial demolition of the rear wings of the police station and demolition of the rear garages and the construction of 28 residential units (4 x 1 bedroom, 12 x 2 bedroom, 10 x 3 bedroom and 2 x 4 bedroom)"/>
    <m/>
    <m/>
    <x v="2"/>
    <s v="Open Market"/>
    <n v="513766"/>
    <n v="169736"/>
    <m/>
    <n v="0"/>
    <n v="0"/>
    <n v="0"/>
    <n v="0"/>
    <m/>
    <m/>
    <m/>
    <n v="0"/>
    <m/>
    <n v="4"/>
    <n v="12"/>
    <n v="10"/>
    <n v="2"/>
    <m/>
    <m/>
    <m/>
    <n v="28"/>
    <m/>
    <n v="4"/>
    <n v="12"/>
    <n v="10"/>
    <n v="2"/>
    <n v="0"/>
    <n v="0"/>
    <n v="0"/>
    <n v="28"/>
    <m/>
    <n v="0"/>
    <n v="0"/>
    <n v="0"/>
    <n v="0"/>
    <n v="14"/>
    <n v="14"/>
    <n v="0"/>
    <s v="Y"/>
    <n v="0"/>
    <n v="0"/>
    <n v="0"/>
    <n v="0"/>
    <n v="0"/>
    <s v="Hampton"/>
    <m/>
    <s v="Station Road"/>
    <m/>
    <m/>
    <x v="0"/>
  </r>
  <r>
    <s v="16/0647/FUL"/>
    <s v="NEW"/>
    <m/>
    <s v="Garages Rear Of 8_x000a_Atbara Road_x000a_Teddington"/>
    <s v="Demolition of the existing garages and redevelopment of the site with the erection of two residential houses with associated landscaping."/>
    <m/>
    <m/>
    <x v="2"/>
    <s v="Open Market"/>
    <n v="516905"/>
    <n v="170733"/>
    <m/>
    <n v="0"/>
    <n v="0"/>
    <n v="0"/>
    <n v="0"/>
    <m/>
    <m/>
    <m/>
    <n v="0"/>
    <m/>
    <n v="0"/>
    <n v="0"/>
    <n v="2"/>
    <n v="0"/>
    <m/>
    <m/>
    <m/>
    <n v="0"/>
    <m/>
    <n v="0"/>
    <n v="0"/>
    <n v="2"/>
    <n v="0"/>
    <n v="0"/>
    <n v="0"/>
    <n v="0"/>
    <n v="0"/>
    <m/>
    <n v="0"/>
    <n v="0"/>
    <n v="0"/>
    <n v="0"/>
    <n v="0"/>
    <n v="0"/>
    <n v="0"/>
    <n v="0"/>
    <n v="0"/>
    <n v="0"/>
    <n v="0"/>
    <n v="0"/>
    <n v="0"/>
    <s v="Hampton Wick"/>
    <m/>
    <m/>
    <m/>
    <m/>
    <x v="0"/>
  </r>
  <r>
    <s v="16/0905/FUL"/>
    <s v="NEW"/>
    <m/>
    <s v="275 Sandycombe Road_x000a_Richmond_x000a_TW9 3LU"/>
    <s v="Demolition of the existing hall and the erection of a new community facility building and 6 flats"/>
    <m/>
    <m/>
    <x v="2"/>
    <s v="Open Market"/>
    <n v="519126"/>
    <n v="176420"/>
    <m/>
    <n v="0"/>
    <n v="0"/>
    <n v="0"/>
    <n v="0"/>
    <m/>
    <m/>
    <m/>
    <n v="0"/>
    <m/>
    <n v="4"/>
    <n v="2"/>
    <n v="0"/>
    <n v="0"/>
    <m/>
    <m/>
    <m/>
    <n v="6"/>
    <m/>
    <n v="4"/>
    <n v="2"/>
    <n v="0"/>
    <n v="0"/>
    <n v="0"/>
    <n v="0"/>
    <n v="0"/>
    <n v="6"/>
    <m/>
    <n v="0"/>
    <n v="0"/>
    <n v="2"/>
    <n v="2"/>
    <n v="2"/>
    <n v="0"/>
    <n v="0"/>
    <s v="Y"/>
    <n v="0"/>
    <n v="0"/>
    <n v="0"/>
    <n v="0"/>
    <n v="0"/>
    <s v="Kew"/>
    <m/>
    <s v="Sandycombe Road North"/>
    <m/>
    <m/>
    <x v="0"/>
  </r>
  <r>
    <s v="16/1279/GPD15"/>
    <s v="CHU"/>
    <m/>
    <s v="115 White Hart Lane_x000d_Barnes_x000d_London_x000d_SW13 0JL_x000d_"/>
    <s v="Change of use from office (B1a) to residential (C3)."/>
    <m/>
    <m/>
    <x v="2"/>
    <s v="Open Market"/>
    <n v="521408"/>
    <n v="175714"/>
    <m/>
    <n v="0"/>
    <n v="0"/>
    <n v="0"/>
    <n v="1"/>
    <m/>
    <m/>
    <m/>
    <n v="1"/>
    <m/>
    <n v="0"/>
    <n v="0"/>
    <n v="0"/>
    <n v="0"/>
    <n v="1"/>
    <m/>
    <m/>
    <n v="1"/>
    <m/>
    <n v="0"/>
    <n v="0"/>
    <n v="0"/>
    <n v="-1"/>
    <n v="1"/>
    <n v="0"/>
    <n v="0"/>
    <n v="0"/>
    <m/>
    <n v="0"/>
    <n v="0"/>
    <n v="0"/>
    <n v="0"/>
    <n v="0"/>
    <n v="0"/>
    <n v="0"/>
    <n v="0"/>
    <n v="0"/>
    <n v="0"/>
    <n v="0"/>
    <n v="0"/>
    <n v="0"/>
    <s v="Mortlake and Barnes Common"/>
    <m/>
    <m/>
    <m/>
    <m/>
    <x v="0"/>
  </r>
  <r>
    <s v="16/1592/FUL"/>
    <s v="CHU"/>
    <m/>
    <s v="5 Royal Parade_x000a_Kew_x000a_Richmond_x000a_TW9 3QD"/>
    <s v="Change of use of the rear of the ground floor level from an 'A1' shop (Dry-cleaning), to C3 Dwelling for use as a 2 bedroom maisonette flat, extending the basement level, together with some internal reconfiguration."/>
    <m/>
    <m/>
    <x v="2"/>
    <s v="Open Market"/>
    <n v="519112"/>
    <n v="176842"/>
    <m/>
    <n v="0"/>
    <n v="0"/>
    <n v="0"/>
    <n v="0"/>
    <m/>
    <m/>
    <m/>
    <n v="0"/>
    <m/>
    <n v="0"/>
    <n v="1"/>
    <n v="0"/>
    <n v="0"/>
    <m/>
    <m/>
    <m/>
    <n v="1"/>
    <m/>
    <n v="0"/>
    <n v="1"/>
    <n v="0"/>
    <n v="0"/>
    <n v="0"/>
    <n v="0"/>
    <n v="0"/>
    <n v="1"/>
    <m/>
    <n v="0"/>
    <n v="0.25"/>
    <n v="0.25"/>
    <n v="0.25"/>
    <n v="0.25"/>
    <n v="0"/>
    <n v="0"/>
    <s v="Y"/>
    <n v="0"/>
    <n v="0"/>
    <n v="0"/>
    <n v="0"/>
    <n v="0"/>
    <s v="Kew"/>
    <m/>
    <s v="Kew Gardens Station"/>
    <m/>
    <m/>
    <x v="0"/>
  </r>
  <r>
    <s v="16/1729/FUL"/>
    <s v="MIX"/>
    <m/>
    <s v="67 - 71 Station Road Hampton TW12 2BT"/>
    <s v="Refurbishment of all existing buildings on the site, including improvements to existing shop fronts, and a first floor extension, to provide a mixed use scheme comprising three retail units and four residential dwellings, incorporating off-street parking"/>
    <m/>
    <m/>
    <x v="2"/>
    <s v="Open Market"/>
    <n v="513783"/>
    <n v="169643"/>
    <m/>
    <n v="0"/>
    <n v="1"/>
    <n v="0"/>
    <n v="0"/>
    <m/>
    <m/>
    <m/>
    <n v="1"/>
    <m/>
    <n v="2"/>
    <n v="2"/>
    <n v="0"/>
    <n v="0"/>
    <m/>
    <m/>
    <m/>
    <n v="4"/>
    <m/>
    <n v="2"/>
    <n v="1"/>
    <n v="0"/>
    <n v="0"/>
    <n v="0"/>
    <n v="0"/>
    <n v="0"/>
    <n v="3"/>
    <m/>
    <n v="0"/>
    <n v="0"/>
    <n v="1"/>
    <n v="1"/>
    <n v="1"/>
    <n v="0"/>
    <n v="0"/>
    <s v="Y"/>
    <n v="0"/>
    <n v="0"/>
    <n v="0"/>
    <n v="0"/>
    <n v="0"/>
    <s v="Hampton"/>
    <m/>
    <s v="Station Road"/>
    <m/>
    <m/>
    <x v="0"/>
  </r>
  <r>
    <s v="16/2271/FUL"/>
    <s v="NEW"/>
    <m/>
    <s v="Garages Rear Of 81 To 85 Woodville Road Ham"/>
    <s v="Erection of a detached office building."/>
    <m/>
    <m/>
    <x v="2"/>
    <s v="Open Market"/>
    <n v="516909"/>
    <n v="172236"/>
    <m/>
    <n v="0"/>
    <n v="0"/>
    <n v="0"/>
    <n v="0"/>
    <m/>
    <m/>
    <m/>
    <n v="0"/>
    <m/>
    <n v="0"/>
    <n v="0"/>
    <n v="0"/>
    <n v="0"/>
    <m/>
    <m/>
    <m/>
    <n v="0"/>
    <m/>
    <n v="0"/>
    <n v="0"/>
    <n v="0"/>
    <n v="0"/>
    <n v="0"/>
    <n v="0"/>
    <n v="0"/>
    <n v="0"/>
    <m/>
    <n v="0"/>
    <n v="0"/>
    <n v="0"/>
    <n v="0"/>
    <n v="0"/>
    <n v="0"/>
    <n v="0"/>
    <n v="0"/>
    <n v="0"/>
    <n v="0"/>
    <n v="0"/>
    <n v="0"/>
    <n v="0"/>
    <s v="Ham, Petersham and Richmond Riverside"/>
    <m/>
    <m/>
    <m/>
    <m/>
    <x v="0"/>
  </r>
  <r>
    <s v="16/2288/FUL"/>
    <s v="EXT"/>
    <m/>
    <s v="179 - 181 High Street_x000a_Hampton Hill"/>
    <s v="Extending the existing retail and residential accommodation to provide a mixed use scheme comprising of one retail unit and 7 new residential dwellings and retention of 3 currently existing residential dwellings, incorporating cycle storage, amenity spac"/>
    <m/>
    <m/>
    <x v="2"/>
    <s v="Open Market"/>
    <n v="514440"/>
    <n v="171238"/>
    <m/>
    <n v="1"/>
    <n v="2"/>
    <n v="0"/>
    <n v="0"/>
    <m/>
    <m/>
    <m/>
    <n v="3"/>
    <m/>
    <n v="5"/>
    <n v="5"/>
    <n v="0"/>
    <n v="0"/>
    <m/>
    <m/>
    <m/>
    <n v="10"/>
    <m/>
    <n v="4"/>
    <n v="3"/>
    <n v="0"/>
    <n v="0"/>
    <n v="0"/>
    <n v="0"/>
    <n v="0"/>
    <n v="7"/>
    <m/>
    <n v="0"/>
    <n v="1.75"/>
    <n v="1.75"/>
    <n v="1.75"/>
    <n v="1.75"/>
    <n v="0"/>
    <n v="0"/>
    <s v="Y"/>
    <n v="0"/>
    <n v="0"/>
    <n v="0"/>
    <n v="0"/>
    <n v="0"/>
    <s v="Fulwell and Hampton Hill"/>
    <m/>
    <s v="High Street"/>
    <m/>
    <m/>
    <x v="0"/>
  </r>
  <r>
    <s v="16/2647/FUL"/>
    <s v="NEW"/>
    <m/>
    <s v="2 High Street_x000a_Teddington_x000a_TW11 8EW"/>
    <s v="Demolition of the existing office (B1a) building (395 sq.m) and the erection a part five / part six-storey mixed-use building comprisnig a ground floor office / commercial unit (300 sq.m) and 22 (11 x 1 and 11 x 2 bed) affordable 'shared ownership' apart"/>
    <m/>
    <m/>
    <x v="2"/>
    <s v="Intermediate"/>
    <n v="515918"/>
    <n v="171031"/>
    <m/>
    <n v="0"/>
    <n v="0"/>
    <n v="0"/>
    <n v="0"/>
    <m/>
    <m/>
    <m/>
    <n v="0"/>
    <m/>
    <n v="11"/>
    <n v="11"/>
    <n v="0"/>
    <n v="0"/>
    <m/>
    <m/>
    <m/>
    <n v="22"/>
    <m/>
    <n v="11"/>
    <n v="11"/>
    <n v="0"/>
    <n v="0"/>
    <n v="0"/>
    <n v="0"/>
    <n v="0"/>
    <n v="22"/>
    <m/>
    <n v="0"/>
    <n v="0"/>
    <n v="22"/>
    <n v="0"/>
    <n v="0"/>
    <n v="0"/>
    <n v="0"/>
    <s v="Y"/>
    <n v="0"/>
    <n v="0"/>
    <n v="0"/>
    <n v="0"/>
    <n v="0"/>
    <s v="Teddington"/>
    <m/>
    <m/>
    <s v="Teddington"/>
    <m/>
    <x v="0"/>
  </r>
  <r>
    <s v="16/2704/FUL"/>
    <s v="NEW"/>
    <m/>
    <s v="3 Berwyn Road_x000a_Richmond_x000a_TW10 5BP"/>
    <s v="Demolition of existing dwelling and erection of a replacement dwelling."/>
    <m/>
    <m/>
    <x v="2"/>
    <s v="Open Market"/>
    <n v="519633"/>
    <n v="174966"/>
    <m/>
    <n v="0"/>
    <n v="0"/>
    <n v="0"/>
    <n v="1"/>
    <m/>
    <m/>
    <m/>
    <n v="1"/>
    <m/>
    <n v="0"/>
    <n v="0"/>
    <n v="0"/>
    <n v="0"/>
    <n v="1"/>
    <m/>
    <m/>
    <n v="1"/>
    <m/>
    <n v="0"/>
    <n v="0"/>
    <n v="0"/>
    <n v="-1"/>
    <n v="1"/>
    <n v="0"/>
    <n v="0"/>
    <n v="0"/>
    <m/>
    <n v="0"/>
    <n v="0"/>
    <n v="0"/>
    <n v="0"/>
    <n v="0"/>
    <n v="0"/>
    <n v="0"/>
    <n v="0"/>
    <n v="0"/>
    <n v="0"/>
    <n v="0"/>
    <n v="0"/>
    <n v="0"/>
    <s v="South Richmond"/>
    <m/>
    <m/>
    <m/>
    <m/>
    <x v="0"/>
  </r>
  <r>
    <s v="16/2709/FUL"/>
    <s v="NEW"/>
    <m/>
    <s v="29 Howsman Road_x000a_Barnes_x000a_London_x000a_SW13 9AW"/>
    <s v="Demolition of the existing building and the erection of two new two-storey houses, one with a basement and side lightwells and the other with a basement with rear lightwell and rear dormer."/>
    <m/>
    <m/>
    <x v="2"/>
    <s v="Open Market"/>
    <n v="522192"/>
    <n v="177628"/>
    <m/>
    <n v="2"/>
    <n v="0"/>
    <n v="0"/>
    <n v="0"/>
    <m/>
    <m/>
    <m/>
    <n v="2"/>
    <m/>
    <n v="0"/>
    <n v="2"/>
    <n v="0"/>
    <n v="0"/>
    <m/>
    <m/>
    <m/>
    <n v="2"/>
    <m/>
    <n v="-2"/>
    <n v="2"/>
    <n v="0"/>
    <n v="0"/>
    <n v="0"/>
    <n v="0"/>
    <n v="0"/>
    <n v="0"/>
    <m/>
    <n v="0"/>
    <n v="0"/>
    <n v="0"/>
    <n v="0"/>
    <n v="0"/>
    <n v="0"/>
    <n v="0"/>
    <n v="0"/>
    <n v="0"/>
    <n v="0"/>
    <n v="0"/>
    <n v="0"/>
    <n v="0"/>
    <s v="Barnes"/>
    <m/>
    <m/>
    <m/>
    <m/>
    <x v="1"/>
  </r>
  <r>
    <s v="16/2729/FUL"/>
    <s v="CON"/>
    <m/>
    <s v="41A Kings Road_x000a_Richmond_x000a_TW10 6EG"/>
    <s v="This Application proposes: 'Nos. 41 and 41a (currently a house and self-contained flat) to become a single dwelling house.'"/>
    <m/>
    <m/>
    <x v="2"/>
    <s v="Open Market"/>
    <n v="518642"/>
    <n v="174770"/>
    <m/>
    <n v="1"/>
    <n v="0"/>
    <n v="0"/>
    <n v="1"/>
    <m/>
    <m/>
    <m/>
    <n v="2"/>
    <m/>
    <n v="0"/>
    <n v="0"/>
    <n v="0"/>
    <n v="1"/>
    <m/>
    <m/>
    <m/>
    <n v="1"/>
    <m/>
    <n v="-1"/>
    <n v="0"/>
    <n v="0"/>
    <n v="0"/>
    <n v="0"/>
    <n v="0"/>
    <n v="0"/>
    <n v="-1"/>
    <m/>
    <n v="0"/>
    <n v="-0.25"/>
    <n v="-0.25"/>
    <n v="-0.25"/>
    <n v="-0.25"/>
    <n v="0"/>
    <n v="0"/>
    <s v="Y"/>
    <n v="0"/>
    <n v="0"/>
    <n v="0"/>
    <n v="0"/>
    <n v="0"/>
    <s v="South Richmond"/>
    <m/>
    <m/>
    <m/>
    <m/>
    <x v="0"/>
  </r>
  <r>
    <s v="16/2736/FUL"/>
    <s v="NEW"/>
    <m/>
    <s v="Downlands_x000a_Petersham Close_x000a_Petersham_x000a_Richmond_x000a_TW10 7DZ"/>
    <s v="Demolition of existing detached dwelling and construction of new 4 bed house."/>
    <m/>
    <m/>
    <x v="2"/>
    <s v="Open Market"/>
    <n v="517972"/>
    <n v="172874"/>
    <m/>
    <n v="0"/>
    <n v="0"/>
    <n v="0"/>
    <n v="1"/>
    <m/>
    <m/>
    <m/>
    <n v="1"/>
    <m/>
    <n v="0"/>
    <n v="0"/>
    <n v="0"/>
    <n v="0"/>
    <n v="1"/>
    <m/>
    <m/>
    <n v="1"/>
    <m/>
    <n v="0"/>
    <n v="0"/>
    <n v="0"/>
    <n v="-1"/>
    <n v="1"/>
    <n v="0"/>
    <n v="0"/>
    <n v="0"/>
    <m/>
    <n v="0"/>
    <n v="0"/>
    <n v="0"/>
    <n v="0"/>
    <n v="0"/>
    <n v="0"/>
    <n v="0"/>
    <n v="0"/>
    <n v="0"/>
    <n v="0"/>
    <n v="0"/>
    <n v="0"/>
    <n v="0"/>
    <s v="Ham, Petersham and Richmond Riverside"/>
    <m/>
    <m/>
    <m/>
    <m/>
    <x v="0"/>
  </r>
  <r>
    <s v="16/2822/FUL"/>
    <s v="EXT"/>
    <m/>
    <s v="48 Sixth Cross Road_x000d_Twickenham_x000d_TW2 5PD"/>
    <s v="Half hip to gable roof extension, enlargement of existing dormer roof extension, erection of an additional dormer roof extension on rear roof slope and alteration to roof of single storey rear extension to provide a roof terrace to faciltate the conversio"/>
    <m/>
    <m/>
    <x v="2"/>
    <s v="Open Market"/>
    <n v="514331"/>
    <n v="172184"/>
    <m/>
    <n v="0"/>
    <n v="0"/>
    <n v="0"/>
    <n v="0"/>
    <n v="0"/>
    <n v="0"/>
    <n v="1"/>
    <n v="1"/>
    <m/>
    <n v="1"/>
    <n v="1"/>
    <n v="1"/>
    <n v="0"/>
    <m/>
    <m/>
    <m/>
    <n v="3"/>
    <m/>
    <n v="1"/>
    <n v="1"/>
    <n v="1"/>
    <n v="0"/>
    <n v="0"/>
    <n v="0"/>
    <n v="-1"/>
    <n v="2"/>
    <m/>
    <n v="0"/>
    <n v="0.5"/>
    <n v="0.5"/>
    <n v="0.5"/>
    <n v="0.5"/>
    <n v="0"/>
    <n v="0"/>
    <s v="Y"/>
    <n v="0"/>
    <n v="0"/>
    <n v="0"/>
    <n v="0"/>
    <n v="0"/>
    <s v="West Twickenham"/>
    <m/>
    <m/>
    <m/>
    <m/>
    <x v="0"/>
  </r>
  <r>
    <s v="16/3146/GPD15"/>
    <s v="CHU"/>
    <m/>
    <s v="Wickham House_x000d_2 Upper Teddington Road_x000d_Hampton Wick_x000d__x000d_"/>
    <s v="Change of use of building from B1a (office use) to C3 residential use to provide 4 flats"/>
    <m/>
    <m/>
    <x v="2"/>
    <s v="Open Market"/>
    <n v="517430"/>
    <n v="169806"/>
    <m/>
    <n v="0"/>
    <n v="0"/>
    <n v="0"/>
    <n v="0"/>
    <m/>
    <m/>
    <m/>
    <n v="0"/>
    <m/>
    <n v="2"/>
    <n v="2"/>
    <n v="0"/>
    <n v="0"/>
    <m/>
    <m/>
    <m/>
    <n v="4"/>
    <m/>
    <n v="2"/>
    <n v="2"/>
    <n v="0"/>
    <n v="0"/>
    <n v="0"/>
    <n v="0"/>
    <n v="0"/>
    <n v="4"/>
    <m/>
    <n v="0"/>
    <n v="1"/>
    <n v="1"/>
    <n v="1"/>
    <n v="1"/>
    <n v="0"/>
    <n v="0"/>
    <s v="Y"/>
    <n v="0"/>
    <n v="0"/>
    <n v="0"/>
    <n v="0"/>
    <n v="0"/>
    <s v="Hampton Wick"/>
    <m/>
    <s v="Hampton Wick"/>
    <m/>
    <m/>
    <x v="0"/>
  </r>
  <r>
    <s v="16/3184/FUL"/>
    <s v="CHU"/>
    <m/>
    <s v="123 High Street_x000a_Whitton_x000a_Twickenham_x000a_TW2 7LQ"/>
    <s v="Proposed lower ground floor rear extension to provide 1 x 2 bedroom dwelling with associated garden, refuse and cycle storage.  Rear stair enclosure providing access to the existing first and second floors, external alterations and communal roof terrace"/>
    <m/>
    <m/>
    <x v="2"/>
    <s v="Open Market"/>
    <n v="514223"/>
    <n v="173584"/>
    <m/>
    <n v="0"/>
    <n v="0"/>
    <n v="0"/>
    <n v="0"/>
    <m/>
    <m/>
    <m/>
    <n v="0"/>
    <m/>
    <n v="0"/>
    <n v="1"/>
    <n v="0"/>
    <n v="0"/>
    <m/>
    <m/>
    <m/>
    <n v="1"/>
    <m/>
    <n v="0"/>
    <n v="1"/>
    <n v="0"/>
    <n v="0"/>
    <n v="0"/>
    <n v="0"/>
    <n v="0"/>
    <n v="1"/>
    <m/>
    <n v="0"/>
    <n v="0.25"/>
    <n v="0.25"/>
    <n v="0.25"/>
    <n v="0.25"/>
    <n v="0"/>
    <n v="0"/>
    <s v="Y"/>
    <n v="0"/>
    <n v="0"/>
    <n v="0"/>
    <n v="0"/>
    <n v="0"/>
    <s v="Whitton"/>
    <m/>
    <m/>
    <s v="Whitton"/>
    <m/>
    <x v="0"/>
  </r>
  <r>
    <s v="16/3290/FUL"/>
    <s v="NEW"/>
    <m/>
    <s v="45 The Vineyard Richmond TW10 6AS"/>
    <s v="Partial demolition of an existing building and the creation of 3 new dwelling houses and associated works."/>
    <m/>
    <m/>
    <x v="2"/>
    <s v="Open Market"/>
    <n v="518209"/>
    <n v="174625"/>
    <m/>
    <n v="0"/>
    <n v="2"/>
    <n v="1"/>
    <n v="0"/>
    <m/>
    <m/>
    <m/>
    <n v="3"/>
    <m/>
    <n v="0"/>
    <n v="0"/>
    <n v="1"/>
    <n v="2"/>
    <m/>
    <m/>
    <m/>
    <n v="3"/>
    <m/>
    <n v="0"/>
    <n v="-2"/>
    <n v="0"/>
    <n v="2"/>
    <n v="0"/>
    <n v="0"/>
    <n v="0"/>
    <n v="0"/>
    <m/>
    <n v="0"/>
    <n v="0"/>
    <n v="0"/>
    <n v="0"/>
    <n v="0"/>
    <n v="0"/>
    <n v="0"/>
    <n v="0"/>
    <n v="0"/>
    <n v="0"/>
    <n v="0"/>
    <n v="0"/>
    <n v="0"/>
    <s v="South Richmond"/>
    <m/>
    <m/>
    <m/>
    <m/>
    <x v="0"/>
  </r>
  <r>
    <s v="16/3506/FUL"/>
    <s v="NEW"/>
    <m/>
    <s v="Somerville House 1 Rodney Road Twickenham"/>
    <s v="Demolition of the existing building and erection of 2 buildings at single-storey and three-stories to provide 24 affordable residential units (sheltered accommodation for older people of the minimum age of 55) with associated external amenities, communal"/>
    <m/>
    <m/>
    <x v="2"/>
    <s v="Social Rent"/>
    <n v="513257"/>
    <n v="174057"/>
    <m/>
    <n v="29"/>
    <n v="1"/>
    <n v="0"/>
    <n v="0"/>
    <m/>
    <m/>
    <m/>
    <n v="30"/>
    <m/>
    <n v="0"/>
    <n v="0"/>
    <n v="0"/>
    <n v="0"/>
    <m/>
    <m/>
    <m/>
    <n v="0"/>
    <m/>
    <n v="-29"/>
    <n v="-1"/>
    <n v="0"/>
    <n v="0"/>
    <n v="0"/>
    <n v="0"/>
    <n v="0"/>
    <n v="-30"/>
    <m/>
    <n v="0"/>
    <n v="0"/>
    <n v="0"/>
    <n v="0"/>
    <n v="-15"/>
    <n v="-15"/>
    <n v="0"/>
    <s v="Y"/>
    <n v="0"/>
    <n v="0"/>
    <n v="0"/>
    <n v="0"/>
    <n v="0"/>
    <s v="Whitton"/>
    <m/>
    <m/>
    <m/>
    <m/>
    <x v="0"/>
  </r>
  <r>
    <s v="16/3506/FUL"/>
    <s v="NEW"/>
    <m/>
    <s v="Somerville House 1 Rodney Road Twickenham"/>
    <s v="Demolition of the existing building and erection of 2 buildings at single-storey and three-stories to provide 24 affordable residential units (sheltered accommodation for older people of the minimum age of 55) with associated external amenities, communal"/>
    <m/>
    <m/>
    <x v="2"/>
    <s v="Intermediate"/>
    <n v="513257"/>
    <n v="174057"/>
    <m/>
    <n v="0"/>
    <n v="0"/>
    <n v="0"/>
    <n v="0"/>
    <m/>
    <m/>
    <m/>
    <n v="0"/>
    <m/>
    <n v="5"/>
    <n v="0"/>
    <n v="0"/>
    <n v="0"/>
    <m/>
    <m/>
    <m/>
    <n v="5"/>
    <m/>
    <n v="5"/>
    <n v="0"/>
    <n v="0"/>
    <n v="0"/>
    <n v="0"/>
    <n v="0"/>
    <n v="0"/>
    <n v="5"/>
    <m/>
    <n v="0"/>
    <n v="0"/>
    <n v="0"/>
    <n v="0"/>
    <n v="2.5"/>
    <n v="2.5"/>
    <n v="0"/>
    <s v="Y"/>
    <n v="0"/>
    <n v="0"/>
    <n v="0"/>
    <n v="0"/>
    <n v="0"/>
    <s v="Whitton"/>
    <m/>
    <m/>
    <m/>
    <m/>
    <x v="0"/>
  </r>
  <r>
    <s v="16/3506/FUL"/>
    <s v="NEW"/>
    <m/>
    <s v="Somerville House 1 Rodney Road Twickenham"/>
    <s v="Demolition of the existing building and erection of 2 buildings at single-storey and three-stories to provide 24 affordable residential units (sheltered accommodation for older people of the minimum age of 55) with associated external amenities, communal"/>
    <m/>
    <m/>
    <x v="2"/>
    <s v="Affordable Rent"/>
    <n v="513257"/>
    <n v="174057"/>
    <m/>
    <n v="0"/>
    <n v="0"/>
    <n v="0"/>
    <n v="0"/>
    <m/>
    <m/>
    <m/>
    <n v="0"/>
    <m/>
    <n v="19"/>
    <n v="0"/>
    <n v="0"/>
    <n v="0"/>
    <m/>
    <m/>
    <m/>
    <n v="19"/>
    <m/>
    <n v="19"/>
    <n v="0"/>
    <n v="0"/>
    <n v="0"/>
    <n v="0"/>
    <n v="0"/>
    <n v="0"/>
    <n v="19"/>
    <m/>
    <n v="0"/>
    <n v="0"/>
    <n v="0"/>
    <n v="0"/>
    <n v="9.5"/>
    <n v="9.5"/>
    <n v="0"/>
    <s v="Y"/>
    <n v="0"/>
    <n v="0"/>
    <n v="0"/>
    <n v="0"/>
    <n v="0"/>
    <s v="Whitton"/>
    <m/>
    <m/>
    <m/>
    <m/>
    <x v="0"/>
  </r>
  <r>
    <s v="16/3624/FUL"/>
    <s v="CON"/>
    <m/>
    <s v="12 Ellerker Gardens Richmond"/>
    <s v="The reversion of the existing premises (five studios and one x one bed flat) to a single family dwelling.  Further excavation of existing basement by approximately 1m in depth, external alterations to the property and removal of existing ground floor rea"/>
    <m/>
    <m/>
    <x v="2"/>
    <s v="Open Market"/>
    <n v="518104"/>
    <n v="174404"/>
    <m/>
    <n v="6"/>
    <n v="0"/>
    <n v="0"/>
    <n v="0"/>
    <m/>
    <m/>
    <m/>
    <n v="6"/>
    <m/>
    <n v="0"/>
    <n v="0"/>
    <n v="0"/>
    <n v="1"/>
    <m/>
    <m/>
    <m/>
    <n v="1"/>
    <m/>
    <n v="-6"/>
    <n v="0"/>
    <n v="0"/>
    <n v="1"/>
    <n v="0"/>
    <n v="0"/>
    <n v="0"/>
    <n v="-5"/>
    <m/>
    <n v="0"/>
    <n v="-1.25"/>
    <n v="-1.25"/>
    <n v="-1.25"/>
    <n v="-1.25"/>
    <n v="0"/>
    <n v="0"/>
    <s v="Y"/>
    <n v="0"/>
    <n v="0"/>
    <n v="0"/>
    <n v="0"/>
    <n v="0"/>
    <s v="South Richmond"/>
    <m/>
    <m/>
    <m/>
    <m/>
    <x v="0"/>
  </r>
  <r>
    <s v="16/4127/FUL"/>
    <s v="CON"/>
    <m/>
    <s v="Weir Cottage_x000a_5 Broom Road_x000a_Teddington"/>
    <s v="Conversion of property into two residential units (1 x 2 bed house and 1 x 3 bed house) with associated alterations to fenestration arrangements; Levelling of ground level; new canopy structure to east elevation and enlargement of rear terrace at ground"/>
    <m/>
    <m/>
    <x v="2"/>
    <s v="Open Market"/>
    <n v="516719"/>
    <n v="171329"/>
    <m/>
    <n v="0"/>
    <n v="0"/>
    <n v="0"/>
    <n v="0"/>
    <n v="1"/>
    <m/>
    <m/>
    <n v="1"/>
    <m/>
    <n v="0"/>
    <n v="1"/>
    <n v="1"/>
    <n v="0"/>
    <m/>
    <m/>
    <m/>
    <n v="2"/>
    <m/>
    <n v="0"/>
    <n v="1"/>
    <n v="1"/>
    <n v="0"/>
    <n v="-1"/>
    <n v="0"/>
    <n v="0"/>
    <n v="1"/>
    <m/>
    <n v="0"/>
    <n v="0.25"/>
    <n v="0.25"/>
    <n v="0.25"/>
    <n v="0.25"/>
    <n v="0"/>
    <n v="0"/>
    <s v="Y"/>
    <n v="0"/>
    <n v="0"/>
    <n v="0"/>
    <n v="0"/>
    <n v="0"/>
    <s v="Teddington"/>
    <m/>
    <m/>
    <m/>
    <s v="Thames Policy Area"/>
    <x v="0"/>
  </r>
  <r>
    <s v="16/4203/GPD13"/>
    <s v="CHU"/>
    <m/>
    <s v="34-36 High Street_x000d_Whitton_x000d_Twickenham_x000d_TW2 7LT_x000d_"/>
    <s v="Prior approval for conversion of rear part of shop (Use Class A1) to a self-contained residential unit (Use Class C3) including alterations to insert new doors and windows."/>
    <m/>
    <m/>
    <x v="2"/>
    <s v="Open Market"/>
    <n v="514166"/>
    <n v="173881"/>
    <m/>
    <n v="0"/>
    <n v="0"/>
    <n v="0"/>
    <n v="0"/>
    <m/>
    <m/>
    <m/>
    <n v="0"/>
    <m/>
    <n v="1"/>
    <n v="0"/>
    <n v="0"/>
    <n v="0"/>
    <m/>
    <m/>
    <m/>
    <n v="1"/>
    <m/>
    <n v="1"/>
    <n v="0"/>
    <n v="0"/>
    <n v="0"/>
    <n v="0"/>
    <n v="0"/>
    <n v="0"/>
    <n v="1"/>
    <m/>
    <n v="0"/>
    <n v="0.25"/>
    <n v="0.25"/>
    <n v="0.25"/>
    <n v="0.25"/>
    <n v="0"/>
    <n v="0"/>
    <s v="Y"/>
    <n v="0"/>
    <n v="0"/>
    <n v="0"/>
    <n v="0"/>
    <n v="0"/>
    <s v="Whitton"/>
    <m/>
    <m/>
    <s v="Whitton"/>
    <m/>
    <x v="0"/>
  </r>
  <r>
    <s v="16/4384/FUL"/>
    <s v="NEW"/>
    <m/>
    <s v="Land Junction Of North Worple Way And Wrights Walk Rear Of 31 Alder Road Mortlake"/>
    <s v="Demolition of the existing garage and erection of a new partially sunken one-bedroom, single-storey dwelling, and provision of a new boundary wall and entrance gate."/>
    <m/>
    <m/>
    <x v="2"/>
    <s v="Open Market"/>
    <n v="520624"/>
    <n v="175780"/>
    <m/>
    <n v="0"/>
    <n v="0"/>
    <n v="0"/>
    <n v="0"/>
    <m/>
    <m/>
    <m/>
    <n v="0"/>
    <m/>
    <n v="1"/>
    <n v="0"/>
    <n v="0"/>
    <n v="0"/>
    <m/>
    <m/>
    <m/>
    <n v="1"/>
    <m/>
    <n v="1"/>
    <n v="0"/>
    <n v="0"/>
    <n v="0"/>
    <n v="0"/>
    <n v="0"/>
    <n v="0"/>
    <n v="1"/>
    <m/>
    <n v="0"/>
    <n v="0"/>
    <n v="0.33333333333333331"/>
    <n v="0.33333333333333331"/>
    <n v="0.33333333333333331"/>
    <n v="0"/>
    <n v="0"/>
    <s v="Y"/>
    <n v="0"/>
    <n v="0"/>
    <n v="0"/>
    <n v="0"/>
    <n v="0"/>
    <s v="Mortlake and Barnes Common"/>
    <m/>
    <m/>
    <m/>
    <m/>
    <x v="1"/>
  </r>
  <r>
    <s v="16/4553/FUL"/>
    <s v="NEW"/>
    <m/>
    <s v="63 - 71 High Street Hampton Hill"/>
    <s v="Demolition of existing buildings on site and erection 2 buildings (two to four-storeys in height), set around outer and inner landscaped courtyards, comprising of 6 townhouses, 35 flats and two commercial units on the High Street frontage (110 sq.m GIA)"/>
    <m/>
    <m/>
    <x v="2"/>
    <s v="Open Market"/>
    <n v="514240"/>
    <n v="170830"/>
    <m/>
    <n v="2"/>
    <n v="1"/>
    <n v="0"/>
    <n v="0"/>
    <m/>
    <m/>
    <m/>
    <n v="3"/>
    <n v="1"/>
    <n v="17"/>
    <n v="17"/>
    <n v="5"/>
    <n v="0"/>
    <m/>
    <m/>
    <m/>
    <n v="41"/>
    <n v="1"/>
    <n v="15"/>
    <n v="16"/>
    <n v="5"/>
    <n v="0"/>
    <n v="0"/>
    <n v="0"/>
    <n v="0"/>
    <n v="38"/>
    <m/>
    <n v="0"/>
    <n v="0"/>
    <n v="12.666666666666666"/>
    <n v="12.666666666666666"/>
    <n v="12.666666666666666"/>
    <n v="0"/>
    <n v="0"/>
    <s v="Y"/>
    <n v="0"/>
    <n v="0"/>
    <n v="0"/>
    <n v="0"/>
    <n v="0"/>
    <s v="Fulwell and Hampton Hill"/>
    <m/>
    <s v="High Street"/>
    <m/>
    <m/>
    <x v="0"/>
  </r>
  <r>
    <s v="16/4587/FUL"/>
    <s v="CHU"/>
    <m/>
    <s v="24 Christchurch Road East Sheen SW14 7AA"/>
    <s v="Proposed conversion of garden studio to one person residential studio incorporating the extension of depth and height of existing garden studio in order to create a first floor level, with installation of a rooflight to the eastern roofslope and a roofli"/>
    <m/>
    <m/>
    <x v="2"/>
    <s v="Open Market"/>
    <n v="520283"/>
    <n v="175017"/>
    <m/>
    <n v="0"/>
    <n v="0"/>
    <n v="0"/>
    <n v="0"/>
    <m/>
    <m/>
    <m/>
    <n v="0"/>
    <n v="1"/>
    <n v="0"/>
    <n v="0"/>
    <n v="0"/>
    <n v="0"/>
    <m/>
    <m/>
    <m/>
    <n v="1"/>
    <n v="1"/>
    <n v="0"/>
    <n v="0"/>
    <n v="0"/>
    <n v="0"/>
    <n v="0"/>
    <n v="0"/>
    <n v="0"/>
    <n v="1"/>
    <m/>
    <n v="0"/>
    <n v="0.25"/>
    <n v="0.25"/>
    <n v="0.25"/>
    <n v="0.25"/>
    <n v="0"/>
    <n v="0"/>
    <s v="Y"/>
    <n v="0"/>
    <n v="0"/>
    <n v="0"/>
    <n v="0"/>
    <n v="0"/>
    <s v="East Sheen"/>
    <m/>
    <m/>
    <m/>
    <m/>
    <x v="0"/>
  </r>
  <r>
    <s v="16/4635/FUL"/>
    <s v="NEW"/>
    <m/>
    <s v="Land Rear Of 12 To 36 Vincam Close Twickenham"/>
    <s v="Construction of a three bedroom single storey dwelling with associated hard and soft landscaping, parking and access road (bollard lit)"/>
    <m/>
    <m/>
    <x v="2"/>
    <s v="Open Market"/>
    <n v="513432"/>
    <n v="173849"/>
    <m/>
    <n v="0"/>
    <n v="0"/>
    <n v="0"/>
    <n v="0"/>
    <m/>
    <m/>
    <m/>
    <n v="0"/>
    <m/>
    <n v="0"/>
    <n v="0"/>
    <n v="1"/>
    <n v="0"/>
    <m/>
    <m/>
    <m/>
    <n v="1"/>
    <m/>
    <n v="0"/>
    <n v="0"/>
    <n v="1"/>
    <n v="0"/>
    <n v="0"/>
    <n v="0"/>
    <n v="0"/>
    <n v="1"/>
    <m/>
    <n v="0"/>
    <n v="0"/>
    <n v="0.33333333333333331"/>
    <n v="0.33333333333333331"/>
    <n v="0.33333333333333331"/>
    <n v="0"/>
    <n v="0"/>
    <s v="Y"/>
    <n v="0"/>
    <n v="0"/>
    <n v="0"/>
    <n v="0"/>
    <n v="0"/>
    <s v="Whitton"/>
    <m/>
    <m/>
    <m/>
    <m/>
    <x v="0"/>
  </r>
  <r>
    <s v="16/4772/GPD15"/>
    <s v="CHU"/>
    <s v="PA"/>
    <s v="52 - 64 Heath Road_x000a_Twickenham"/>
    <s v="Change of use of first floor from B1 office use to C3 residential use comprising 9 units (8 x 1 bed and 1 x 2 bed flats)"/>
    <m/>
    <m/>
    <x v="2"/>
    <s v="Open Market"/>
    <n v="515974"/>
    <n v="173142"/>
    <m/>
    <n v="0"/>
    <n v="0"/>
    <n v="0"/>
    <n v="0"/>
    <m/>
    <m/>
    <m/>
    <n v="0"/>
    <m/>
    <n v="8"/>
    <n v="1"/>
    <n v="0"/>
    <n v="0"/>
    <m/>
    <m/>
    <m/>
    <n v="9"/>
    <m/>
    <n v="8"/>
    <n v="1"/>
    <n v="0"/>
    <n v="0"/>
    <n v="0"/>
    <n v="0"/>
    <n v="0"/>
    <n v="9"/>
    <m/>
    <n v="0"/>
    <n v="2.25"/>
    <n v="2.25"/>
    <n v="2.25"/>
    <n v="2.25"/>
    <n v="0"/>
    <n v="0"/>
    <s v="Y"/>
    <n v="0"/>
    <n v="0"/>
    <n v="0"/>
    <n v="0"/>
    <n v="0"/>
    <s v="Twickenham Riverside"/>
    <m/>
    <m/>
    <s v="Twickenham"/>
    <m/>
    <x v="0"/>
  </r>
  <r>
    <s v="16/4902/FUL"/>
    <s v="NEW"/>
    <m/>
    <s v="91 Sheen Road Richmond TW9 1YJ"/>
    <s v="Construction of a two storey, one bed dwelling-house along with associated cycle storage, car parking and landscaping."/>
    <m/>
    <m/>
    <x v="2"/>
    <s v="Open Market"/>
    <n v="518494"/>
    <n v="175035"/>
    <m/>
    <n v="0"/>
    <n v="0"/>
    <n v="0"/>
    <n v="0"/>
    <m/>
    <m/>
    <m/>
    <n v="0"/>
    <m/>
    <n v="1"/>
    <n v="0"/>
    <n v="0"/>
    <n v="0"/>
    <m/>
    <m/>
    <m/>
    <n v="1"/>
    <m/>
    <n v="1"/>
    <n v="0"/>
    <n v="0"/>
    <n v="0"/>
    <n v="0"/>
    <n v="0"/>
    <n v="0"/>
    <n v="1"/>
    <m/>
    <n v="0"/>
    <n v="0"/>
    <n v="0.33333333333333331"/>
    <n v="0.33333333333333331"/>
    <n v="0.33333333333333331"/>
    <n v="0"/>
    <n v="0"/>
    <s v="Y"/>
    <n v="0"/>
    <n v="0"/>
    <n v="0"/>
    <n v="0"/>
    <n v="0"/>
    <s v="South Richmond"/>
    <m/>
    <m/>
    <m/>
    <m/>
    <x v="0"/>
  </r>
  <r>
    <s v="16/4932/GPD15"/>
    <s v="CHU"/>
    <s v="PA"/>
    <s v="1 Mount Mews_x000a_Hampton_x000a_TW12 2SH"/>
    <s v="Change of use from B1( office use) to C3 (residential - 2 x 2 bed self contained flats)"/>
    <m/>
    <m/>
    <x v="2"/>
    <s v="Open Market"/>
    <n v="513973"/>
    <n v="169575"/>
    <m/>
    <n v="0"/>
    <n v="0"/>
    <n v="0"/>
    <n v="0"/>
    <m/>
    <m/>
    <m/>
    <n v="0"/>
    <m/>
    <n v="0"/>
    <n v="2"/>
    <n v="0"/>
    <n v="0"/>
    <m/>
    <m/>
    <m/>
    <n v="2"/>
    <m/>
    <n v="0"/>
    <n v="2"/>
    <n v="0"/>
    <n v="0"/>
    <n v="0"/>
    <n v="0"/>
    <n v="0"/>
    <n v="2"/>
    <m/>
    <n v="0"/>
    <n v="0.5"/>
    <n v="0.5"/>
    <n v="0.5"/>
    <n v="0.5"/>
    <n v="0"/>
    <n v="0"/>
    <s v="Y"/>
    <n v="0"/>
    <n v="0"/>
    <n v="0"/>
    <n v="0"/>
    <n v="0"/>
    <s v="Hampton"/>
    <m/>
    <s v="Thames Street"/>
    <m/>
    <m/>
    <x v="0"/>
  </r>
  <r>
    <s v="17/0315/FUL"/>
    <s v="MIX"/>
    <m/>
    <s v="Willoughby House 439 Richmond Road Twickenham TW1 2AG"/>
    <s v="Part change of use of ground and first floor from B1 office use to C3  residential use to provide 2 x 2 bedroom duplex units.  Alterations and extension to facilitate the provision of additional B1 office use and C3 residential use at second floor level"/>
    <m/>
    <m/>
    <x v="2"/>
    <s v="Open Market"/>
    <n v="517591"/>
    <n v="174434"/>
    <m/>
    <n v="0"/>
    <n v="0"/>
    <n v="0"/>
    <n v="0"/>
    <m/>
    <m/>
    <m/>
    <n v="0"/>
    <m/>
    <n v="3"/>
    <n v="1"/>
    <n v="0"/>
    <n v="0"/>
    <m/>
    <m/>
    <m/>
    <n v="4"/>
    <m/>
    <n v="3"/>
    <n v="1"/>
    <n v="0"/>
    <n v="0"/>
    <n v="0"/>
    <n v="0"/>
    <n v="0"/>
    <n v="4"/>
    <m/>
    <n v="0"/>
    <n v="0"/>
    <n v="1.3333333333333333"/>
    <n v="1.3333333333333333"/>
    <n v="1.3333333333333333"/>
    <n v="0"/>
    <n v="0"/>
    <s v="Y"/>
    <n v="0"/>
    <n v="0"/>
    <n v="0"/>
    <n v="0"/>
    <n v="0"/>
    <s v="Twickenham Riverside"/>
    <m/>
    <s v="East Twickenham"/>
    <m/>
    <m/>
    <x v="0"/>
  </r>
  <r>
    <s v="17/0323/FUL"/>
    <s v="NEW"/>
    <m/>
    <s v="Courtyard Apartments_x000a_70B Hampton Road_x000a_Teddington"/>
    <s v="Erection of a three-storey building to provide  4 two-bedroom residential units (Class C3) separate refuse facilities and altered parking layout."/>
    <m/>
    <m/>
    <x v="2"/>
    <s v="Open Market"/>
    <n v="514687"/>
    <n v="171290"/>
    <m/>
    <n v="0"/>
    <n v="0"/>
    <n v="0"/>
    <n v="0"/>
    <m/>
    <m/>
    <m/>
    <n v="0"/>
    <m/>
    <n v="0"/>
    <n v="4"/>
    <n v="0"/>
    <n v="0"/>
    <m/>
    <m/>
    <m/>
    <n v="4"/>
    <m/>
    <n v="0"/>
    <n v="4"/>
    <n v="0"/>
    <n v="0"/>
    <n v="0"/>
    <n v="0"/>
    <n v="0"/>
    <n v="4"/>
    <m/>
    <n v="0"/>
    <n v="0"/>
    <n v="1.3333333333333333"/>
    <n v="1.3333333333333333"/>
    <n v="1.3333333333333333"/>
    <n v="0"/>
    <n v="0"/>
    <s v="Y"/>
    <n v="0"/>
    <n v="0"/>
    <n v="0"/>
    <n v="0"/>
    <n v="0"/>
    <s v="Fulwell and Hampton Hill"/>
    <m/>
    <m/>
    <m/>
    <m/>
    <x v="0"/>
  </r>
  <r>
    <s v="17/0330/FUL"/>
    <s v="NEW"/>
    <m/>
    <s v="58 Munster Road_x000a_Teddington_x000a_TW11 9LL"/>
    <s v="1 no. 2 storey 6-bedroom dwellinghouse with rooms in the roof and 1 no. one storey with basement 5-bedroom dwelling house (following demolition of existing dwelling at No.58 Munster Road), and associated refuse/recycling store, cycle parking and parking"/>
    <m/>
    <m/>
    <x v="2"/>
    <s v="Open Market"/>
    <n v="517123"/>
    <n v="170663"/>
    <m/>
    <n v="0"/>
    <n v="0"/>
    <n v="0"/>
    <n v="1"/>
    <m/>
    <m/>
    <m/>
    <n v="1"/>
    <m/>
    <n v="0"/>
    <n v="0"/>
    <n v="0"/>
    <n v="0"/>
    <n v="1"/>
    <n v="1"/>
    <m/>
    <n v="2"/>
    <m/>
    <n v="0"/>
    <n v="0"/>
    <n v="0"/>
    <n v="-1"/>
    <n v="1"/>
    <n v="1"/>
    <n v="0"/>
    <n v="1"/>
    <m/>
    <n v="0"/>
    <n v="0"/>
    <n v="0.33333333333333331"/>
    <n v="0.33333333333333331"/>
    <n v="0.33333333333333331"/>
    <n v="0"/>
    <n v="0"/>
    <s v="Y"/>
    <n v="0"/>
    <n v="0"/>
    <n v="0"/>
    <n v="0"/>
    <n v="0"/>
    <s v="Hampton Wick"/>
    <m/>
    <m/>
    <m/>
    <m/>
    <x v="1"/>
  </r>
  <r>
    <s v="17/0341/GPD13"/>
    <s v="CHU"/>
    <s v="PA"/>
    <s v="Teddington Garden Centre_x000a_Station Road_x000a_Teddington_x000a_TW11 9AA"/>
    <s v="Change of use from retail (Use Class A1) to 1 residential unit (Use Class C3) with associated cycle and refuse provision."/>
    <m/>
    <m/>
    <x v="2"/>
    <s v="Open Market"/>
    <n v="516015"/>
    <n v="170858"/>
    <m/>
    <n v="0"/>
    <n v="0"/>
    <n v="0"/>
    <n v="0"/>
    <m/>
    <m/>
    <m/>
    <n v="0"/>
    <m/>
    <n v="0"/>
    <n v="0"/>
    <n v="1"/>
    <n v="0"/>
    <m/>
    <m/>
    <m/>
    <n v="1"/>
    <m/>
    <n v="0"/>
    <n v="0"/>
    <n v="1"/>
    <n v="0"/>
    <n v="0"/>
    <n v="0"/>
    <n v="0"/>
    <n v="1"/>
    <m/>
    <n v="0"/>
    <n v="0.25"/>
    <n v="0.25"/>
    <n v="0.25"/>
    <n v="0.25"/>
    <n v="0"/>
    <n v="0"/>
    <s v="Y"/>
    <n v="0"/>
    <n v="0"/>
    <n v="0"/>
    <n v="0"/>
    <n v="0"/>
    <s v="Teddington"/>
    <m/>
    <m/>
    <s v="Teddington"/>
    <m/>
    <x v="0"/>
  </r>
  <r>
    <s v="17/0346/FUL"/>
    <s v="CON"/>
    <m/>
    <s v="49 Manor Road Richmond TW9 1YA"/>
    <s v="Subdivision of house (C3) to form 2 no. 2-bed flats (C3), ground floor infill side extension, to the rear of property, with windows to north elevation and hip to gable roof extension, rear facing dormer, including 2 No. front facing rooflights, following"/>
    <d v="2017-11-01T00:00:00"/>
    <m/>
    <x v="2"/>
    <s v="Open Market"/>
    <n v="519014"/>
    <n v="175279"/>
    <m/>
    <n v="0"/>
    <n v="0"/>
    <n v="0"/>
    <n v="1"/>
    <m/>
    <m/>
    <m/>
    <n v="1"/>
    <m/>
    <n v="0"/>
    <n v="2"/>
    <n v="0"/>
    <n v="0"/>
    <m/>
    <m/>
    <m/>
    <n v="2"/>
    <m/>
    <n v="0"/>
    <n v="2"/>
    <n v="0"/>
    <n v="-1"/>
    <n v="0"/>
    <n v="0"/>
    <n v="0"/>
    <n v="1"/>
    <m/>
    <n v="0"/>
    <n v="1"/>
    <n v="0"/>
    <n v="0"/>
    <n v="0"/>
    <n v="0"/>
    <n v="0"/>
    <n v="0"/>
    <n v="0"/>
    <n v="0"/>
    <n v="0"/>
    <n v="0"/>
    <n v="0"/>
    <s v="North Richmond"/>
    <m/>
    <m/>
    <m/>
    <m/>
    <x v="0"/>
  </r>
  <r>
    <s v="17/0460/FUL"/>
    <s v="CON"/>
    <m/>
    <s v="45 Castelnau Barnes SW13 9RT"/>
    <s v="Reversion of 4no. flats to a single family dwellinghouse."/>
    <m/>
    <m/>
    <x v="2"/>
    <s v="Open Market"/>
    <n v="522418"/>
    <n v="176934"/>
    <m/>
    <n v="3"/>
    <n v="0"/>
    <n v="0"/>
    <n v="0"/>
    <n v="1"/>
    <m/>
    <m/>
    <n v="4"/>
    <m/>
    <n v="0"/>
    <n v="0"/>
    <n v="0"/>
    <n v="0"/>
    <m/>
    <m/>
    <n v="1"/>
    <n v="1"/>
    <m/>
    <n v="-3"/>
    <n v="0"/>
    <n v="0"/>
    <n v="0"/>
    <n v="-1"/>
    <n v="0"/>
    <n v="1"/>
    <n v="-3"/>
    <m/>
    <n v="0"/>
    <n v="-0.75"/>
    <n v="-0.75"/>
    <n v="-0.75"/>
    <n v="-0.75"/>
    <n v="0"/>
    <n v="0"/>
    <s v="Y"/>
    <n v="0"/>
    <n v="0"/>
    <n v="0"/>
    <n v="0"/>
    <n v="0"/>
    <s v="Barnes"/>
    <m/>
    <m/>
    <m/>
    <m/>
    <x v="0"/>
  </r>
  <r>
    <s v="17/0600/FUL"/>
    <s v="CHU"/>
    <m/>
    <s v="2-4 Heath Road Twickenham TW1 4BZ"/>
    <s v="Change of use from existing open hall (D1) into 2 x residential apartments (C3)."/>
    <m/>
    <m/>
    <x v="2"/>
    <s v="Open Market"/>
    <n v="516126"/>
    <n v="173185"/>
    <m/>
    <n v="0"/>
    <n v="0"/>
    <n v="0"/>
    <n v="0"/>
    <m/>
    <m/>
    <m/>
    <n v="0"/>
    <m/>
    <n v="2"/>
    <n v="0"/>
    <n v="0"/>
    <n v="0"/>
    <m/>
    <m/>
    <m/>
    <n v="2"/>
    <m/>
    <n v="2"/>
    <n v="0"/>
    <n v="0"/>
    <n v="0"/>
    <n v="0"/>
    <n v="0"/>
    <n v="0"/>
    <n v="2"/>
    <m/>
    <n v="0"/>
    <n v="0.5"/>
    <n v="0.5"/>
    <n v="0.5"/>
    <n v="0.5"/>
    <n v="0"/>
    <n v="0"/>
    <s v="Y"/>
    <n v="0"/>
    <n v="0"/>
    <n v="0"/>
    <n v="0"/>
    <n v="0"/>
    <s v="Twickenham Riverside"/>
    <m/>
    <m/>
    <s v="Twickenham"/>
    <m/>
    <x v="0"/>
  </r>
  <r>
    <s v="17/0733/FUL"/>
    <s v="CON"/>
    <m/>
    <s v="26 Colston Road East Sheen SW14 7PG"/>
    <s v="Alterations incorporating rear dormer, rooflights to front roofslope and external stairs to rear.  Alterations to create a 1-bed flat on the first floor, a 2-bed duplex flat on the second and third floor roof extension. Division of the rear roof terrace"/>
    <m/>
    <m/>
    <x v="2"/>
    <s v="Open Market"/>
    <n v="520325"/>
    <n v="175316"/>
    <m/>
    <n v="0"/>
    <n v="0"/>
    <n v="1"/>
    <n v="0"/>
    <m/>
    <m/>
    <m/>
    <n v="1"/>
    <m/>
    <n v="1"/>
    <n v="1"/>
    <n v="0"/>
    <n v="0"/>
    <m/>
    <m/>
    <m/>
    <n v="2"/>
    <m/>
    <n v="1"/>
    <n v="1"/>
    <n v="-1"/>
    <n v="0"/>
    <n v="0"/>
    <n v="0"/>
    <n v="0"/>
    <n v="1"/>
    <m/>
    <n v="0"/>
    <n v="0.25"/>
    <n v="0.25"/>
    <n v="0.25"/>
    <n v="0.25"/>
    <n v="0"/>
    <n v="0"/>
    <s v="Y"/>
    <n v="0"/>
    <n v="0"/>
    <n v="0"/>
    <n v="0"/>
    <n v="0"/>
    <s v="East Sheen"/>
    <m/>
    <m/>
    <s v="East Sheen"/>
    <m/>
    <x v="0"/>
  </r>
  <r>
    <s v="17/0788/FUL"/>
    <s v="NEW"/>
    <m/>
    <s v="High Wigsell 35 Twickenham Road Teddington"/>
    <s v="Demolition of lock up garages to provide 1 no. detached 4 bedroom dwellinghouse with associated parking, cycle and refuse stores, new boundary fence and hard and soft landscaping."/>
    <m/>
    <m/>
    <x v="2"/>
    <s v="Open Market"/>
    <n v="516399"/>
    <n v="171470"/>
    <m/>
    <n v="0"/>
    <n v="0"/>
    <n v="0"/>
    <n v="0"/>
    <m/>
    <m/>
    <m/>
    <n v="0"/>
    <m/>
    <n v="0"/>
    <n v="0"/>
    <n v="0"/>
    <n v="1"/>
    <m/>
    <m/>
    <m/>
    <n v="1"/>
    <m/>
    <n v="0"/>
    <n v="0"/>
    <n v="0"/>
    <n v="1"/>
    <n v="0"/>
    <n v="0"/>
    <n v="0"/>
    <n v="1"/>
    <m/>
    <n v="0"/>
    <n v="0"/>
    <n v="0.33333333333333331"/>
    <n v="0.33333333333333331"/>
    <n v="0.33333333333333331"/>
    <n v="0"/>
    <n v="0"/>
    <s v="Y"/>
    <n v="0"/>
    <n v="0"/>
    <n v="0"/>
    <n v="0"/>
    <n v="0"/>
    <s v="Teddington"/>
    <m/>
    <m/>
    <m/>
    <m/>
    <x v="0"/>
  </r>
  <r>
    <s v="17/0798/FUL"/>
    <s v="NEW"/>
    <m/>
    <s v="25 Cedar Avenue_x000a_Twickenham_x000a_TW2 7HD"/>
    <s v="Demolition of the existing detached bungalow and all outbuildings on site together with infill of the existing ponds to facilitate the construction of a pair of four bedroom semi-detached houses with associated boundary treatment, car parking, bin storag"/>
    <m/>
    <m/>
    <x v="2"/>
    <s v="Open Market"/>
    <n v="514058"/>
    <n v="174409"/>
    <m/>
    <n v="0"/>
    <n v="0"/>
    <n v="0"/>
    <n v="1"/>
    <m/>
    <m/>
    <m/>
    <n v="1"/>
    <m/>
    <n v="0"/>
    <n v="0"/>
    <n v="0"/>
    <n v="2"/>
    <m/>
    <m/>
    <m/>
    <n v="2"/>
    <m/>
    <n v="0"/>
    <n v="0"/>
    <n v="0"/>
    <n v="1"/>
    <n v="0"/>
    <n v="0"/>
    <n v="0"/>
    <n v="1"/>
    <m/>
    <n v="0"/>
    <n v="0"/>
    <n v="0.33333333333333331"/>
    <n v="0.33333333333333331"/>
    <n v="0.33333333333333331"/>
    <n v="0"/>
    <n v="0"/>
    <s v="Y"/>
    <n v="0"/>
    <n v="0"/>
    <n v="0"/>
    <n v="0"/>
    <n v="0"/>
    <s v="Whitton"/>
    <m/>
    <m/>
    <m/>
    <m/>
    <x v="1"/>
  </r>
  <r>
    <s v="17/1033/FUL"/>
    <s v="NEW"/>
    <m/>
    <s v="Lockcorp House 75 Norcutt Road Twickenham TW2 6SR"/>
    <s v="Demolition of Lockcorp House; erection of a part four, part five-storey building comprising  9 no. student cluster flats (49 study/bedrooms in total); three car parking spaces including one disabled space, ancillary cycle and refuse storage and landscapi"/>
    <m/>
    <m/>
    <x v="2"/>
    <s v="Open Market"/>
    <n v="515337"/>
    <n v="173383"/>
    <m/>
    <n v="0"/>
    <n v="0"/>
    <n v="0"/>
    <n v="0"/>
    <m/>
    <m/>
    <m/>
    <n v="0"/>
    <m/>
    <n v="0"/>
    <n v="0"/>
    <n v="0"/>
    <n v="1"/>
    <n v="3"/>
    <n v="5"/>
    <m/>
    <n v="9"/>
    <m/>
    <n v="0"/>
    <n v="0"/>
    <n v="0"/>
    <n v="1"/>
    <n v="3"/>
    <n v="5"/>
    <n v="0"/>
    <n v="9"/>
    <m/>
    <n v="0"/>
    <n v="4.5"/>
    <n v="4.5"/>
    <n v="0"/>
    <n v="0"/>
    <n v="0"/>
    <n v="0"/>
    <s v="Y"/>
    <n v="0"/>
    <n v="0"/>
    <n v="0"/>
    <n v="0"/>
    <n v="0"/>
    <s v="South Twickenham"/>
    <m/>
    <m/>
    <m/>
    <m/>
    <x v="0"/>
  </r>
  <r>
    <s v="17/1139/GPD15"/>
    <s v="CHU"/>
    <m/>
    <s v="108 Sherland Road_x000d_Twickenham_x000d_TW1 4HD_x000d_"/>
    <s v="Change of use of property from B1a (office use) to C3 (residential) to provide 1 no. 4 bedroom dwellinghouse"/>
    <m/>
    <m/>
    <x v="2"/>
    <s v="Open Market"/>
    <n v="516024"/>
    <n v="173277"/>
    <m/>
    <n v="0"/>
    <n v="0"/>
    <n v="0"/>
    <n v="0"/>
    <m/>
    <m/>
    <m/>
    <n v="0"/>
    <m/>
    <n v="0"/>
    <n v="0"/>
    <n v="0"/>
    <n v="1"/>
    <m/>
    <m/>
    <m/>
    <n v="1"/>
    <m/>
    <n v="0"/>
    <n v="0"/>
    <n v="0"/>
    <n v="1"/>
    <n v="0"/>
    <n v="0"/>
    <n v="0"/>
    <n v="1"/>
    <m/>
    <n v="0"/>
    <n v="0.25"/>
    <n v="0.25"/>
    <n v="0.25"/>
    <n v="0.25"/>
    <n v="0"/>
    <n v="0"/>
    <s v="Y"/>
    <n v="0"/>
    <n v="0"/>
    <n v="0"/>
    <n v="0"/>
    <n v="0"/>
    <s v="Twickenham Riverside"/>
    <m/>
    <m/>
    <m/>
    <m/>
    <x v="0"/>
  </r>
  <r>
    <s v="17/1285/GPD15"/>
    <s v="CHU"/>
    <s v="PA"/>
    <s v="First Floor_x000a_300 - 302 Sandycombe Road_x000a_Richmond"/>
    <s v="Change of use from B1 office to C3 residential."/>
    <m/>
    <m/>
    <x v="2"/>
    <s v="Open Market"/>
    <n v="519061"/>
    <n v="176662"/>
    <m/>
    <n v="0"/>
    <n v="0"/>
    <n v="0"/>
    <n v="0"/>
    <m/>
    <m/>
    <m/>
    <n v="0"/>
    <m/>
    <n v="0"/>
    <n v="2"/>
    <n v="0"/>
    <n v="0"/>
    <m/>
    <m/>
    <m/>
    <n v="2"/>
    <m/>
    <n v="0"/>
    <n v="2"/>
    <n v="0"/>
    <n v="0"/>
    <n v="0"/>
    <n v="0"/>
    <n v="0"/>
    <n v="2"/>
    <m/>
    <n v="0"/>
    <n v="0.5"/>
    <n v="0.5"/>
    <n v="0.5"/>
    <n v="0.5"/>
    <n v="0"/>
    <n v="0"/>
    <s v="Y"/>
    <n v="0"/>
    <n v="0"/>
    <n v="0"/>
    <n v="0"/>
    <n v="0"/>
    <s v="Kew"/>
    <m/>
    <m/>
    <m/>
    <m/>
    <x v="0"/>
  </r>
  <r>
    <s v="17/1371/FUL"/>
    <s v="CHU"/>
    <m/>
    <s v="2A Talbot Road Isleworth TW7 7HH"/>
    <s v="Change of use from B1(a) business use into a live/work (C3/B1 mixed use) unit."/>
    <m/>
    <m/>
    <x v="2"/>
    <s v="Open Market"/>
    <n v="516541"/>
    <n v="175254"/>
    <m/>
    <n v="0"/>
    <n v="0"/>
    <n v="0"/>
    <n v="0"/>
    <m/>
    <m/>
    <m/>
    <n v="0"/>
    <m/>
    <n v="1"/>
    <n v="0"/>
    <n v="0"/>
    <n v="0"/>
    <m/>
    <m/>
    <m/>
    <n v="1"/>
    <m/>
    <n v="1"/>
    <n v="0"/>
    <n v="0"/>
    <n v="0"/>
    <n v="0"/>
    <n v="0"/>
    <n v="0"/>
    <n v="1"/>
    <m/>
    <n v="0"/>
    <n v="0.25"/>
    <n v="0.25"/>
    <n v="0.25"/>
    <n v="0.25"/>
    <n v="0"/>
    <n v="0"/>
    <s v="Y"/>
    <n v="0"/>
    <n v="0"/>
    <n v="0"/>
    <n v="0"/>
    <n v="0"/>
    <s v="St. Margarets and North Twickenham"/>
    <m/>
    <m/>
    <m/>
    <m/>
    <x v="0"/>
  </r>
  <r>
    <s v="17/1453/FUL"/>
    <s v="CHU"/>
    <m/>
    <s v="100 Colne Road_x000a_Twickenham_x000a_TW2 6QE"/>
    <s v="Change of use of premises to live/work unit (mixed C3/B1(c) (sui generis)).  First floor extension. Erection of timber screening to existing roof terrace. Alterations to existing elevations."/>
    <m/>
    <m/>
    <x v="2"/>
    <s v="Open Market"/>
    <n v="515313"/>
    <n v="173179"/>
    <m/>
    <n v="0"/>
    <n v="0"/>
    <n v="0"/>
    <n v="0"/>
    <m/>
    <m/>
    <m/>
    <n v="0"/>
    <m/>
    <n v="1"/>
    <n v="0"/>
    <n v="0"/>
    <n v="0"/>
    <m/>
    <m/>
    <m/>
    <n v="1"/>
    <m/>
    <n v="1"/>
    <n v="0"/>
    <n v="0"/>
    <n v="0"/>
    <n v="0"/>
    <n v="0"/>
    <n v="0"/>
    <n v="1"/>
    <m/>
    <n v="0"/>
    <n v="0.25"/>
    <n v="0.25"/>
    <n v="0.25"/>
    <n v="0.25"/>
    <n v="0"/>
    <n v="0"/>
    <s v="Y"/>
    <n v="0"/>
    <n v="0"/>
    <n v="0"/>
    <n v="0"/>
    <n v="0"/>
    <s v="South Twickenham"/>
    <m/>
    <m/>
    <m/>
    <m/>
    <x v="0"/>
  </r>
  <r>
    <s v="17/1550/FUL"/>
    <s v="NEW"/>
    <m/>
    <s v="The Firs_x000a_Church Grove_x000a_Hampton Wick_x000a_Kingston Upon Thames_x000a_KT1 4AL"/>
    <s v="Demolition of existing building and erection of part two storey/part four storey building to provide 9 residential flats (6 x one bed, 3 x two bed) and new basement level to facilitate provision of underground parking and associated hard and soft landsca"/>
    <m/>
    <m/>
    <x v="2"/>
    <s v="Open Market"/>
    <n v="517393"/>
    <n v="169491"/>
    <m/>
    <n v="0"/>
    <n v="0"/>
    <n v="1"/>
    <n v="0"/>
    <m/>
    <m/>
    <m/>
    <n v="1"/>
    <m/>
    <n v="6"/>
    <n v="3"/>
    <n v="0"/>
    <n v="0"/>
    <m/>
    <m/>
    <m/>
    <n v="9"/>
    <m/>
    <n v="6"/>
    <n v="3"/>
    <n v="-1"/>
    <n v="0"/>
    <n v="0"/>
    <n v="0"/>
    <n v="0"/>
    <n v="8"/>
    <m/>
    <n v="0"/>
    <n v="0"/>
    <n v="2.6666666666666665"/>
    <n v="2.6666666666666665"/>
    <n v="2.6666666666666665"/>
    <n v="0"/>
    <n v="0"/>
    <s v="Y"/>
    <n v="0"/>
    <n v="0"/>
    <n v="0"/>
    <n v="0"/>
    <n v="0"/>
    <s v="Hampton Wick"/>
    <m/>
    <m/>
    <m/>
    <m/>
    <x v="0"/>
  </r>
  <r>
    <s v="17/1621/FUL"/>
    <s v="CHU"/>
    <m/>
    <s v="3 Union Court Sheen Road Richmond"/>
    <s v="Conversion of First Floor Offices (B1) to Residential (C3) and Remodelling of Second Floor Flat."/>
    <m/>
    <m/>
    <x v="2"/>
    <s v="Open Market"/>
    <n v="518053"/>
    <n v="174903"/>
    <m/>
    <n v="0"/>
    <n v="0"/>
    <n v="0"/>
    <n v="0"/>
    <m/>
    <m/>
    <m/>
    <n v="0"/>
    <m/>
    <n v="1"/>
    <n v="0"/>
    <n v="0"/>
    <n v="0"/>
    <m/>
    <m/>
    <m/>
    <n v="1"/>
    <m/>
    <n v="1"/>
    <n v="0"/>
    <n v="0"/>
    <n v="0"/>
    <n v="0"/>
    <n v="0"/>
    <n v="0"/>
    <n v="1"/>
    <m/>
    <n v="0"/>
    <n v="0.25"/>
    <n v="0.25"/>
    <n v="0.25"/>
    <n v="0.25"/>
    <n v="0"/>
    <n v="0"/>
    <s v="Y"/>
    <n v="0"/>
    <n v="0"/>
    <n v="0"/>
    <n v="0"/>
    <n v="0"/>
    <s v="South Richmond"/>
    <m/>
    <m/>
    <s v="Richmond"/>
    <m/>
    <x v="0"/>
  </r>
  <r>
    <s v="17/1782/FUL"/>
    <s v="NEW"/>
    <m/>
    <s v="8 Atbara Road_x000a_Teddington_x000a_TW11 9PD"/>
    <s v="Demolition of existing two-storey detached dwelling with basement, and construction of new three-storey detached dwelling with basement."/>
    <m/>
    <m/>
    <x v="2"/>
    <s v="Open Market"/>
    <n v="516874"/>
    <n v="170756"/>
    <m/>
    <n v="0"/>
    <n v="1"/>
    <n v="0"/>
    <n v="0"/>
    <m/>
    <m/>
    <m/>
    <n v="1"/>
    <m/>
    <n v="0"/>
    <n v="0"/>
    <n v="0"/>
    <n v="0"/>
    <n v="1"/>
    <m/>
    <m/>
    <n v="1"/>
    <m/>
    <n v="0"/>
    <n v="-1"/>
    <n v="0"/>
    <n v="0"/>
    <n v="1"/>
    <n v="0"/>
    <n v="0"/>
    <n v="0"/>
    <m/>
    <n v="0"/>
    <n v="0"/>
    <n v="0"/>
    <n v="0"/>
    <n v="0"/>
    <n v="0"/>
    <n v="0"/>
    <n v="0"/>
    <n v="0"/>
    <n v="0"/>
    <n v="0"/>
    <n v="0"/>
    <n v="0"/>
    <s v="Hampton Wick"/>
    <m/>
    <m/>
    <m/>
    <m/>
    <x v="0"/>
  </r>
  <r>
    <s v="17/1937/FUL"/>
    <s v="CHU"/>
    <m/>
    <s v="2 - 3 Stable Mews Twickenham"/>
    <s v="Demolition of the existing coach houses to allow for the erection of two dwellinghouses (1x 2b 4p and 1x 2b 3p) with internal cycle and refuse/recycle storages."/>
    <m/>
    <m/>
    <x v="2"/>
    <s v="Open Market"/>
    <n v="515790"/>
    <n v="173166"/>
    <m/>
    <n v="0"/>
    <n v="0"/>
    <n v="0"/>
    <n v="0"/>
    <m/>
    <m/>
    <m/>
    <n v="0"/>
    <m/>
    <n v="0"/>
    <n v="2"/>
    <n v="0"/>
    <n v="0"/>
    <m/>
    <m/>
    <m/>
    <n v="2"/>
    <m/>
    <n v="0"/>
    <n v="2"/>
    <n v="0"/>
    <n v="0"/>
    <n v="0"/>
    <n v="0"/>
    <n v="0"/>
    <n v="2"/>
    <m/>
    <n v="0"/>
    <n v="0.5"/>
    <n v="0.5"/>
    <n v="0.5"/>
    <n v="0.5"/>
    <n v="0"/>
    <n v="0"/>
    <s v="Y"/>
    <n v="0"/>
    <n v="0"/>
    <n v="0"/>
    <n v="0"/>
    <n v="0"/>
    <s v="South Twickenham"/>
    <m/>
    <m/>
    <s v="Twickenham"/>
    <m/>
    <x v="0"/>
  </r>
  <r>
    <s v="17/2314/FUL"/>
    <s v="NEW"/>
    <m/>
    <s v="34 Courtlands Avenue_x000a_Hampton_x000a_TW12 3NT"/>
    <s v="Demolition of the existing two storey detached house and replacement with a new  built three storey detached house with basement with associated hard and soft landscaping."/>
    <m/>
    <m/>
    <x v="2"/>
    <s v="Open Market"/>
    <n v="512725"/>
    <n v="170606"/>
    <m/>
    <n v="0"/>
    <n v="0"/>
    <n v="0"/>
    <n v="1"/>
    <m/>
    <m/>
    <m/>
    <n v="1"/>
    <m/>
    <n v="0"/>
    <n v="0"/>
    <n v="0"/>
    <n v="0"/>
    <n v="1"/>
    <m/>
    <m/>
    <n v="1"/>
    <m/>
    <n v="0"/>
    <n v="0"/>
    <n v="0"/>
    <n v="-1"/>
    <n v="1"/>
    <n v="0"/>
    <n v="0"/>
    <n v="0"/>
    <m/>
    <n v="0"/>
    <n v="0"/>
    <n v="0"/>
    <n v="0"/>
    <n v="0"/>
    <n v="0"/>
    <n v="0"/>
    <n v="0"/>
    <n v="0"/>
    <n v="0"/>
    <n v="0"/>
    <n v="0"/>
    <n v="0"/>
    <s v="Hampton North"/>
    <m/>
    <m/>
    <m/>
    <m/>
    <x v="0"/>
  </r>
  <r>
    <s v="17/2532/GPD15"/>
    <s v="CHU"/>
    <m/>
    <s v="The Coach House_x000d_273A Sandycombe Road_x000d_Richmond_x000d_TW9 3LU_x000d_"/>
    <s v="Prior approval for the change of use from office B1(a) to residential (C3) in the form of 5 no. units."/>
    <m/>
    <m/>
    <x v="2"/>
    <s v="Open Market"/>
    <n v="519113"/>
    <n v="176411"/>
    <m/>
    <n v="0"/>
    <n v="0"/>
    <n v="0"/>
    <n v="0"/>
    <m/>
    <m/>
    <m/>
    <n v="0"/>
    <n v="4"/>
    <n v="1"/>
    <n v="0"/>
    <n v="0"/>
    <n v="0"/>
    <m/>
    <m/>
    <m/>
    <n v="5"/>
    <n v="4"/>
    <n v="1"/>
    <n v="0"/>
    <n v="0"/>
    <n v="0"/>
    <n v="0"/>
    <n v="0"/>
    <n v="0"/>
    <n v="5"/>
    <m/>
    <n v="0"/>
    <n v="1.25"/>
    <n v="1.25"/>
    <n v="1.25"/>
    <n v="1.25"/>
    <n v="0"/>
    <n v="0"/>
    <s v="Y"/>
    <n v="0"/>
    <n v="0"/>
    <n v="0"/>
    <n v="0"/>
    <n v="0"/>
    <s v="Kew"/>
    <m/>
    <m/>
    <m/>
    <m/>
    <x v="0"/>
  </r>
  <r>
    <s v="17/2586/FUL"/>
    <s v="CON"/>
    <m/>
    <s v="First Floor Flat_x000a_18 Percival Road_x000a_East Sheen_x000a_London_x000a_SW14 7QE"/>
    <s v="Change of use from 2 no. flats back to a single family dwelling house."/>
    <m/>
    <m/>
    <x v="2"/>
    <s v="Open Market"/>
    <n v="520088"/>
    <n v="175029"/>
    <m/>
    <n v="2"/>
    <n v="0"/>
    <n v="0"/>
    <n v="0"/>
    <m/>
    <m/>
    <m/>
    <n v="2"/>
    <m/>
    <n v="0"/>
    <n v="0"/>
    <n v="1"/>
    <n v="0"/>
    <m/>
    <m/>
    <m/>
    <n v="1"/>
    <m/>
    <n v="-2"/>
    <n v="0"/>
    <n v="1"/>
    <n v="0"/>
    <n v="0"/>
    <n v="0"/>
    <n v="0"/>
    <n v="-1"/>
    <m/>
    <n v="0"/>
    <n v="-0.25"/>
    <n v="-0.25"/>
    <n v="-0.25"/>
    <n v="-0.25"/>
    <n v="0"/>
    <n v="0"/>
    <s v="Y"/>
    <n v="0"/>
    <n v="0"/>
    <n v="0"/>
    <n v="0"/>
    <n v="0"/>
    <s v="East Sheen"/>
    <m/>
    <m/>
    <m/>
    <m/>
    <x v="0"/>
  </r>
  <r>
    <s v="17/2597/GPD15"/>
    <s v="CHU"/>
    <s v="PA"/>
    <s v="West House 108 And East House 109_x000a_South Worple Way_x000a_East Sheen_x000a_London"/>
    <s v="Conversion of East and West House from B1(a) offices to 1 x 2 bed house (C3) (West House) and 2 x 2 bed flats (C3) (East House)."/>
    <m/>
    <m/>
    <x v="2"/>
    <s v="Open Market"/>
    <n v="520541"/>
    <n v="175760"/>
    <m/>
    <n v="0"/>
    <n v="0"/>
    <n v="0"/>
    <n v="0"/>
    <m/>
    <m/>
    <m/>
    <n v="0"/>
    <m/>
    <n v="0"/>
    <n v="3"/>
    <n v="0"/>
    <n v="0"/>
    <m/>
    <m/>
    <m/>
    <n v="3"/>
    <m/>
    <n v="0"/>
    <n v="3"/>
    <n v="0"/>
    <n v="0"/>
    <n v="0"/>
    <n v="0"/>
    <n v="0"/>
    <n v="3"/>
    <m/>
    <n v="0"/>
    <n v="0.75"/>
    <n v="0.75"/>
    <n v="0.75"/>
    <n v="0.75"/>
    <n v="0"/>
    <n v="0"/>
    <s v="Y"/>
    <n v="0"/>
    <n v="0"/>
    <n v="0"/>
    <n v="0"/>
    <n v="0"/>
    <s v="East Sheen"/>
    <m/>
    <m/>
    <s v="East Sheen"/>
    <m/>
    <x v="0"/>
  </r>
  <r>
    <s v="17/2680/FUL"/>
    <s v="NEW"/>
    <m/>
    <s v="4 Warwick Close Hampton TW12 2TY"/>
    <s v="Demolition of existing detached house and erection of 3no. new residential units comprising 2x 4 bedroom semi detached houses and 1x detached 5 bedroom house, together with associated landscaping and parking"/>
    <m/>
    <m/>
    <x v="2"/>
    <s v="Open Market"/>
    <n v="514169"/>
    <n v="170167"/>
    <m/>
    <n v="0"/>
    <n v="0"/>
    <n v="0"/>
    <n v="1"/>
    <m/>
    <m/>
    <m/>
    <n v="1"/>
    <m/>
    <n v="0"/>
    <n v="0"/>
    <n v="0"/>
    <n v="2"/>
    <n v="1"/>
    <m/>
    <m/>
    <n v="3"/>
    <m/>
    <n v="0"/>
    <n v="0"/>
    <n v="0"/>
    <n v="1"/>
    <n v="1"/>
    <n v="0"/>
    <n v="0"/>
    <n v="2"/>
    <m/>
    <n v="0"/>
    <n v="0"/>
    <n v="0.66666666666666663"/>
    <n v="0.66666666666666663"/>
    <n v="0.66666666666666663"/>
    <n v="0"/>
    <n v="0"/>
    <s v="Y"/>
    <n v="0"/>
    <n v="0"/>
    <n v="0"/>
    <n v="0"/>
    <n v="0"/>
    <s v="Hampton"/>
    <m/>
    <m/>
    <m/>
    <m/>
    <x v="1"/>
  </r>
  <r>
    <s v="17/2693/GPD15"/>
    <s v="CHU"/>
    <s v="PA"/>
    <s v="246 Upper Richmond Road West_x000a_East Sheen_x000a_London_x000a_SW14 8AG"/>
    <s v="Change of use from Class B1(a) office to Class C3 residential."/>
    <m/>
    <m/>
    <x v="2"/>
    <s v="Open Market"/>
    <n v="520531"/>
    <n v="175416"/>
    <m/>
    <n v="0"/>
    <n v="0"/>
    <n v="0"/>
    <n v="0"/>
    <m/>
    <m/>
    <m/>
    <n v="0"/>
    <m/>
    <n v="1"/>
    <n v="0"/>
    <n v="0"/>
    <n v="0"/>
    <m/>
    <m/>
    <m/>
    <n v="1"/>
    <m/>
    <n v="1"/>
    <n v="0"/>
    <n v="0"/>
    <n v="0"/>
    <n v="0"/>
    <n v="0"/>
    <n v="0"/>
    <n v="1"/>
    <m/>
    <n v="0"/>
    <n v="0.25"/>
    <n v="0.25"/>
    <n v="0.25"/>
    <n v="0.25"/>
    <n v="0"/>
    <n v="0"/>
    <s v="Y"/>
    <n v="0"/>
    <n v="0"/>
    <n v="0"/>
    <n v="0"/>
    <n v="0"/>
    <s v="East Sheen"/>
    <m/>
    <m/>
    <s v="East Sheen"/>
    <m/>
    <x v="0"/>
  </r>
  <r>
    <s v="17/2957/FUL"/>
    <s v="CON"/>
    <m/>
    <s v="4A New Broadway_x000a_Hampton Hill_x000a_Hampton_x000a_TW12 1JG"/>
    <s v="Formation of additional floor of accommodation in the form of a mansard style roof extension to facilitate the conversion of existing first floor 3 bedroom flat into 2x1 bedroom flats and provision of 2x1 bedroom flats at second floor level through the m"/>
    <m/>
    <m/>
    <x v="2"/>
    <s v="Open Market"/>
    <n v="514558"/>
    <n v="171264"/>
    <m/>
    <n v="0"/>
    <n v="0"/>
    <n v="1"/>
    <n v="0"/>
    <m/>
    <m/>
    <m/>
    <n v="1"/>
    <m/>
    <n v="4"/>
    <n v="0"/>
    <n v="0"/>
    <n v="0"/>
    <m/>
    <m/>
    <m/>
    <n v="4"/>
    <m/>
    <n v="4"/>
    <n v="0"/>
    <n v="-1"/>
    <n v="0"/>
    <n v="0"/>
    <n v="0"/>
    <n v="0"/>
    <n v="3"/>
    <m/>
    <n v="0"/>
    <n v="0.75"/>
    <n v="0.75"/>
    <n v="0.75"/>
    <n v="0.75"/>
    <n v="0"/>
    <n v="0"/>
    <s v="Y"/>
    <n v="0"/>
    <n v="0"/>
    <n v="0"/>
    <n v="0"/>
    <n v="0"/>
    <s v="Fulwell and Hampton Hill"/>
    <m/>
    <s v="High Street"/>
    <m/>
    <m/>
    <x v="0"/>
  </r>
  <r>
    <s v="17/3001/GPD16"/>
    <s v="CHU"/>
    <s v="PA"/>
    <s v="Unit 3_x000a_Plough Lane_x000a_Teddington"/>
    <s v="Change of use from B8 (storage) to C3 (residential use) to create a 1 bedroom unit."/>
    <m/>
    <m/>
    <x v="2"/>
    <s v="Open Market"/>
    <n v="516215"/>
    <n v="171077"/>
    <m/>
    <n v="0"/>
    <n v="0"/>
    <n v="0"/>
    <n v="0"/>
    <m/>
    <m/>
    <m/>
    <n v="0"/>
    <m/>
    <n v="1"/>
    <n v="0"/>
    <n v="0"/>
    <n v="0"/>
    <m/>
    <m/>
    <m/>
    <n v="1"/>
    <m/>
    <n v="1"/>
    <n v="0"/>
    <n v="0"/>
    <n v="0"/>
    <n v="0"/>
    <n v="0"/>
    <n v="0"/>
    <n v="1"/>
    <m/>
    <n v="0"/>
    <n v="0.25"/>
    <n v="0.25"/>
    <n v="0.25"/>
    <n v="0.25"/>
    <n v="0"/>
    <n v="0"/>
    <s v="Y"/>
    <n v="0"/>
    <n v="0"/>
    <n v="0"/>
    <n v="0"/>
    <n v="0"/>
    <s v="Teddington"/>
    <m/>
    <m/>
    <s v="Teddington"/>
    <m/>
    <x v="0"/>
  </r>
  <r>
    <s v="17/3003/GPD16"/>
    <s v="CHU"/>
    <s v="PA"/>
    <s v="Unit 4 To 5A_x000a_Plough Lane_x000a_Teddington"/>
    <s v="Change of use from B8 (storage) to C3 (residential) to create 2 Studio units."/>
    <m/>
    <m/>
    <x v="2"/>
    <s v="Open Market"/>
    <n v="516224"/>
    <n v="171078"/>
    <m/>
    <n v="0"/>
    <n v="0"/>
    <n v="0"/>
    <n v="0"/>
    <m/>
    <m/>
    <m/>
    <n v="0"/>
    <n v="2"/>
    <n v="0"/>
    <n v="0"/>
    <n v="0"/>
    <n v="0"/>
    <m/>
    <m/>
    <m/>
    <n v="2"/>
    <n v="2"/>
    <n v="0"/>
    <n v="0"/>
    <n v="0"/>
    <n v="0"/>
    <n v="0"/>
    <n v="0"/>
    <n v="0"/>
    <n v="2"/>
    <m/>
    <n v="0"/>
    <n v="0.5"/>
    <n v="0.5"/>
    <n v="0.5"/>
    <n v="0.5"/>
    <n v="0"/>
    <n v="0"/>
    <s v="Y"/>
    <n v="0"/>
    <n v="0"/>
    <n v="0"/>
    <n v="0"/>
    <n v="0"/>
    <s v="Teddington"/>
    <m/>
    <m/>
    <s v="Teddington"/>
    <m/>
    <x v="0"/>
  </r>
  <r>
    <s v="17/3054/FUL"/>
    <s v="NEW"/>
    <m/>
    <s v="Garage Site Marys Terrace Twickenham TW1 3JB"/>
    <s v="Demolition of existing garages and erection of a pair of two-storey, 3-bedroom semi-detached houses (2 no.), with associated landscaping and 4 off-street parking bays."/>
    <m/>
    <m/>
    <x v="2"/>
    <s v="Open Market"/>
    <n v="516182"/>
    <n v="173653"/>
    <m/>
    <n v="0"/>
    <n v="0"/>
    <n v="0"/>
    <n v="0"/>
    <m/>
    <m/>
    <m/>
    <n v="0"/>
    <m/>
    <n v="0"/>
    <n v="0"/>
    <n v="2"/>
    <n v="0"/>
    <m/>
    <m/>
    <m/>
    <n v="2"/>
    <m/>
    <n v="0"/>
    <n v="0"/>
    <n v="2"/>
    <n v="0"/>
    <n v="0"/>
    <n v="0"/>
    <n v="0"/>
    <n v="2"/>
    <m/>
    <n v="0"/>
    <n v="0"/>
    <n v="0.66666666666666663"/>
    <n v="0.66666666666666663"/>
    <n v="0.66666666666666663"/>
    <n v="0"/>
    <n v="0"/>
    <s v="Y"/>
    <n v="0"/>
    <n v="0"/>
    <n v="0"/>
    <n v="0"/>
    <n v="0"/>
    <s v="Twickenham Riverside"/>
    <m/>
    <m/>
    <s v="Twickenham"/>
    <m/>
    <x v="0"/>
  </r>
  <r>
    <s v="17/3077/FUL"/>
    <s v="NEW"/>
    <m/>
    <s v="4 Church Street_x000a_Twickenham_x000a_TW1 3NJ"/>
    <s v="Erection of a 3 storey dwellinghouse with accommodation at basement level, associated landscaping works and rear outbuilding for garage."/>
    <m/>
    <m/>
    <x v="2"/>
    <s v="Open Market"/>
    <n v="516426"/>
    <n v="173349"/>
    <m/>
    <n v="0"/>
    <n v="0"/>
    <n v="0"/>
    <n v="0"/>
    <m/>
    <m/>
    <m/>
    <n v="0"/>
    <m/>
    <n v="0"/>
    <n v="0"/>
    <n v="0"/>
    <n v="1"/>
    <m/>
    <m/>
    <m/>
    <n v="1"/>
    <m/>
    <n v="0"/>
    <n v="0"/>
    <n v="0"/>
    <n v="1"/>
    <n v="0"/>
    <n v="0"/>
    <n v="0"/>
    <n v="1"/>
    <m/>
    <n v="0"/>
    <n v="0"/>
    <n v="0.33333333333333331"/>
    <n v="0.33333333333333331"/>
    <n v="0.33333333333333331"/>
    <n v="0"/>
    <n v="0"/>
    <s v="Y"/>
    <n v="0"/>
    <n v="0"/>
    <n v="0"/>
    <n v="0"/>
    <n v="0"/>
    <s v="Twickenham Riverside"/>
    <m/>
    <m/>
    <s v="Twickenham"/>
    <m/>
    <x v="0"/>
  </r>
  <r>
    <s v="17/3265/FUL"/>
    <s v="NEW"/>
    <m/>
    <s v="Lestock House 73B Castelnau Barnes SW13 9RT"/>
    <s v="Demolition of existing detached house and erection of a new detached single family dwellinghouse."/>
    <m/>
    <m/>
    <x v="2"/>
    <s v="Open Market"/>
    <n v="522475"/>
    <n v="177141"/>
    <m/>
    <n v="0"/>
    <n v="0"/>
    <n v="1"/>
    <n v="0"/>
    <m/>
    <m/>
    <m/>
    <n v="1"/>
    <m/>
    <n v="0"/>
    <n v="0"/>
    <n v="0"/>
    <n v="0"/>
    <n v="1"/>
    <m/>
    <m/>
    <n v="1"/>
    <m/>
    <n v="0"/>
    <n v="0"/>
    <n v="-1"/>
    <n v="0"/>
    <n v="1"/>
    <n v="0"/>
    <n v="0"/>
    <n v="0"/>
    <m/>
    <n v="0"/>
    <n v="0"/>
    <n v="0"/>
    <n v="0"/>
    <n v="0"/>
    <n v="0"/>
    <n v="0"/>
    <n v="0"/>
    <n v="0"/>
    <n v="0"/>
    <n v="0"/>
    <n v="0"/>
    <n v="0"/>
    <s v="Barnes"/>
    <m/>
    <m/>
    <m/>
    <m/>
    <x v="0"/>
  </r>
  <r>
    <s v="17/3402/GPD16"/>
    <s v="CHU"/>
    <s v="PA"/>
    <s v="Unit 1 Plough Lane Teddington"/>
    <s v="Change of use from B8 (Storage) to C3 (Residential) to create 1 no. studio flat."/>
    <m/>
    <m/>
    <x v="2"/>
    <s v="Open Market"/>
    <n v="516208"/>
    <n v="171077"/>
    <m/>
    <n v="0"/>
    <n v="0"/>
    <n v="0"/>
    <n v="0"/>
    <m/>
    <m/>
    <m/>
    <n v="0"/>
    <n v="1"/>
    <n v="0"/>
    <n v="0"/>
    <n v="0"/>
    <n v="0"/>
    <m/>
    <m/>
    <m/>
    <n v="1"/>
    <n v="1"/>
    <n v="0"/>
    <n v="0"/>
    <n v="0"/>
    <n v="0"/>
    <n v="0"/>
    <n v="0"/>
    <n v="0"/>
    <n v="1"/>
    <m/>
    <n v="0"/>
    <n v="0.25"/>
    <n v="0.25"/>
    <n v="0.25"/>
    <n v="0.25"/>
    <n v="0"/>
    <n v="0"/>
    <s v="Y"/>
    <n v="0"/>
    <n v="0"/>
    <n v="0"/>
    <n v="0"/>
    <n v="0"/>
    <s v="Teddington"/>
    <m/>
    <m/>
    <s v="Teddington"/>
    <m/>
    <x v="0"/>
  </r>
  <r>
    <s v="17/3404/FUL"/>
    <s v="CHU"/>
    <m/>
    <s v="91 Stanley Road_x000a_Teddington_x000a_TW11 8UB"/>
    <s v="Erection of a two storey side and single storey rear extension and change of existing C3(residential) use at first floor to facilitate the provision of B1(a) office floorspace with associated hard and soft landscaping, bin and cycle storage and 2 car par"/>
    <m/>
    <m/>
    <x v="2"/>
    <s v="Open Market"/>
    <n v="515091"/>
    <n v="171518"/>
    <m/>
    <n v="1"/>
    <n v="0"/>
    <n v="0"/>
    <n v="0"/>
    <m/>
    <m/>
    <m/>
    <n v="1"/>
    <m/>
    <n v="0"/>
    <n v="0"/>
    <n v="0"/>
    <n v="0"/>
    <m/>
    <m/>
    <m/>
    <n v="0"/>
    <m/>
    <n v="-1"/>
    <n v="0"/>
    <n v="0"/>
    <n v="0"/>
    <n v="0"/>
    <n v="0"/>
    <n v="0"/>
    <n v="-1"/>
    <m/>
    <n v="0"/>
    <n v="-0.25"/>
    <n v="-0.25"/>
    <n v="-0.25"/>
    <n v="-0.25"/>
    <n v="0"/>
    <n v="0"/>
    <s v="Y"/>
    <n v="0"/>
    <n v="0"/>
    <n v="0"/>
    <n v="0"/>
    <n v="0"/>
    <s v="Fulwell and Hampton Hill"/>
    <m/>
    <s v="Stanley Road"/>
    <m/>
    <m/>
    <x v="0"/>
  </r>
  <r>
    <s v="17/3590/FUL"/>
    <s v="NEW"/>
    <m/>
    <s v="Garages Rear Of 48-52 Anlaby Road Teddington"/>
    <s v="Demolition of the existing garages. Erection of 1 x 2 bed single storey house and 1 x 3 bed single storey house with basement with associated hard and soft landscaping, refuse and cycle stores."/>
    <m/>
    <m/>
    <x v="2"/>
    <s v="Open Market"/>
    <n v="514975"/>
    <n v="171285"/>
    <m/>
    <n v="0"/>
    <n v="0"/>
    <n v="0"/>
    <n v="0"/>
    <m/>
    <m/>
    <m/>
    <n v="0"/>
    <m/>
    <n v="0"/>
    <n v="1"/>
    <n v="1"/>
    <n v="0"/>
    <m/>
    <m/>
    <m/>
    <n v="2"/>
    <m/>
    <n v="0"/>
    <n v="1"/>
    <n v="1"/>
    <n v="0"/>
    <n v="0"/>
    <n v="0"/>
    <n v="0"/>
    <n v="2"/>
    <m/>
    <n v="0"/>
    <n v="0"/>
    <n v="0.66666666666666663"/>
    <n v="0.66666666666666663"/>
    <n v="0.66666666666666663"/>
    <n v="0"/>
    <n v="0"/>
    <s v="Y"/>
    <n v="0"/>
    <n v="0"/>
    <n v="0"/>
    <n v="0"/>
    <n v="0"/>
    <s v="Fulwell and Hampton Hill"/>
    <m/>
    <m/>
    <m/>
    <m/>
    <x v="0"/>
  </r>
  <r>
    <s v="17/3591/FUL"/>
    <s v="CON"/>
    <m/>
    <s v="94A High Street_x000a_Whitton_x000a_Twickenham_x000a_TW2 7LN"/>
    <s v="Erection of external rear steps with railings to the property, new door on first floor side elevation to the rear (first floor) and proposed flues to the front elevation to accommodate the conversion of the existing three bedroom flat into 2x1 bed (1 per"/>
    <m/>
    <m/>
    <x v="2"/>
    <s v="Open Market"/>
    <n v="514174"/>
    <n v="173697"/>
    <m/>
    <n v="0"/>
    <n v="0"/>
    <n v="1"/>
    <n v="0"/>
    <m/>
    <m/>
    <m/>
    <n v="1"/>
    <m/>
    <n v="2"/>
    <n v="0"/>
    <n v="0"/>
    <n v="0"/>
    <m/>
    <m/>
    <m/>
    <n v="2"/>
    <m/>
    <n v="2"/>
    <n v="0"/>
    <n v="-1"/>
    <n v="0"/>
    <n v="0"/>
    <n v="0"/>
    <n v="0"/>
    <n v="1"/>
    <m/>
    <n v="0"/>
    <n v="0.25"/>
    <n v="0.25"/>
    <n v="0.25"/>
    <n v="0.25"/>
    <n v="0"/>
    <n v="0"/>
    <s v="Y"/>
    <n v="0"/>
    <n v="0"/>
    <n v="0"/>
    <n v="0"/>
    <n v="0"/>
    <s v="Whitton"/>
    <m/>
    <m/>
    <s v="Whitton"/>
    <m/>
    <x v="0"/>
  </r>
  <r>
    <s v="17/3610/FUL"/>
    <s v="MIX"/>
    <m/>
    <s v="67 - 69 Barnes High Street Barnes"/>
    <s v="Partial demolition of existing buildings, refurbishment of  2  x commercial units (A2 use Class) on ground floor. Partial new build extensions to the roof in addition to ground, first and second floor extensions to the rear of the site to provide 2 x 2-b"/>
    <m/>
    <m/>
    <x v="2"/>
    <s v="Open Market"/>
    <n v="521762"/>
    <n v="176415"/>
    <m/>
    <n v="1"/>
    <n v="2"/>
    <n v="0"/>
    <n v="0"/>
    <m/>
    <m/>
    <m/>
    <n v="3"/>
    <n v="3"/>
    <n v="2"/>
    <n v="2"/>
    <n v="0"/>
    <n v="0"/>
    <m/>
    <m/>
    <m/>
    <n v="7"/>
    <n v="3"/>
    <n v="1"/>
    <n v="0"/>
    <n v="0"/>
    <n v="0"/>
    <n v="0"/>
    <n v="0"/>
    <n v="0"/>
    <n v="4"/>
    <m/>
    <n v="0"/>
    <n v="0"/>
    <n v="1.3333333333333333"/>
    <n v="1.3333333333333333"/>
    <n v="1.3333333333333333"/>
    <n v="0"/>
    <n v="0"/>
    <s v="Y"/>
    <n v="0"/>
    <n v="0"/>
    <n v="0"/>
    <n v="0"/>
    <n v="0"/>
    <s v="Barnes"/>
    <m/>
    <s v="High Street"/>
    <m/>
    <m/>
    <x v="0"/>
  </r>
  <r>
    <s v="17/3667/FUL"/>
    <s v="NEW"/>
    <m/>
    <s v="Manor Farm Riding School_x000a_Petersham Road_x000a_Petersham_x000a_Richmond_x000a_TW10 7AH"/>
    <s v="Demolition of existing staff accommodation caravans and storage barn and erection of replacement grooms accommodation."/>
    <m/>
    <m/>
    <x v="2"/>
    <s v="Open Market"/>
    <n v="517808"/>
    <n v="173353"/>
    <m/>
    <n v="0"/>
    <n v="0"/>
    <n v="0"/>
    <n v="0"/>
    <m/>
    <m/>
    <m/>
    <n v="0"/>
    <m/>
    <n v="0"/>
    <n v="0"/>
    <n v="1"/>
    <n v="0"/>
    <m/>
    <m/>
    <m/>
    <n v="1"/>
    <m/>
    <n v="0"/>
    <n v="0"/>
    <n v="1"/>
    <n v="0"/>
    <n v="0"/>
    <n v="0"/>
    <n v="0"/>
    <n v="1"/>
    <m/>
    <n v="0"/>
    <n v="0"/>
    <n v="0.33333333333333331"/>
    <n v="0.33333333333333331"/>
    <n v="0.33333333333333331"/>
    <n v="0"/>
    <n v="0"/>
    <s v="Y"/>
    <n v="0"/>
    <n v="0"/>
    <n v="0"/>
    <n v="0"/>
    <n v="0"/>
    <s v="Ham, Petersham and Richmond Riverside"/>
    <m/>
    <m/>
    <m/>
    <s v="Thames Policy Area"/>
    <x v="0"/>
  </r>
  <r>
    <s v="17/3696/GPD16"/>
    <s v="CHU"/>
    <s v="PA"/>
    <s v="1A St Leonards Road East Sheen SW14 7LY"/>
    <s v="Change of use of premises from B8 (warehouse/distrubtion) to C3 (residential - 6 x 1 bed flats)"/>
    <m/>
    <m/>
    <x v="2"/>
    <s v="Open Market"/>
    <n v="520442"/>
    <n v="175588"/>
    <m/>
    <n v="0"/>
    <n v="0"/>
    <n v="0"/>
    <n v="0"/>
    <m/>
    <m/>
    <m/>
    <n v="0"/>
    <m/>
    <n v="6"/>
    <n v="0"/>
    <n v="0"/>
    <n v="0"/>
    <m/>
    <m/>
    <m/>
    <n v="6"/>
    <m/>
    <n v="6"/>
    <n v="0"/>
    <n v="0"/>
    <n v="0"/>
    <n v="0"/>
    <n v="0"/>
    <n v="0"/>
    <n v="6"/>
    <m/>
    <n v="0"/>
    <n v="1.5"/>
    <n v="1.5"/>
    <n v="1.5"/>
    <n v="1.5"/>
    <n v="0"/>
    <n v="0"/>
    <s v="Y"/>
    <n v="0"/>
    <n v="0"/>
    <n v="0"/>
    <n v="0"/>
    <n v="0"/>
    <s v="East Sheen"/>
    <m/>
    <m/>
    <m/>
    <m/>
    <x v="0"/>
  </r>
  <r>
    <s v="17/3761/FUL"/>
    <s v="NEW"/>
    <m/>
    <s v="2 Belgrave Road Barnes SW13 9NS"/>
    <s v="Demolition of existing dwelling and erection of a replacement three-storey plus basement house (4 bedroom) with cycle parking and 1 off-street parking space."/>
    <m/>
    <m/>
    <x v="2"/>
    <s v="Open Market"/>
    <n v="521893"/>
    <n v="177129"/>
    <m/>
    <n v="0"/>
    <n v="0"/>
    <n v="1"/>
    <n v="0"/>
    <m/>
    <m/>
    <m/>
    <n v="1"/>
    <m/>
    <n v="0"/>
    <n v="0"/>
    <n v="0"/>
    <n v="1"/>
    <m/>
    <m/>
    <m/>
    <n v="1"/>
    <m/>
    <n v="0"/>
    <n v="0"/>
    <n v="-1"/>
    <n v="1"/>
    <n v="0"/>
    <n v="0"/>
    <n v="0"/>
    <n v="0"/>
    <m/>
    <n v="0"/>
    <n v="0"/>
    <n v="0"/>
    <n v="0"/>
    <n v="0"/>
    <n v="0"/>
    <n v="0"/>
    <n v="0"/>
    <n v="0"/>
    <n v="0"/>
    <n v="0"/>
    <n v="0"/>
    <n v="0"/>
    <s v="Barnes"/>
    <m/>
    <m/>
    <m/>
    <m/>
    <x v="0"/>
  </r>
  <r>
    <s v="17/3795/GPD15"/>
    <s v="CHU"/>
    <s v="PA"/>
    <s v="25 Church Road_x000a_Teddington_x000a_TW11 8PF"/>
    <s v="Change of use from Offices (B1) to Residential (C3)."/>
    <m/>
    <m/>
    <x v="2"/>
    <s v="Open Market"/>
    <n v="515664"/>
    <n v="171121"/>
    <m/>
    <n v="0"/>
    <n v="0"/>
    <n v="0"/>
    <n v="0"/>
    <m/>
    <m/>
    <m/>
    <n v="0"/>
    <m/>
    <n v="0"/>
    <n v="1"/>
    <n v="1"/>
    <n v="0"/>
    <m/>
    <m/>
    <m/>
    <n v="2"/>
    <m/>
    <n v="0"/>
    <n v="1"/>
    <n v="1"/>
    <n v="0"/>
    <n v="0"/>
    <n v="0"/>
    <n v="0"/>
    <n v="2"/>
    <m/>
    <n v="0"/>
    <n v="0.5"/>
    <n v="0.5"/>
    <n v="0.5"/>
    <n v="0.5"/>
    <n v="0"/>
    <n v="0"/>
    <s v="Y"/>
    <n v="0"/>
    <n v="0"/>
    <n v="0"/>
    <n v="0"/>
    <n v="0"/>
    <s v="Teddington"/>
    <m/>
    <m/>
    <m/>
    <m/>
    <x v="0"/>
  </r>
  <r>
    <s v="17/4014/FUL"/>
    <s v="MIX"/>
    <m/>
    <s v="126 Heath Road Twickenham TW1 4BN"/>
    <s v="Change of use of part front ground floor A5(hot food takeaways) use to C3(residential) use to facilitate the conversion of existing 3 bed maisonette above shop into 2 x 2 bed (2B3P) flats. Change of use of part rear ground floor rear from A5(retail) to C3(residential) use and erection of first floor rear extension to facilitate the creation of 1 no. studio flat with balcony. Alterations to side and rear fenestration arrangement."/>
    <m/>
    <m/>
    <x v="2"/>
    <s v="Open Market"/>
    <n v="515746"/>
    <n v="173156"/>
    <m/>
    <n v="0"/>
    <n v="0"/>
    <n v="1"/>
    <n v="0"/>
    <m/>
    <m/>
    <m/>
    <n v="1"/>
    <n v="1"/>
    <n v="0"/>
    <n v="2"/>
    <n v="0"/>
    <n v="0"/>
    <m/>
    <m/>
    <m/>
    <n v="3"/>
    <n v="1"/>
    <n v="0"/>
    <n v="2"/>
    <n v="-1"/>
    <n v="0"/>
    <n v="0"/>
    <n v="0"/>
    <n v="0"/>
    <n v="2"/>
    <m/>
    <n v="0"/>
    <n v="0.5"/>
    <n v="0.5"/>
    <n v="0.5"/>
    <n v="0.5"/>
    <n v="0"/>
    <n v="0"/>
    <s v="Y"/>
    <n v="0"/>
    <n v="0"/>
    <n v="0"/>
    <n v="0"/>
    <n v="0"/>
    <s v="Twickenham Riverside"/>
    <m/>
    <m/>
    <s v="Twickenham"/>
    <m/>
    <x v="0"/>
  </r>
  <r>
    <s v="17/4015/FUL"/>
    <s v="NEW"/>
    <m/>
    <s v="Land To Rear Of 34 - 40 The Quadrant Richmond"/>
    <s v="Erection of 2no. dwellings with associated cycle parking and refuse storage."/>
    <m/>
    <m/>
    <x v="2"/>
    <s v="Open Market"/>
    <n v="518028"/>
    <n v="175050"/>
    <m/>
    <n v="0"/>
    <n v="0"/>
    <n v="0"/>
    <n v="0"/>
    <m/>
    <m/>
    <m/>
    <n v="0"/>
    <m/>
    <n v="0"/>
    <n v="2"/>
    <n v="0"/>
    <n v="0"/>
    <m/>
    <m/>
    <m/>
    <n v="2"/>
    <m/>
    <n v="0"/>
    <n v="2"/>
    <n v="0"/>
    <n v="0"/>
    <n v="0"/>
    <n v="0"/>
    <n v="0"/>
    <n v="2"/>
    <m/>
    <n v="0"/>
    <n v="0"/>
    <n v="0.66666666666666663"/>
    <n v="0.66666666666666663"/>
    <n v="0.66666666666666663"/>
    <n v="0"/>
    <n v="0"/>
    <s v="Y"/>
    <n v="0"/>
    <n v="0"/>
    <n v="0"/>
    <n v="0"/>
    <n v="0"/>
    <s v="South Richmond"/>
    <m/>
    <m/>
    <s v="Richmond"/>
    <m/>
    <x v="0"/>
  </r>
  <r>
    <s v="17/4114/PS192"/>
    <s v="CHU"/>
    <m/>
    <s v="35A Broad Street_x000a_Teddington_x000a_TW11 8QZ"/>
    <s v="Change of use from Class C4 (House in Multiple Occupation) to C3 (residential) to provide 1 x 3 bed flat"/>
    <m/>
    <m/>
    <x v="2"/>
    <s v="Open Market"/>
    <n v="515625"/>
    <n v="170998"/>
    <m/>
    <n v="0"/>
    <n v="0"/>
    <n v="1"/>
    <n v="0"/>
    <m/>
    <m/>
    <m/>
    <n v="1"/>
    <m/>
    <n v="0"/>
    <n v="0"/>
    <n v="1"/>
    <n v="0"/>
    <m/>
    <m/>
    <m/>
    <n v="1"/>
    <m/>
    <n v="0"/>
    <n v="0"/>
    <n v="0"/>
    <n v="0"/>
    <n v="0"/>
    <n v="0"/>
    <n v="0"/>
    <n v="0"/>
    <m/>
    <n v="0"/>
    <n v="0"/>
    <n v="0"/>
    <n v="0"/>
    <n v="0"/>
    <n v="0"/>
    <n v="0"/>
    <n v="0"/>
    <n v="0"/>
    <n v="0"/>
    <n v="0"/>
    <n v="0"/>
    <n v="0"/>
    <s v="Teddington"/>
    <m/>
    <m/>
    <s v="Teddington"/>
    <m/>
    <x v="0"/>
  </r>
  <r>
    <s v="17/4122/FUL"/>
    <s v="NEW"/>
    <m/>
    <s v="Land Adjacent To 93_x000a_Elm Bank Gardens_x000a_Barnes_x000a_London"/>
    <s v="Demolition of garage and the erection of a three-storey two-bedroom detached dwelling with associated landscaping. (Re-consultation required for the following reason: Building line adjusted following a further site survey to accurately record the locatio"/>
    <m/>
    <m/>
    <x v="2"/>
    <s v="Open Market"/>
    <n v="521350"/>
    <n v="176123"/>
    <m/>
    <n v="0"/>
    <n v="0"/>
    <n v="0"/>
    <n v="0"/>
    <m/>
    <m/>
    <m/>
    <n v="0"/>
    <m/>
    <n v="0"/>
    <n v="1"/>
    <n v="0"/>
    <n v="0"/>
    <m/>
    <m/>
    <m/>
    <n v="1"/>
    <m/>
    <n v="0"/>
    <n v="1"/>
    <n v="0"/>
    <n v="0"/>
    <n v="0"/>
    <n v="0"/>
    <n v="0"/>
    <n v="1"/>
    <m/>
    <n v="0"/>
    <n v="0"/>
    <n v="0.33333333333333331"/>
    <n v="0.33333333333333331"/>
    <n v="0.33333333333333331"/>
    <n v="0"/>
    <n v="0"/>
    <s v="Y"/>
    <n v="0"/>
    <n v="0"/>
    <n v="0"/>
    <n v="0"/>
    <n v="0"/>
    <s v="Mortlake and Barnes Common"/>
    <m/>
    <m/>
    <m/>
    <s v="Thames Policy Area"/>
    <x v="0"/>
  </r>
  <r>
    <s v="17/4292/FUL"/>
    <s v="EXT"/>
    <m/>
    <s v="Cliveden House_x000d_Victoria Villas_x000d_Richmond_x000d_TW9 2JX"/>
    <s v="Proposed roof and side extension to the existing two storey residential building to provide three new apartment units and to increase the size of four of the existing units. Alterations to elevations including balconies at first and second floor."/>
    <m/>
    <m/>
    <x v="2"/>
    <s v="Open Market"/>
    <n v="518831"/>
    <n v="175436"/>
    <m/>
    <n v="0"/>
    <n v="0"/>
    <n v="0"/>
    <n v="0"/>
    <m/>
    <m/>
    <m/>
    <n v="0"/>
    <m/>
    <n v="1"/>
    <n v="2"/>
    <n v="0"/>
    <n v="0"/>
    <m/>
    <m/>
    <m/>
    <n v="3"/>
    <m/>
    <n v="1"/>
    <n v="2"/>
    <n v="0"/>
    <n v="0"/>
    <n v="0"/>
    <n v="0"/>
    <n v="0"/>
    <n v="3"/>
    <m/>
    <n v="0"/>
    <n v="0.75"/>
    <n v="0.75"/>
    <n v="0.75"/>
    <n v="0.75"/>
    <n v="0"/>
    <n v="0"/>
    <s v="Y"/>
    <n v="0"/>
    <n v="0"/>
    <n v="0"/>
    <n v="0"/>
    <n v="0"/>
    <s v="North Richmond"/>
    <m/>
    <m/>
    <m/>
    <m/>
    <x v="0"/>
  </r>
  <r>
    <s v="17/4303/FUL"/>
    <s v="EXT"/>
    <m/>
    <s v="16 Elmtree Road_x000a_Teddington"/>
    <s v="Erection of a second floor roof extension to create a. two-bed flat with roof terraces"/>
    <m/>
    <m/>
    <x v="2"/>
    <s v="Open Market"/>
    <n v="515426"/>
    <n v="171451"/>
    <m/>
    <n v="0"/>
    <n v="0"/>
    <n v="0"/>
    <n v="0"/>
    <m/>
    <m/>
    <m/>
    <n v="0"/>
    <m/>
    <n v="0"/>
    <n v="1"/>
    <n v="0"/>
    <n v="0"/>
    <m/>
    <m/>
    <m/>
    <n v="1"/>
    <m/>
    <n v="0"/>
    <n v="1"/>
    <n v="0"/>
    <n v="0"/>
    <n v="0"/>
    <n v="0"/>
    <n v="0"/>
    <n v="1"/>
    <m/>
    <n v="0"/>
    <n v="0.25"/>
    <n v="0.25"/>
    <n v="0.25"/>
    <n v="0.25"/>
    <n v="0"/>
    <n v="0"/>
    <s v="Y"/>
    <n v="0"/>
    <n v="0"/>
    <n v="0"/>
    <n v="0"/>
    <n v="0"/>
    <s v="Fulwell and Hampton Hill"/>
    <m/>
    <m/>
    <m/>
    <m/>
    <x v="0"/>
  </r>
  <r>
    <s v="17/4344/FUL"/>
    <s v="CHU"/>
    <m/>
    <s v="First To Third Floors 2 The Square Richmond"/>
    <s v="Change of use of first, second and third floors from Class A2 (offices) and Class A1 (ancillary office space) to 1 two-bedroom residential dwelling with roof terrace at fourth floor level with associated safety balustrade."/>
    <m/>
    <m/>
    <x v="2"/>
    <s v="Open Market"/>
    <n v="517967"/>
    <n v="174947"/>
    <m/>
    <n v="0"/>
    <n v="0"/>
    <n v="0"/>
    <n v="0"/>
    <m/>
    <m/>
    <m/>
    <n v="0"/>
    <m/>
    <n v="0"/>
    <n v="1"/>
    <n v="0"/>
    <n v="0"/>
    <m/>
    <m/>
    <m/>
    <n v="1"/>
    <m/>
    <n v="0"/>
    <n v="1"/>
    <n v="0"/>
    <n v="0"/>
    <n v="0"/>
    <n v="0"/>
    <n v="0"/>
    <n v="1"/>
    <m/>
    <n v="0"/>
    <n v="0.25"/>
    <n v="0.25"/>
    <n v="0.25"/>
    <n v="0.25"/>
    <n v="0"/>
    <n v="0"/>
    <s v="Y"/>
    <n v="0"/>
    <n v="0"/>
    <n v="0"/>
    <n v="0"/>
    <n v="0"/>
    <s v="South Richmond"/>
    <m/>
    <m/>
    <s v="Richmond"/>
    <m/>
    <x v="0"/>
  </r>
  <r>
    <s v="17/4360/FUL"/>
    <s v="NEW"/>
    <m/>
    <s v="25 Kew Foot Road_x000a_Richmond_x000a_TW9 2SS"/>
    <s v="Demolition of existing single storey building and redevelopment with a two storey building providing approximtely 870sqm of B1 floorspace (including in the roof space), off street car parking, upgrades to a public footpath, landscaping, improved access a"/>
    <m/>
    <m/>
    <x v="2"/>
    <s v="Open Market"/>
    <n v="518103"/>
    <n v="175457"/>
    <m/>
    <n v="0"/>
    <n v="0"/>
    <n v="0"/>
    <n v="0"/>
    <m/>
    <m/>
    <m/>
    <n v="0"/>
    <m/>
    <n v="0"/>
    <n v="0"/>
    <n v="0"/>
    <n v="0"/>
    <m/>
    <m/>
    <m/>
    <n v="0"/>
    <m/>
    <n v="0"/>
    <n v="0"/>
    <n v="0"/>
    <n v="0"/>
    <n v="0"/>
    <n v="0"/>
    <n v="0"/>
    <n v="0"/>
    <m/>
    <n v="0"/>
    <n v="0"/>
    <n v="0"/>
    <n v="0"/>
    <n v="0"/>
    <n v="0"/>
    <n v="0"/>
    <n v="0"/>
    <n v="0"/>
    <n v="0"/>
    <n v="0"/>
    <n v="0"/>
    <n v="0"/>
    <s v="North Richmond"/>
    <m/>
    <m/>
    <m/>
    <m/>
    <x v="0"/>
  </r>
  <r>
    <s v="17/4368/FUL"/>
    <s v="MIX"/>
    <m/>
    <s v="117 Rectory Grove_x000a_Hampton_x000a_TW12 1EG"/>
    <s v="Alterations to no. 117 to include demolition of existing two storey side extension, erection of a single storey rear extension and front porch.  New cycle store to rear. Subdivison of garden plot and demolition of existing garage at no. 117 to facilitate"/>
    <m/>
    <m/>
    <x v="2"/>
    <s v="Open Market"/>
    <n v="512731"/>
    <n v="171617"/>
    <m/>
    <n v="0"/>
    <n v="0"/>
    <n v="0"/>
    <n v="1"/>
    <m/>
    <m/>
    <m/>
    <n v="1"/>
    <m/>
    <n v="0"/>
    <n v="1"/>
    <n v="1"/>
    <n v="0"/>
    <m/>
    <m/>
    <m/>
    <n v="2"/>
    <m/>
    <n v="0"/>
    <n v="1"/>
    <n v="1"/>
    <n v="-1"/>
    <n v="0"/>
    <n v="0"/>
    <n v="0"/>
    <n v="1"/>
    <m/>
    <n v="0"/>
    <n v="0"/>
    <n v="0.33333333333333331"/>
    <n v="0.33333333333333331"/>
    <n v="0.33333333333333331"/>
    <n v="0"/>
    <n v="0"/>
    <s v="Y"/>
    <n v="0"/>
    <n v="0"/>
    <n v="0"/>
    <n v="0"/>
    <n v="0"/>
    <s v="Hampton North"/>
    <m/>
    <m/>
    <m/>
    <m/>
    <x v="0"/>
  </r>
  <r>
    <s v="17/4422/GPD15"/>
    <s v="CHU"/>
    <s v="PA"/>
    <s v="25 Church Road_x000a_Teddington_x000a_TW11 8PF"/>
    <s v="Change of use of the ground floor and accommodation above the rear workshop from Class B1(C) Light Industrial to Dwelling (Class C3)."/>
    <m/>
    <m/>
    <x v="2"/>
    <s v="Open Market"/>
    <n v="515664"/>
    <n v="171121"/>
    <m/>
    <n v="0"/>
    <n v="0"/>
    <n v="0"/>
    <n v="0"/>
    <m/>
    <m/>
    <m/>
    <n v="0"/>
    <m/>
    <n v="0"/>
    <n v="1"/>
    <n v="0"/>
    <n v="0"/>
    <m/>
    <m/>
    <m/>
    <n v="1"/>
    <m/>
    <n v="0"/>
    <n v="1"/>
    <n v="0"/>
    <n v="0"/>
    <n v="0"/>
    <n v="0"/>
    <n v="0"/>
    <n v="1"/>
    <m/>
    <n v="0"/>
    <n v="0.25"/>
    <n v="0.25"/>
    <n v="0.25"/>
    <n v="0.25"/>
    <n v="0"/>
    <n v="0"/>
    <s v="Y"/>
    <n v="0"/>
    <n v="0"/>
    <n v="0"/>
    <n v="0"/>
    <n v="0"/>
    <s v="Teddington"/>
    <m/>
    <m/>
    <m/>
    <m/>
    <x v="0"/>
  </r>
  <r>
    <s v="17/4453/FUL"/>
    <s v="MIX"/>
    <m/>
    <s v="286 Kew Road_x000a_Kew_x000a_Richmond_x000a_TW9 3DU"/>
    <s v="Single storey rear extension and basement extension, including lightwells to the front and rear, to create 1 no. additional new dwelling."/>
    <m/>
    <m/>
    <x v="2"/>
    <s v="Open Market"/>
    <n v="518955"/>
    <n v="177124"/>
    <m/>
    <n v="0"/>
    <n v="0"/>
    <n v="0"/>
    <n v="0"/>
    <m/>
    <m/>
    <m/>
    <n v="0"/>
    <m/>
    <n v="1"/>
    <n v="0"/>
    <n v="0"/>
    <n v="0"/>
    <m/>
    <m/>
    <m/>
    <n v="1"/>
    <m/>
    <n v="1"/>
    <n v="0"/>
    <n v="0"/>
    <n v="0"/>
    <n v="0"/>
    <n v="0"/>
    <n v="0"/>
    <n v="1"/>
    <m/>
    <n v="0"/>
    <n v="0"/>
    <n v="0.33333333333333331"/>
    <n v="0.33333333333333331"/>
    <n v="0.33333333333333331"/>
    <n v="0"/>
    <n v="0"/>
    <s v="Y"/>
    <n v="0"/>
    <n v="0"/>
    <n v="0"/>
    <n v="0"/>
    <n v="0"/>
    <s v="Kew"/>
    <m/>
    <m/>
    <m/>
    <m/>
    <x v="0"/>
  </r>
  <r>
    <s v="18/0111/FUL"/>
    <s v="NEW"/>
    <m/>
    <s v="1 Hospital Bridge Road_x000a_Twickenham_x000a_TW2 5UL"/>
    <s v="Demolition of the existing two-storey side extension to allow for the provision of a detached two-storey (3 bedroom) dwellinghouse; subdivision of land;  associated car parking, cycle storage, refuse and recycling storage, hard and soft landscaping to bo"/>
    <m/>
    <m/>
    <x v="2"/>
    <s v="Open Market"/>
    <n v="513875"/>
    <n v="172459"/>
    <m/>
    <n v="0"/>
    <n v="0"/>
    <n v="0"/>
    <n v="0"/>
    <m/>
    <m/>
    <m/>
    <n v="0"/>
    <m/>
    <n v="0"/>
    <n v="0"/>
    <n v="1"/>
    <n v="0"/>
    <m/>
    <m/>
    <m/>
    <n v="1"/>
    <m/>
    <n v="0"/>
    <n v="0"/>
    <n v="1"/>
    <n v="0"/>
    <n v="0"/>
    <n v="0"/>
    <n v="0"/>
    <n v="1"/>
    <m/>
    <n v="0"/>
    <n v="0"/>
    <n v="0.33333333333333331"/>
    <n v="0.33333333333333331"/>
    <n v="0.33333333333333331"/>
    <n v="0"/>
    <n v="0"/>
    <s v="Y"/>
    <n v="0"/>
    <n v="0"/>
    <n v="0"/>
    <n v="0"/>
    <n v="0"/>
    <s v="West Twickenham"/>
    <m/>
    <m/>
    <m/>
    <m/>
    <x v="1"/>
  </r>
  <r>
    <s v="18/0216/FUL"/>
    <s v="CON"/>
    <m/>
    <s v="34 Colston Road East Sheen SW14 7PG"/>
    <s v="The division of the existing single dwelling on the upper floors into two dwellings. Rear dormer and roof lights to the front roofslope."/>
    <m/>
    <m/>
    <x v="2"/>
    <s v="Open Market"/>
    <n v="520283"/>
    <n v="175305"/>
    <m/>
    <n v="0"/>
    <n v="0"/>
    <n v="0"/>
    <n v="1"/>
    <m/>
    <m/>
    <m/>
    <n v="1"/>
    <m/>
    <n v="1"/>
    <n v="0"/>
    <n v="1"/>
    <n v="0"/>
    <m/>
    <m/>
    <m/>
    <n v="2"/>
    <m/>
    <n v="1"/>
    <n v="0"/>
    <n v="1"/>
    <n v="-1"/>
    <n v="0"/>
    <n v="0"/>
    <n v="0"/>
    <n v="1"/>
    <m/>
    <n v="0"/>
    <n v="0.25"/>
    <n v="0.25"/>
    <n v="0.25"/>
    <n v="0.25"/>
    <n v="0"/>
    <n v="0"/>
    <s v="Y"/>
    <n v="0"/>
    <n v="0"/>
    <n v="0"/>
    <n v="0"/>
    <n v="0"/>
    <s v="East Sheen"/>
    <m/>
    <m/>
    <s v="East Sheen"/>
    <m/>
    <x v="0"/>
  </r>
  <r>
    <s v="18/0268/FUL"/>
    <s v="NEW"/>
    <m/>
    <s v="36 Sunnyside Road Teddington TW11 0RT"/>
    <s v="Demolition of the existing four bedroom house and garage and replace with a new build four bedroom house, together with associated hard and soft landscaping, cycle and refuse stores and parking."/>
    <m/>
    <m/>
    <x v="2"/>
    <s v="Open Market"/>
    <n v="514952"/>
    <n v="171606"/>
    <m/>
    <n v="0"/>
    <n v="0"/>
    <n v="0"/>
    <n v="1"/>
    <m/>
    <m/>
    <m/>
    <n v="1"/>
    <m/>
    <n v="0"/>
    <n v="0"/>
    <n v="0"/>
    <n v="1"/>
    <m/>
    <m/>
    <m/>
    <n v="1"/>
    <m/>
    <n v="0"/>
    <n v="0"/>
    <n v="0"/>
    <n v="0"/>
    <n v="0"/>
    <n v="0"/>
    <n v="0"/>
    <n v="0"/>
    <m/>
    <n v="0"/>
    <n v="0"/>
    <n v="0"/>
    <n v="0"/>
    <n v="0"/>
    <n v="0"/>
    <n v="0"/>
    <n v="0"/>
    <n v="0"/>
    <n v="0"/>
    <n v="0"/>
    <n v="0"/>
    <n v="0"/>
    <s v="Fulwell and Hampton Hill"/>
    <m/>
    <m/>
    <m/>
    <m/>
    <x v="0"/>
  </r>
  <r>
    <s v="18/0301/FUL"/>
    <s v="NEW"/>
    <m/>
    <s v="18 Cedar Heights_x000a_Petersham_x000a_Richmond_x000a_TW10 7AE"/>
    <s v="Demolition of the existing detached dwelling house and replacement with a new detached family home with associated off street parking."/>
    <m/>
    <m/>
    <x v="2"/>
    <s v="Open Market"/>
    <n v="518177"/>
    <n v="173103"/>
    <m/>
    <n v="0"/>
    <n v="0"/>
    <n v="0"/>
    <n v="1"/>
    <m/>
    <m/>
    <m/>
    <n v="1"/>
    <m/>
    <n v="0"/>
    <n v="0"/>
    <n v="0"/>
    <n v="0"/>
    <m/>
    <n v="1"/>
    <m/>
    <n v="1"/>
    <m/>
    <n v="0"/>
    <n v="0"/>
    <n v="0"/>
    <n v="-1"/>
    <n v="0"/>
    <n v="1"/>
    <n v="0"/>
    <n v="0"/>
    <m/>
    <n v="0"/>
    <n v="0"/>
    <n v="0"/>
    <n v="0"/>
    <n v="0"/>
    <n v="0"/>
    <n v="0"/>
    <n v="0"/>
    <n v="0"/>
    <n v="0"/>
    <n v="0"/>
    <n v="0"/>
    <n v="0"/>
    <s v="Ham, Petersham and Richmond Riverside"/>
    <m/>
    <m/>
    <m/>
    <m/>
    <x v="0"/>
  </r>
  <r>
    <s v="18/0305/GPD15"/>
    <s v="CHU"/>
    <s v="PA"/>
    <s v="Argyle House_x000a_1 Dee Road_x000a_Richmond"/>
    <s v="Change of use of basement from B1a (office use) to C3 (residential use) - creation of 1 x 2 bed flat"/>
    <m/>
    <m/>
    <x v="2"/>
    <s v="Open Market"/>
    <n v="518741"/>
    <n v="175360"/>
    <m/>
    <n v="0"/>
    <n v="0"/>
    <n v="0"/>
    <n v="0"/>
    <m/>
    <m/>
    <m/>
    <n v="0"/>
    <m/>
    <n v="0"/>
    <n v="1"/>
    <n v="0"/>
    <n v="0"/>
    <m/>
    <m/>
    <m/>
    <n v="1"/>
    <m/>
    <n v="0"/>
    <n v="1"/>
    <n v="0"/>
    <n v="0"/>
    <n v="0"/>
    <n v="0"/>
    <n v="0"/>
    <n v="1"/>
    <m/>
    <n v="0"/>
    <n v="0.25"/>
    <n v="0.25"/>
    <n v="0.25"/>
    <n v="0.25"/>
    <n v="0"/>
    <n v="0"/>
    <s v="Y"/>
    <n v="0"/>
    <n v="0"/>
    <n v="0"/>
    <n v="0"/>
    <n v="0"/>
    <s v="North Richmond"/>
    <m/>
    <m/>
    <m/>
    <m/>
    <x v="0"/>
  </r>
  <r>
    <s v="18/0433/FUL"/>
    <s v="CHU"/>
    <m/>
    <s v="26 Egerton Road Twickenham TW2 7SP"/>
    <s v="Change of Use from Respite Centre to Residential Use. To provide 1No. Studio &amp; 3No. 1 Bed Apartments, with associated Amenity Space &amp; Parking."/>
    <m/>
    <m/>
    <x v="2"/>
    <s v="Open Market"/>
    <n v="515424"/>
    <n v="173951"/>
    <m/>
    <n v="0"/>
    <n v="0"/>
    <n v="0"/>
    <n v="0"/>
    <m/>
    <m/>
    <m/>
    <n v="0"/>
    <n v="1"/>
    <n v="3"/>
    <n v="0"/>
    <n v="0"/>
    <n v="0"/>
    <m/>
    <m/>
    <m/>
    <n v="4"/>
    <n v="1"/>
    <n v="3"/>
    <n v="0"/>
    <n v="0"/>
    <n v="0"/>
    <n v="0"/>
    <n v="0"/>
    <n v="0"/>
    <n v="4"/>
    <m/>
    <n v="0"/>
    <n v="4"/>
    <n v="0"/>
    <n v="0"/>
    <n v="0"/>
    <n v="0"/>
    <n v="0"/>
    <n v="0"/>
    <n v="0"/>
    <n v="0"/>
    <n v="0"/>
    <n v="0"/>
    <n v="0"/>
    <s v="St. Margarets and North Twickenham"/>
    <m/>
    <m/>
    <m/>
    <m/>
    <x v="0"/>
  </r>
  <r>
    <s v="18/0584/GPD15"/>
    <s v="CHU"/>
    <s v="PA"/>
    <s v="1 High Street Hampton Hill"/>
    <s v="Change of use from B1c to C3 (Residential) to provide 2 x 2B4P flats."/>
    <m/>
    <m/>
    <x v="2"/>
    <s v="Open Market"/>
    <n v="514188"/>
    <n v="170550"/>
    <m/>
    <n v="0"/>
    <n v="0"/>
    <n v="0"/>
    <n v="0"/>
    <m/>
    <m/>
    <m/>
    <n v="0"/>
    <m/>
    <n v="0"/>
    <n v="2"/>
    <n v="0"/>
    <n v="0"/>
    <m/>
    <m/>
    <m/>
    <n v="2"/>
    <m/>
    <n v="0"/>
    <n v="2"/>
    <n v="0"/>
    <n v="0"/>
    <n v="0"/>
    <n v="0"/>
    <n v="0"/>
    <n v="2"/>
    <m/>
    <n v="0"/>
    <n v="0.5"/>
    <n v="0.5"/>
    <n v="0.5"/>
    <n v="0.5"/>
    <n v="0"/>
    <n v="0"/>
    <s v="Y"/>
    <n v="0"/>
    <n v="0"/>
    <n v="0"/>
    <n v="0"/>
    <n v="0"/>
    <s v="Fulwell and Hampton Hill"/>
    <m/>
    <m/>
    <m/>
    <m/>
    <x v="0"/>
  </r>
  <r>
    <s v="18/0692/FUL"/>
    <s v="NEW"/>
    <m/>
    <s v="83 Wensleydale Road_x000a_Hampton_x000a_TW12 2LP"/>
    <s v="Part two-storey rear extensions with two rear gable roofs; part raising of the ridge height; removal of rear chimney; new windows (including removal) and door to the side (south elevation) at ground and first floor level; removal of side windows at groun"/>
    <m/>
    <m/>
    <x v="2"/>
    <s v="Open Market"/>
    <n v="513446"/>
    <n v="170353"/>
    <m/>
    <n v="0"/>
    <n v="0"/>
    <n v="0"/>
    <n v="0"/>
    <m/>
    <m/>
    <m/>
    <n v="0"/>
    <m/>
    <n v="0"/>
    <n v="0"/>
    <n v="0"/>
    <n v="1"/>
    <m/>
    <m/>
    <m/>
    <n v="1"/>
    <m/>
    <n v="0"/>
    <n v="0"/>
    <n v="0"/>
    <n v="1"/>
    <n v="0"/>
    <n v="0"/>
    <n v="0"/>
    <n v="1"/>
    <m/>
    <n v="0"/>
    <n v="0"/>
    <n v="0.33333333333333331"/>
    <n v="0.33333333333333331"/>
    <n v="0.33333333333333331"/>
    <n v="0"/>
    <n v="0"/>
    <s v="Y"/>
    <n v="0"/>
    <n v="0"/>
    <n v="0"/>
    <n v="0"/>
    <n v="0"/>
    <s v="Hampton"/>
    <m/>
    <m/>
    <m/>
    <m/>
    <x v="1"/>
  </r>
  <r>
    <s v="18/0723/FUL"/>
    <s v="NEW"/>
    <m/>
    <s v="3 Queens Rise_x000a_Richmond_x000a_TW10 6HL"/>
    <s v="Demolition of existing dwelling and the erection of a replacement two storey, 4 bedroom dwelling"/>
    <m/>
    <m/>
    <x v="2"/>
    <s v="Open Market"/>
    <n v="518695"/>
    <n v="174476"/>
    <m/>
    <n v="0"/>
    <n v="0"/>
    <n v="0"/>
    <n v="1"/>
    <m/>
    <m/>
    <m/>
    <n v="1"/>
    <m/>
    <n v="0"/>
    <n v="0"/>
    <n v="0"/>
    <n v="1"/>
    <m/>
    <m/>
    <m/>
    <n v="1"/>
    <m/>
    <n v="0"/>
    <n v="0"/>
    <n v="0"/>
    <n v="0"/>
    <n v="0"/>
    <n v="0"/>
    <n v="0"/>
    <n v="0"/>
    <m/>
    <n v="0"/>
    <n v="0"/>
    <n v="0"/>
    <n v="0"/>
    <n v="0"/>
    <n v="0"/>
    <n v="0"/>
    <n v="0"/>
    <n v="0"/>
    <n v="0"/>
    <n v="0"/>
    <n v="0"/>
    <n v="0"/>
    <s v="South Richmond"/>
    <m/>
    <m/>
    <m/>
    <m/>
    <x v="0"/>
  </r>
  <r>
    <s v="18/0866/FUL"/>
    <s v="EXT"/>
    <m/>
    <s v="422 Upper Richmond Road West East Sheen"/>
    <s v="Extension and alterations to existing 2 no. retail units and 1 no. 3-bedroom residential unit to provide 1 no. A1/A2/B1 unit and 5 no. residential units, including provision of lower ground floor level and rear dormers."/>
    <m/>
    <m/>
    <x v="2"/>
    <s v="Open Market"/>
    <n v="519849"/>
    <n v="175357"/>
    <m/>
    <n v="0"/>
    <n v="0"/>
    <n v="1"/>
    <n v="0"/>
    <m/>
    <m/>
    <m/>
    <n v="1"/>
    <n v="1"/>
    <n v="4"/>
    <n v="0"/>
    <n v="0"/>
    <n v="0"/>
    <m/>
    <m/>
    <m/>
    <n v="5"/>
    <n v="1"/>
    <n v="4"/>
    <n v="0"/>
    <n v="-1"/>
    <n v="0"/>
    <n v="0"/>
    <n v="0"/>
    <n v="0"/>
    <n v="4"/>
    <m/>
    <n v="0"/>
    <n v="1"/>
    <n v="1"/>
    <n v="1"/>
    <n v="1"/>
    <n v="0"/>
    <n v="0"/>
    <s v="Y"/>
    <n v="0"/>
    <n v="0"/>
    <n v="0"/>
    <n v="0"/>
    <n v="0"/>
    <s v="North Richmond"/>
    <m/>
    <m/>
    <m/>
    <m/>
    <x v="0"/>
  </r>
  <r>
    <s v="18/0946/FUL"/>
    <s v="CHU"/>
    <m/>
    <s v="Second Floor Flat _x000a_302 Sandycombe Road_x000a_Richmond_x000a_TW9 3NG"/>
    <s v="Conversion of Second Floor Flat into 2 no. x 1-bedroom Flats"/>
    <m/>
    <m/>
    <x v="2"/>
    <s v="Open Market"/>
    <n v="519061"/>
    <n v="176659"/>
    <m/>
    <n v="0"/>
    <n v="1"/>
    <n v="0"/>
    <n v="0"/>
    <m/>
    <m/>
    <m/>
    <n v="1"/>
    <m/>
    <n v="2"/>
    <n v="0"/>
    <n v="0"/>
    <n v="0"/>
    <m/>
    <m/>
    <m/>
    <n v="2"/>
    <m/>
    <n v="2"/>
    <n v="-1"/>
    <n v="0"/>
    <n v="0"/>
    <n v="0"/>
    <n v="0"/>
    <n v="0"/>
    <n v="1"/>
    <m/>
    <n v="0"/>
    <n v="0"/>
    <n v="0"/>
    <n v="0"/>
    <n v="0"/>
    <n v="0"/>
    <n v="0"/>
    <n v="0"/>
    <n v="0"/>
    <n v="0"/>
    <n v="0"/>
    <n v="0"/>
    <n v="0"/>
    <s v="Kew"/>
    <m/>
    <m/>
    <m/>
    <m/>
    <x v="0"/>
  </r>
  <r>
    <s v="18/1022/FUL"/>
    <s v="CON"/>
    <m/>
    <s v="Elmfield House_x000a_High Street_x000a_Teddington_x000a_TW11 8EW"/>
    <s v="Change of use of 1st floor from C3 (Residential) use to D1 use (Dental Surgery). Replacement 5 no. windows on second floor front elevation."/>
    <m/>
    <m/>
    <x v="2"/>
    <s v="Open Market"/>
    <n v="515922"/>
    <n v="171125"/>
    <m/>
    <n v="1"/>
    <n v="0"/>
    <n v="0"/>
    <n v="0"/>
    <m/>
    <m/>
    <m/>
    <n v="1"/>
    <m/>
    <n v="0"/>
    <n v="0"/>
    <n v="0"/>
    <n v="0"/>
    <m/>
    <m/>
    <m/>
    <n v="0"/>
    <m/>
    <n v="-1"/>
    <n v="0"/>
    <n v="0"/>
    <n v="0"/>
    <n v="0"/>
    <n v="0"/>
    <n v="0"/>
    <n v="-1"/>
    <m/>
    <n v="0"/>
    <n v="-0.25"/>
    <n v="-0.25"/>
    <n v="-0.25"/>
    <n v="-0.25"/>
    <n v="0"/>
    <n v="0"/>
    <s v="Y"/>
    <n v="0"/>
    <n v="0"/>
    <n v="0"/>
    <n v="0"/>
    <n v="0"/>
    <s v="Teddington"/>
    <m/>
    <m/>
    <s v="Teddington"/>
    <m/>
    <x v="0"/>
  </r>
  <r>
    <s v="18/1038/FUL"/>
    <s v="NEW"/>
    <m/>
    <s v="21A St Leonards Road East Sheen SW14 7LY"/>
    <s v="Partial demolition and alterations to the existing building and the erection of 3 x 3-bedroom new build houses on the eastern part of the site, with associated parking and landscaping."/>
    <m/>
    <m/>
    <x v="2"/>
    <s v="Open Market"/>
    <n v="520397"/>
    <n v="175552"/>
    <m/>
    <n v="0"/>
    <n v="0"/>
    <n v="0"/>
    <n v="0"/>
    <m/>
    <m/>
    <m/>
    <n v="0"/>
    <m/>
    <n v="0"/>
    <n v="0"/>
    <n v="3"/>
    <n v="0"/>
    <m/>
    <m/>
    <m/>
    <n v="3"/>
    <m/>
    <n v="0"/>
    <n v="0"/>
    <n v="3"/>
    <n v="0"/>
    <n v="0"/>
    <n v="0"/>
    <n v="0"/>
    <n v="3"/>
    <m/>
    <n v="0"/>
    <n v="0"/>
    <n v="1"/>
    <n v="1"/>
    <n v="1"/>
    <n v="0"/>
    <n v="0"/>
    <s v="Y"/>
    <n v="0"/>
    <n v="0"/>
    <n v="0"/>
    <n v="0"/>
    <n v="0"/>
    <s v="East Sheen"/>
    <m/>
    <m/>
    <s v="East Sheen"/>
    <m/>
    <x v="0"/>
  </r>
  <r>
    <s v="18/1064/GPD15"/>
    <s v="CHU"/>
    <s v="PA"/>
    <s v="21A St Leonards Road East Sheen SW14 7LY"/>
    <s v="Change of use from offices (B1) to residential (C3)"/>
    <m/>
    <m/>
    <x v="2"/>
    <s v="Open Market"/>
    <n v="520397"/>
    <n v="175552"/>
    <m/>
    <n v="0"/>
    <n v="0"/>
    <n v="0"/>
    <n v="0"/>
    <m/>
    <m/>
    <m/>
    <n v="0"/>
    <m/>
    <n v="0"/>
    <n v="0"/>
    <n v="5"/>
    <n v="0"/>
    <m/>
    <m/>
    <m/>
    <n v="5"/>
    <m/>
    <n v="0"/>
    <n v="0"/>
    <n v="5"/>
    <n v="0"/>
    <n v="0"/>
    <n v="0"/>
    <n v="0"/>
    <n v="5"/>
    <m/>
    <n v="0"/>
    <n v="1.25"/>
    <n v="1.25"/>
    <n v="1.25"/>
    <n v="1.25"/>
    <n v="0"/>
    <n v="0"/>
    <s v="Y"/>
    <n v="0"/>
    <n v="0"/>
    <n v="0"/>
    <n v="0"/>
    <n v="0"/>
    <s v="East Sheen"/>
    <m/>
    <m/>
    <s v="East Sheen"/>
    <m/>
    <x v="0"/>
  </r>
  <r>
    <s v="18/1248/FUL"/>
    <s v="CHU"/>
    <m/>
    <s v="1 Trinity Road_x000a_Richmond_x000a_TW9 2LD"/>
    <s v="Conversion, refurbishment and extension of existing tyre shop with maisonette above (C3) into two self-contained one bedroom flats (C3)."/>
    <m/>
    <m/>
    <x v="2"/>
    <s v="Open Market"/>
    <n v="518862"/>
    <n v="175562"/>
    <m/>
    <n v="1"/>
    <n v="0"/>
    <n v="0"/>
    <n v="0"/>
    <m/>
    <m/>
    <m/>
    <n v="1"/>
    <m/>
    <n v="2"/>
    <n v="0"/>
    <n v="0"/>
    <n v="0"/>
    <m/>
    <m/>
    <m/>
    <n v="2"/>
    <m/>
    <n v="1"/>
    <n v="0"/>
    <n v="0"/>
    <n v="0"/>
    <n v="0"/>
    <n v="0"/>
    <n v="0"/>
    <n v="1"/>
    <m/>
    <n v="0"/>
    <n v="0.25"/>
    <n v="0.25"/>
    <n v="0.25"/>
    <n v="0.25"/>
    <n v="0"/>
    <n v="0"/>
    <s v="Y"/>
    <n v="0"/>
    <n v="0"/>
    <n v="0"/>
    <n v="0"/>
    <n v="0"/>
    <s v="North Richmond"/>
    <m/>
    <m/>
    <m/>
    <m/>
    <x v="0"/>
  </r>
  <r>
    <s v="18/1360/GPD15"/>
    <s v="CHU"/>
    <s v="PA"/>
    <s v="1 Coval Passage_x000a_East Sheen_x000a_London_x000a_SW14 7RE"/>
    <s v="Change of use of ground floor from B1 (office) to C3 (dwellinghouse) to provide a 1 bedroom unit."/>
    <m/>
    <m/>
    <x v="2"/>
    <s v="Open Market"/>
    <n v="520124"/>
    <n v="175293"/>
    <m/>
    <n v="0"/>
    <n v="0"/>
    <n v="0"/>
    <n v="0"/>
    <m/>
    <m/>
    <m/>
    <n v="0"/>
    <m/>
    <n v="1"/>
    <n v="0"/>
    <n v="0"/>
    <n v="0"/>
    <m/>
    <m/>
    <m/>
    <n v="1"/>
    <m/>
    <n v="1"/>
    <n v="0"/>
    <n v="0"/>
    <n v="0"/>
    <n v="0"/>
    <n v="0"/>
    <n v="0"/>
    <n v="1"/>
    <m/>
    <n v="0"/>
    <n v="1"/>
    <n v="0"/>
    <n v="0"/>
    <n v="0"/>
    <n v="0"/>
    <n v="0"/>
    <n v="0"/>
    <n v="0"/>
    <n v="0"/>
    <n v="0"/>
    <n v="0"/>
    <n v="0"/>
    <s v="East Sheen"/>
    <m/>
    <m/>
    <s v="East Sheen"/>
    <m/>
    <x v="0"/>
  </r>
  <r>
    <s v="18/1428/FUL"/>
    <s v="EXT"/>
    <m/>
    <s v="29 Rivermeads Avenue_x000a_Twickenham_x000a_TW2 5JL"/>
    <s v="Demolition of existing single storey garage/side extension and sub-division of plot to allow for the provision of a new dwellinghouse with associated hard and soft landscaping and boundary works, off-street car parking for the existing and proposed dwell"/>
    <m/>
    <m/>
    <x v="2"/>
    <s v="Open Market"/>
    <n v="513713"/>
    <n v="172406"/>
    <m/>
    <n v="0"/>
    <n v="0"/>
    <n v="0"/>
    <n v="0"/>
    <m/>
    <m/>
    <m/>
    <n v="0"/>
    <m/>
    <n v="0"/>
    <n v="0"/>
    <n v="1"/>
    <n v="0"/>
    <m/>
    <m/>
    <m/>
    <n v="1"/>
    <m/>
    <n v="0"/>
    <n v="0"/>
    <n v="1"/>
    <n v="0"/>
    <n v="0"/>
    <n v="0"/>
    <n v="0"/>
    <n v="1"/>
    <m/>
    <n v="0"/>
    <n v="0.25"/>
    <n v="0.25"/>
    <n v="0.25"/>
    <n v="0.25"/>
    <n v="0"/>
    <n v="0"/>
    <s v="Y"/>
    <n v="0"/>
    <n v="0"/>
    <n v="0"/>
    <n v="0"/>
    <n v="0"/>
    <s v="West Twickenham"/>
    <m/>
    <m/>
    <m/>
    <m/>
    <x v="0"/>
  </r>
  <r>
    <s v="18/1442/FUL"/>
    <s v="NEW"/>
    <m/>
    <s v="Land Rear Of 48 Fourth Cross Road Twickenham"/>
    <s v="Demolition of the existing outbuilding to the rear of no.48 Fourth Cross Road accessed via Rutland Road and construction of 1x2 bedroom dwelling including basement, with associated car parking, cycle parking and recycle/refuse storage."/>
    <m/>
    <m/>
    <x v="2"/>
    <s v="Open Market"/>
    <n v="514703"/>
    <n v="172701"/>
    <m/>
    <n v="0"/>
    <n v="0"/>
    <n v="0"/>
    <n v="0"/>
    <m/>
    <m/>
    <m/>
    <n v="0"/>
    <m/>
    <n v="0"/>
    <n v="1"/>
    <n v="0"/>
    <n v="0"/>
    <m/>
    <m/>
    <m/>
    <n v="1"/>
    <m/>
    <n v="0"/>
    <n v="1"/>
    <n v="0"/>
    <n v="0"/>
    <n v="0"/>
    <n v="0"/>
    <n v="0"/>
    <n v="1"/>
    <m/>
    <n v="0"/>
    <n v="0"/>
    <n v="0.33333333333333331"/>
    <n v="0.33333333333333331"/>
    <n v="0.33333333333333331"/>
    <n v="0"/>
    <n v="0"/>
    <s v="Y"/>
    <n v="0"/>
    <n v="0"/>
    <n v="0"/>
    <n v="0"/>
    <n v="0"/>
    <s v="West Twickenham"/>
    <m/>
    <m/>
    <m/>
    <m/>
    <x v="0"/>
  </r>
  <r>
    <s v="18/1743/FUL"/>
    <s v="NEW"/>
    <m/>
    <s v="168 Broom Road_x000a_Teddington_x000a_TW11 9PQ"/>
    <s v="Subdivision of existing curtilage at 168 Broom Road; alterations to existing garage to the rear of the site comprising single storey side extension; two rear dormer roof extensions; two rooflights to the front roofslope and fenestration alterations to fa"/>
    <m/>
    <m/>
    <x v="2"/>
    <s v="Open Market"/>
    <n v="517388"/>
    <n v="170706"/>
    <m/>
    <n v="0"/>
    <n v="0"/>
    <n v="0"/>
    <n v="0"/>
    <m/>
    <m/>
    <m/>
    <n v="0"/>
    <m/>
    <n v="1"/>
    <n v="0"/>
    <n v="0"/>
    <n v="0"/>
    <m/>
    <m/>
    <m/>
    <n v="1"/>
    <m/>
    <n v="1"/>
    <n v="0"/>
    <n v="0"/>
    <n v="0"/>
    <n v="0"/>
    <n v="0"/>
    <n v="0"/>
    <n v="1"/>
    <m/>
    <n v="0"/>
    <n v="0"/>
    <n v="0.33333333333333331"/>
    <n v="0.33333333333333331"/>
    <n v="0.33333333333333331"/>
    <n v="0"/>
    <n v="0"/>
    <s v="Y"/>
    <n v="0"/>
    <n v="0"/>
    <n v="0"/>
    <n v="0"/>
    <n v="0"/>
    <s v="Hampton Wick"/>
    <m/>
    <m/>
    <m/>
    <m/>
    <x v="1"/>
  </r>
  <r>
    <s v="18/1808/FUL"/>
    <s v="NEW"/>
    <m/>
    <s v="12 - 14 Church Lane_x000a_Teddington"/>
    <s v="Demolition of existing building in Use Class B8 (storage and distribution) and change of use of land to C3 (residential) use.  Erection of a part two storey part single storey building to provide 4 bed (4B8P) dwellinghouse with associated parking, hard a"/>
    <m/>
    <m/>
    <x v="2"/>
    <s v="Open Market"/>
    <n v="515803"/>
    <n v="171071"/>
    <m/>
    <n v="0"/>
    <n v="0"/>
    <n v="0"/>
    <n v="0"/>
    <m/>
    <m/>
    <m/>
    <n v="0"/>
    <m/>
    <n v="0"/>
    <n v="0"/>
    <n v="0"/>
    <n v="1"/>
    <m/>
    <m/>
    <m/>
    <n v="1"/>
    <m/>
    <n v="0"/>
    <n v="0"/>
    <n v="0"/>
    <n v="1"/>
    <n v="0"/>
    <n v="0"/>
    <n v="0"/>
    <n v="1"/>
    <m/>
    <n v="0"/>
    <n v="0"/>
    <n v="0.33333333333333331"/>
    <n v="0.33333333333333331"/>
    <n v="0.33333333333333331"/>
    <n v="0"/>
    <n v="0"/>
    <s v="Y"/>
    <n v="0"/>
    <n v="0"/>
    <n v="0"/>
    <n v="0"/>
    <n v="0"/>
    <s v="Teddington"/>
    <m/>
    <m/>
    <m/>
    <m/>
    <x v="0"/>
  </r>
  <r>
    <s v="18/1817/GPD15"/>
    <s v="CHU"/>
    <s v="PA"/>
    <s v="9 Elmtree Road_x000a_Teddington_x000a_TW11 8SJ"/>
    <s v="Change of use from an office (Use Class B1(a)) to residential (Use Class C3) to provide 1 x 4 bed dwellinghouse."/>
    <m/>
    <m/>
    <x v="2"/>
    <s v="Open Market"/>
    <n v="515379"/>
    <n v="171492"/>
    <m/>
    <n v="0"/>
    <n v="0"/>
    <n v="0"/>
    <n v="0"/>
    <m/>
    <m/>
    <m/>
    <n v="0"/>
    <m/>
    <n v="0"/>
    <n v="0"/>
    <n v="0"/>
    <n v="1"/>
    <m/>
    <m/>
    <m/>
    <n v="1"/>
    <m/>
    <n v="0"/>
    <n v="0"/>
    <n v="0"/>
    <n v="1"/>
    <n v="0"/>
    <n v="0"/>
    <n v="0"/>
    <n v="1"/>
    <m/>
    <n v="0"/>
    <n v="0.25"/>
    <n v="0.25"/>
    <n v="0.25"/>
    <n v="0.25"/>
    <n v="0"/>
    <n v="0"/>
    <s v="Y"/>
    <n v="0"/>
    <n v="0"/>
    <n v="0"/>
    <n v="0"/>
    <n v="0"/>
    <s v="Fulwell and Hampton Hill"/>
    <m/>
    <m/>
    <m/>
    <m/>
    <x v="0"/>
  </r>
  <r>
    <s v="18/1911/FUL"/>
    <s v="EXT"/>
    <m/>
    <s v="74 Copthall Gardens Twickenham TW1 4HJ"/>
    <s v="First floor side extension and internal alterations (loss of floor space to existing first floor flat) in connection with the formation of an additional studio flat."/>
    <m/>
    <m/>
    <x v="2"/>
    <s v="Open Market"/>
    <n v="515913"/>
    <n v="173384"/>
    <m/>
    <n v="0"/>
    <n v="0"/>
    <n v="0"/>
    <n v="0"/>
    <m/>
    <m/>
    <m/>
    <n v="0"/>
    <n v="1"/>
    <n v="0"/>
    <n v="0"/>
    <n v="0"/>
    <n v="0"/>
    <m/>
    <m/>
    <m/>
    <n v="1"/>
    <n v="1"/>
    <n v="0"/>
    <n v="0"/>
    <n v="0"/>
    <n v="0"/>
    <n v="0"/>
    <n v="0"/>
    <n v="0"/>
    <n v="1"/>
    <m/>
    <n v="0"/>
    <n v="0.25"/>
    <n v="0.25"/>
    <n v="0.25"/>
    <n v="0.25"/>
    <n v="0"/>
    <n v="0"/>
    <s v="Y"/>
    <n v="0"/>
    <n v="0"/>
    <n v="0"/>
    <n v="0"/>
    <n v="0"/>
    <s v="Twickenham Riverside"/>
    <m/>
    <m/>
    <m/>
    <m/>
    <x v="0"/>
  </r>
  <r>
    <s v="18/2038/FUL"/>
    <s v="NEW"/>
    <m/>
    <s v="33 Parke Road_x000a_Barnes_x000a_London_x000a_SW13 9NJ"/>
    <s v="Demolition of existing building and construction of new building with basement."/>
    <m/>
    <m/>
    <x v="2"/>
    <s v="Open Market"/>
    <n v="522063"/>
    <n v="177165"/>
    <m/>
    <n v="0"/>
    <n v="0"/>
    <n v="0"/>
    <n v="0"/>
    <m/>
    <n v="1"/>
    <m/>
    <n v="1"/>
    <m/>
    <n v="0"/>
    <n v="0"/>
    <n v="0"/>
    <n v="0"/>
    <n v="1"/>
    <m/>
    <m/>
    <n v="1"/>
    <m/>
    <n v="0"/>
    <n v="0"/>
    <n v="0"/>
    <n v="0"/>
    <n v="1"/>
    <n v="-1"/>
    <n v="0"/>
    <n v="0"/>
    <m/>
    <n v="0"/>
    <n v="0"/>
    <n v="0"/>
    <n v="0"/>
    <n v="0"/>
    <n v="0"/>
    <n v="0"/>
    <n v="0"/>
    <n v="0"/>
    <n v="0"/>
    <n v="0"/>
    <n v="0"/>
    <n v="0"/>
    <s v="Barnes"/>
    <m/>
    <m/>
    <m/>
    <m/>
    <x v="0"/>
  </r>
  <r>
    <s v="18/2112/FUL"/>
    <s v="NEW"/>
    <m/>
    <s v="23 Waldegrave Road_x000a_Teddington_x000a_TW11 8LA"/>
    <s v="Demolition of existing single storey side extension. New entrance gates and construction of new 2 storey detached building (Unit 2) and External alterations and extensions to existing buildings to facilitate the change of use of existing building to prov"/>
    <m/>
    <m/>
    <x v="2"/>
    <s v="Open Market"/>
    <n v="515852"/>
    <n v="171124"/>
    <m/>
    <n v="0"/>
    <n v="0"/>
    <n v="0"/>
    <n v="0"/>
    <m/>
    <m/>
    <m/>
    <n v="0"/>
    <m/>
    <n v="0"/>
    <n v="0"/>
    <n v="0"/>
    <n v="0"/>
    <m/>
    <m/>
    <m/>
    <n v="0"/>
    <m/>
    <n v="0"/>
    <n v="0"/>
    <n v="0"/>
    <n v="0"/>
    <n v="0"/>
    <n v="0"/>
    <n v="0"/>
    <n v="0"/>
    <m/>
    <n v="0"/>
    <n v="0"/>
    <n v="0"/>
    <n v="0"/>
    <n v="0"/>
    <n v="0"/>
    <n v="0"/>
    <n v="0"/>
    <n v="0"/>
    <n v="0"/>
    <n v="0"/>
    <n v="0"/>
    <n v="0"/>
    <s v="Teddington"/>
    <m/>
    <m/>
    <m/>
    <m/>
    <x v="0"/>
  </r>
  <r>
    <s v="18/2235/VRC"/>
    <s v="CHU"/>
    <m/>
    <s v="Jolly Coopers 16 High Street Hampton TW12 2SJ"/>
    <s v="Removal of Condition U35386 (Residential-Ancillary Accommodation) and vary condition U35387 (Mixed use A4/C1) of planning permission 17/2301/FUL to exclude the reference to the stable block."/>
    <m/>
    <m/>
    <x v="2"/>
    <s v="Open Market"/>
    <n v="514005"/>
    <n v="169556"/>
    <m/>
    <n v="0"/>
    <n v="0"/>
    <n v="1"/>
    <n v="0"/>
    <m/>
    <m/>
    <m/>
    <n v="1"/>
    <m/>
    <n v="0"/>
    <n v="1"/>
    <n v="0"/>
    <n v="0"/>
    <m/>
    <m/>
    <m/>
    <n v="1"/>
    <m/>
    <n v="0"/>
    <n v="1"/>
    <n v="-1"/>
    <n v="0"/>
    <n v="0"/>
    <n v="0"/>
    <n v="0"/>
    <n v="0"/>
    <m/>
    <n v="0"/>
    <n v="0"/>
    <n v="0"/>
    <n v="0"/>
    <n v="0"/>
    <n v="0"/>
    <n v="0"/>
    <n v="0"/>
    <n v="0"/>
    <n v="0"/>
    <n v="0"/>
    <n v="0"/>
    <n v="0"/>
    <s v="Hampton"/>
    <m/>
    <s v="Thames Street"/>
    <m/>
    <m/>
    <x v="0"/>
  </r>
  <r>
    <s v="18/2322/FUL"/>
    <s v="CHU"/>
    <m/>
    <s v="300 - 302 Sandycombe Road Richmond TW9 3NG"/>
    <s v="Demolition of existing single-storey rear lean-to extension and formation of new external patio and other external alterations to elevations.  Change of use of rear part of ground floor level from A1(retail) to C3 (residential) to faciliate its conversio"/>
    <m/>
    <m/>
    <x v="2"/>
    <s v="Open Market"/>
    <n v="519061"/>
    <n v="176662"/>
    <m/>
    <n v="0"/>
    <n v="0"/>
    <n v="0"/>
    <n v="0"/>
    <m/>
    <m/>
    <m/>
    <n v="0"/>
    <m/>
    <n v="0"/>
    <n v="1"/>
    <n v="0"/>
    <n v="0"/>
    <m/>
    <m/>
    <m/>
    <n v="1"/>
    <m/>
    <n v="0"/>
    <n v="1"/>
    <n v="0"/>
    <n v="0"/>
    <n v="0"/>
    <n v="0"/>
    <n v="0"/>
    <n v="1"/>
    <m/>
    <n v="0"/>
    <n v="0.25"/>
    <n v="0.25"/>
    <n v="0.25"/>
    <n v="0.25"/>
    <n v="0"/>
    <n v="0"/>
    <s v="Y"/>
    <n v="0"/>
    <n v="0"/>
    <n v="0"/>
    <n v="0"/>
    <n v="0"/>
    <s v="Kew"/>
    <m/>
    <m/>
    <m/>
    <m/>
    <x v="0"/>
  </r>
  <r>
    <s v="18/2328/GPD15"/>
    <s v="CHU"/>
    <s v="PA"/>
    <s v="4 Udney Park Road Teddington TW11 9BG"/>
    <s v="Change of use from B1 to C3 (1No. studio flat and 2No. one bed apartments)."/>
    <m/>
    <m/>
    <x v="2"/>
    <s v="Open Market"/>
    <n v="516288"/>
    <n v="171091"/>
    <m/>
    <n v="0"/>
    <n v="0"/>
    <n v="0"/>
    <n v="0"/>
    <m/>
    <m/>
    <m/>
    <n v="0"/>
    <n v="1"/>
    <n v="2"/>
    <n v="0"/>
    <n v="0"/>
    <n v="0"/>
    <m/>
    <m/>
    <m/>
    <n v="3"/>
    <n v="1"/>
    <n v="2"/>
    <n v="0"/>
    <n v="0"/>
    <n v="0"/>
    <n v="0"/>
    <n v="0"/>
    <n v="0"/>
    <n v="3"/>
    <m/>
    <n v="0"/>
    <n v="0.75"/>
    <n v="0.75"/>
    <n v="0.75"/>
    <n v="0.75"/>
    <n v="0"/>
    <n v="0"/>
    <s v="Y"/>
    <n v="0"/>
    <n v="0"/>
    <n v="0"/>
    <n v="0"/>
    <n v="0"/>
    <s v="Teddington"/>
    <m/>
    <m/>
    <s v="Teddington"/>
    <m/>
    <x v="0"/>
  </r>
  <r>
    <s v="18/2494/FUL"/>
    <s v="NEW"/>
    <m/>
    <s v="4 West Temple Sheen_x000a_East Sheen_x000a_London_x000a_SW14 7RT"/>
    <s v="Demolition of an existing dwelling and erection of 2no. two-storey three-bedroom dwelling houses with roof space accommodation  and associated landscaping. Replacement of front boundary wall. Removal of crossover and closure of vehicular access."/>
    <m/>
    <m/>
    <x v="2"/>
    <s v="Open Market"/>
    <n v="519884"/>
    <n v="175023"/>
    <m/>
    <n v="0"/>
    <n v="1"/>
    <n v="0"/>
    <n v="0"/>
    <m/>
    <m/>
    <m/>
    <n v="1"/>
    <m/>
    <n v="0"/>
    <n v="0"/>
    <n v="2"/>
    <n v="0"/>
    <m/>
    <m/>
    <m/>
    <n v="2"/>
    <m/>
    <n v="0"/>
    <n v="-1"/>
    <n v="2"/>
    <n v="0"/>
    <n v="0"/>
    <n v="0"/>
    <n v="0"/>
    <n v="1"/>
    <m/>
    <n v="0"/>
    <n v="0"/>
    <n v="0.33333333333333331"/>
    <n v="0.33333333333333331"/>
    <n v="0.33333333333333331"/>
    <n v="0"/>
    <n v="0"/>
    <s v="Y"/>
    <n v="0"/>
    <n v="0"/>
    <n v="0"/>
    <n v="0"/>
    <n v="0"/>
    <s v="East Sheen"/>
    <m/>
    <m/>
    <m/>
    <m/>
    <x v="1"/>
  </r>
  <r>
    <s v="18/2654/FUL"/>
    <s v="EXT"/>
    <m/>
    <s v="East Sheen Baptist Church _x000a_Temple Sheen Road_x000a_East Sheen_x000a_London_x000a_SW14 7PY"/>
    <s v="Erection of single-storey extension to front elevation of existing church hall building."/>
    <m/>
    <m/>
    <x v="2"/>
    <s v="Open Market"/>
    <n v="520162"/>
    <n v="175278"/>
    <m/>
    <n v="0"/>
    <n v="0"/>
    <n v="0"/>
    <n v="0"/>
    <m/>
    <m/>
    <m/>
    <n v="0"/>
    <m/>
    <n v="0"/>
    <n v="0"/>
    <n v="0"/>
    <n v="0"/>
    <m/>
    <m/>
    <m/>
    <n v="0"/>
    <m/>
    <n v="0"/>
    <n v="0"/>
    <n v="0"/>
    <n v="0"/>
    <n v="0"/>
    <n v="0"/>
    <n v="0"/>
    <n v="0"/>
    <m/>
    <n v="0"/>
    <n v="0"/>
    <n v="0"/>
    <n v="0"/>
    <n v="0"/>
    <n v="0"/>
    <n v="0"/>
    <n v="0"/>
    <n v="0"/>
    <n v="0"/>
    <n v="0"/>
    <n v="0"/>
    <n v="0"/>
    <s v="East Sheen"/>
    <m/>
    <m/>
    <s v="East Sheen"/>
    <m/>
    <x v="0"/>
  </r>
  <r>
    <s v="18/2716/GPD13"/>
    <s v="CHU"/>
    <s v="PA"/>
    <s v="561 - 563 Upper Richmond Road West_x000a_East Sheen_x000a_London_x000a_SW14 7ED"/>
    <s v="Change of use of premises from a A1 use to to C3 (residential use - 2 no studio flats and 1 x 1 bed flat with existing first floor flat above no. 561 to remain)"/>
    <m/>
    <m/>
    <x v="2"/>
    <s v="Open Market"/>
    <n v="519756"/>
    <n v="175319"/>
    <m/>
    <n v="0"/>
    <n v="0"/>
    <n v="0"/>
    <n v="0"/>
    <m/>
    <m/>
    <m/>
    <n v="0"/>
    <n v="2"/>
    <n v="1"/>
    <n v="0"/>
    <n v="0"/>
    <n v="0"/>
    <m/>
    <m/>
    <m/>
    <n v="3"/>
    <n v="2"/>
    <n v="1"/>
    <n v="0"/>
    <n v="0"/>
    <n v="0"/>
    <n v="0"/>
    <n v="0"/>
    <n v="0"/>
    <n v="3"/>
    <m/>
    <n v="0"/>
    <n v="0.75"/>
    <n v="0.75"/>
    <n v="0.75"/>
    <n v="0.75"/>
    <n v="0"/>
    <n v="0"/>
    <s v="Y"/>
    <n v="0"/>
    <n v="0"/>
    <n v="0"/>
    <n v="0"/>
    <n v="0"/>
    <s v="East Sheen"/>
    <m/>
    <m/>
    <m/>
    <m/>
    <x v="0"/>
  </r>
  <r>
    <s v="18/3195/GPD15"/>
    <s v="CHU"/>
    <s v="PA"/>
    <s v="75 Sheen Lane_x000a_East Sheen_x000a_London_x000a_SW14 8AD"/>
    <s v="Change of use of first and second floor B1(a) office accommodation to 1 x three bedroom C3 residential unit."/>
    <m/>
    <m/>
    <x v="2"/>
    <s v="Open Market"/>
    <n v="520495"/>
    <n v="175597"/>
    <m/>
    <n v="0"/>
    <n v="0"/>
    <n v="0"/>
    <n v="0"/>
    <m/>
    <m/>
    <m/>
    <n v="0"/>
    <m/>
    <n v="0"/>
    <n v="0"/>
    <n v="1"/>
    <n v="0"/>
    <m/>
    <m/>
    <m/>
    <n v="1"/>
    <m/>
    <n v="0"/>
    <n v="0"/>
    <n v="1"/>
    <n v="0"/>
    <n v="0"/>
    <n v="0"/>
    <n v="0"/>
    <n v="1"/>
    <m/>
    <n v="0"/>
    <n v="0.25"/>
    <n v="0.25"/>
    <n v="0.25"/>
    <n v="0.25"/>
    <n v="0"/>
    <n v="0"/>
    <s v="Y"/>
    <n v="0"/>
    <n v="0"/>
    <n v="0"/>
    <n v="0"/>
    <n v="0"/>
    <s v="East Sheen"/>
    <m/>
    <m/>
    <s v="East Sheen"/>
    <m/>
    <x v="0"/>
  </r>
  <r>
    <s v="18/3210/GPD15"/>
    <s v="CHU"/>
    <s v="PA"/>
    <s v="59 North Worple Way_x000a_Mortlake_x000a_London"/>
    <s v="Change use from B1a offices to C3 residential, as a 1 x 2 bedroom flat."/>
    <m/>
    <m/>
    <x v="2"/>
    <s v="Open Market"/>
    <n v="520890"/>
    <n v="175755"/>
    <m/>
    <n v="0"/>
    <n v="0"/>
    <n v="0"/>
    <n v="0"/>
    <m/>
    <m/>
    <m/>
    <n v="0"/>
    <m/>
    <n v="0"/>
    <n v="1"/>
    <n v="0"/>
    <n v="0"/>
    <m/>
    <m/>
    <m/>
    <n v="1"/>
    <m/>
    <n v="0"/>
    <n v="1"/>
    <n v="0"/>
    <n v="0"/>
    <n v="0"/>
    <n v="0"/>
    <n v="0"/>
    <n v="1"/>
    <m/>
    <n v="0"/>
    <n v="0.25"/>
    <n v="0.25"/>
    <n v="0.25"/>
    <n v="0.25"/>
    <n v="0"/>
    <n v="0"/>
    <s v="Y"/>
    <n v="0"/>
    <n v="0"/>
    <n v="0"/>
    <n v="0"/>
    <n v="0"/>
    <s v="Mortlake and Barnes Common"/>
    <m/>
    <m/>
    <m/>
    <m/>
    <x v="0"/>
  </r>
  <r>
    <s v="18/3285/FUL"/>
    <s v="NEW"/>
    <m/>
    <s v="74 Lowther Road_x000a_Barnes_x000a_London_x000a_SW13 9NU"/>
    <s v="Demolition of existing house and construction of a new 5 bed house with basement"/>
    <m/>
    <m/>
    <x v="2"/>
    <s v="Open Market"/>
    <n v="521978"/>
    <n v="177062"/>
    <m/>
    <n v="0"/>
    <n v="0"/>
    <n v="0"/>
    <n v="1"/>
    <m/>
    <m/>
    <m/>
    <n v="1"/>
    <m/>
    <n v="0"/>
    <n v="0"/>
    <n v="0"/>
    <n v="0"/>
    <n v="1"/>
    <m/>
    <m/>
    <n v="1"/>
    <m/>
    <n v="0"/>
    <n v="0"/>
    <n v="0"/>
    <n v="-1"/>
    <n v="1"/>
    <n v="0"/>
    <n v="0"/>
    <n v="0"/>
    <m/>
    <n v="0"/>
    <n v="0"/>
    <n v="0"/>
    <n v="0"/>
    <n v="0"/>
    <n v="0"/>
    <n v="0"/>
    <n v="0"/>
    <n v="0"/>
    <n v="0"/>
    <n v="0"/>
    <n v="0"/>
    <n v="0"/>
    <s v="Barnes"/>
    <m/>
    <m/>
    <m/>
    <m/>
    <x v="0"/>
  </r>
  <r>
    <s v="18/3460/FUL"/>
    <s v="CON"/>
    <m/>
    <s v="20A Red Lion Street_x000a_Richmond_x000a_TW9 1RW"/>
    <s v="Infill of internal void with new roof section over to facilitate conversion of existing three-bedroom dwelling (flat) above a retail unit to 2no. one-bed dwellings (flats) above retail unit."/>
    <m/>
    <m/>
    <x v="2"/>
    <s v="Open Market"/>
    <n v="517894"/>
    <n v="174757"/>
    <m/>
    <n v="0"/>
    <n v="0"/>
    <n v="1"/>
    <n v="0"/>
    <m/>
    <m/>
    <m/>
    <n v="1"/>
    <m/>
    <n v="2"/>
    <n v="0"/>
    <n v="0"/>
    <n v="0"/>
    <m/>
    <m/>
    <m/>
    <n v="2"/>
    <m/>
    <n v="2"/>
    <n v="0"/>
    <n v="-1"/>
    <n v="0"/>
    <n v="0"/>
    <n v="0"/>
    <n v="0"/>
    <n v="1"/>
    <m/>
    <n v="0"/>
    <n v="0.25"/>
    <n v="0.25"/>
    <n v="0.25"/>
    <n v="0.25"/>
    <n v="0"/>
    <n v="0"/>
    <s v="Y"/>
    <n v="0"/>
    <n v="0"/>
    <n v="0"/>
    <n v="0"/>
    <n v="0"/>
    <s v="South Richmond"/>
    <m/>
    <m/>
    <s v="Richmond"/>
    <m/>
    <x v="0"/>
  </r>
  <r>
    <s v="18/3515/FUL"/>
    <s v="CON"/>
    <m/>
    <s v="311 Upper Richmond Road West_x000a_East Sheen_x000a_London_x000a_SW14 8QR"/>
    <s v="Conversion of first and second floor flat and construction of rear dormer roof extension to provide 4no. (3 x 1B1P and 1 x 2B3P) residential dwellings and other alterations."/>
    <m/>
    <m/>
    <x v="2"/>
    <s v="Open Market"/>
    <n v="520700"/>
    <n v="175411"/>
    <m/>
    <n v="0"/>
    <n v="2"/>
    <n v="0"/>
    <n v="0"/>
    <m/>
    <m/>
    <m/>
    <n v="0"/>
    <m/>
    <n v="3"/>
    <n v="1"/>
    <n v="0"/>
    <n v="0"/>
    <m/>
    <m/>
    <m/>
    <n v="4"/>
    <m/>
    <n v="3"/>
    <n v="-1"/>
    <n v="0"/>
    <n v="0"/>
    <n v="0"/>
    <n v="0"/>
    <n v="0"/>
    <n v="4"/>
    <m/>
    <n v="0"/>
    <n v="1"/>
    <n v="1"/>
    <n v="1"/>
    <n v="1"/>
    <n v="0"/>
    <n v="0"/>
    <s v="Y"/>
    <n v="0"/>
    <n v="0"/>
    <n v="0"/>
    <n v="0"/>
    <n v="0"/>
    <s v="East Sheen"/>
    <m/>
    <m/>
    <s v="East Sheen"/>
    <m/>
    <x v="0"/>
  </r>
  <r>
    <s v="18/3613/GPD15"/>
    <s v="CHU"/>
    <s v="PA"/>
    <s v="108 Shacklegate Lane_x000a_Teddington_x000a_TW11 8SH"/>
    <s v="Change of use from office B1(a) to C3 (Resdiential) use to provide 1 x 1 bed dwellinghouse."/>
    <m/>
    <m/>
    <x v="2"/>
    <s v="Open Market"/>
    <n v="515394"/>
    <n v="171656"/>
    <m/>
    <n v="0"/>
    <n v="0"/>
    <n v="0"/>
    <n v="0"/>
    <m/>
    <m/>
    <m/>
    <n v="0"/>
    <m/>
    <n v="1"/>
    <n v="0"/>
    <n v="0"/>
    <n v="0"/>
    <m/>
    <m/>
    <m/>
    <n v="1"/>
    <m/>
    <n v="1"/>
    <n v="0"/>
    <n v="0"/>
    <n v="0"/>
    <n v="0"/>
    <n v="0"/>
    <n v="0"/>
    <n v="1"/>
    <m/>
    <n v="0"/>
    <n v="0.25"/>
    <n v="0.25"/>
    <n v="0.25"/>
    <n v="0.25"/>
    <n v="0"/>
    <n v="0"/>
    <s v="Y"/>
    <n v="0"/>
    <n v="0"/>
    <n v="0"/>
    <n v="0"/>
    <n v="0"/>
    <s v="Fulwell and Hampton Hill"/>
    <m/>
    <m/>
    <m/>
    <m/>
    <x v="0"/>
  </r>
  <r>
    <s v="18/3696/FUL"/>
    <s v="CHU"/>
    <m/>
    <s v="192 Heath Road_x000a_Twickenham_x000a_TW2 5TX"/>
    <s v="Change of use of existing A2 (Financial and professional services) to C3 (Residential) to create 1No. 1 bed flat; Fenestration alterations; Insertion of rooflights to single storey front projection and single storey side/rear extension."/>
    <m/>
    <m/>
    <x v="2"/>
    <s v="Open Market"/>
    <n v="515502"/>
    <n v="173093"/>
    <m/>
    <n v="0"/>
    <n v="0"/>
    <n v="0"/>
    <n v="0"/>
    <m/>
    <m/>
    <m/>
    <n v="0"/>
    <m/>
    <n v="1"/>
    <n v="0"/>
    <n v="0"/>
    <n v="0"/>
    <m/>
    <m/>
    <m/>
    <n v="1"/>
    <m/>
    <n v="1"/>
    <n v="0"/>
    <n v="0"/>
    <n v="0"/>
    <n v="0"/>
    <n v="0"/>
    <n v="0"/>
    <n v="1"/>
    <m/>
    <n v="0"/>
    <n v="0.25"/>
    <n v="0.25"/>
    <n v="0.25"/>
    <n v="0.25"/>
    <n v="0"/>
    <n v="0"/>
    <s v="Y"/>
    <n v="0"/>
    <n v="0"/>
    <n v="0"/>
    <n v="0"/>
    <n v="0"/>
    <s v="South Twickenham"/>
    <m/>
    <s v="Twickenham Green"/>
    <m/>
    <m/>
    <x v="0"/>
  </r>
  <r>
    <s v="18/3768/FUL"/>
    <s v="CHU"/>
    <m/>
    <s v="58 Oldfield Road Hampton TW12 2AE"/>
    <s v="Demolition of two existing workshop buildings. Change of use from current vacant B1 use to C3. Construction of 2No. semi-detached 5-bedroom family houses consisting of 2 storeys plus loft space with integral garaging.  Associated hard &amp; soft landscaping"/>
    <m/>
    <m/>
    <x v="2"/>
    <s v="Open Market"/>
    <n v="513264"/>
    <n v="169738"/>
    <m/>
    <n v="0"/>
    <n v="0"/>
    <n v="0"/>
    <n v="0"/>
    <m/>
    <m/>
    <m/>
    <n v="0"/>
    <m/>
    <n v="0"/>
    <n v="0"/>
    <n v="0"/>
    <n v="0"/>
    <n v="2"/>
    <m/>
    <m/>
    <n v="2"/>
    <m/>
    <n v="0"/>
    <n v="0"/>
    <n v="0"/>
    <n v="0"/>
    <n v="2"/>
    <n v="0"/>
    <n v="0"/>
    <n v="2"/>
    <m/>
    <n v="0"/>
    <n v="0.5"/>
    <n v="0.5"/>
    <n v="0.5"/>
    <n v="0.5"/>
    <n v="0"/>
    <n v="0"/>
    <s v="Y"/>
    <n v="0"/>
    <n v="0"/>
    <n v="0"/>
    <n v="0"/>
    <n v="0"/>
    <s v="Hampton"/>
    <m/>
    <m/>
    <m/>
    <m/>
    <x v="0"/>
  </r>
  <r>
    <s v="18/3815/GPD15"/>
    <s v="CHU"/>
    <s v="PA"/>
    <s v="42 - 42A High Street_x000a_Hampton Wick_x000a_Kingston Upon Thames_x000a_KT1 4DB"/>
    <s v="Change of use of two detached buildings and the associated curtilage from light industrial use (Class B1(c)) to residential use (Class C3) to provide 7 x 1 bedroom units and 1 x 2 bedroom unit."/>
    <m/>
    <m/>
    <x v="2"/>
    <s v="Open Market"/>
    <n v="517565"/>
    <n v="169582"/>
    <m/>
    <n v="0"/>
    <n v="0"/>
    <n v="0"/>
    <n v="0"/>
    <m/>
    <m/>
    <m/>
    <n v="0"/>
    <m/>
    <n v="7"/>
    <n v="1"/>
    <n v="0"/>
    <n v="0"/>
    <m/>
    <m/>
    <m/>
    <n v="8"/>
    <m/>
    <n v="7"/>
    <n v="1"/>
    <n v="0"/>
    <n v="0"/>
    <n v="0"/>
    <n v="0"/>
    <n v="0"/>
    <n v="8"/>
    <m/>
    <n v="0"/>
    <n v="2"/>
    <n v="2"/>
    <n v="2"/>
    <n v="2"/>
    <n v="0"/>
    <n v="0"/>
    <s v="Y"/>
    <n v="0"/>
    <n v="0"/>
    <n v="0"/>
    <n v="0"/>
    <n v="0"/>
    <s v="Hampton Wick"/>
    <m/>
    <s v="Hampton Wick"/>
    <m/>
    <m/>
    <x v="0"/>
  </r>
  <r>
    <s v="18/3952/FUL"/>
    <s v="NEW"/>
    <m/>
    <s v="45 Ormond Crescent_x000a_Hampton_x000a_TW12 2TJ"/>
    <s v="Replacement of existing dwelling with 1 no. 2 storey with accommodation in the roof (5B10P) dwellinghouse and new pedestrian gate."/>
    <m/>
    <m/>
    <x v="2"/>
    <s v="Open Market"/>
    <n v="513943"/>
    <n v="170016"/>
    <m/>
    <n v="0"/>
    <n v="0"/>
    <n v="0"/>
    <n v="0"/>
    <n v="1"/>
    <m/>
    <m/>
    <n v="1"/>
    <m/>
    <n v="0"/>
    <n v="0"/>
    <n v="0"/>
    <n v="0"/>
    <n v="1"/>
    <m/>
    <m/>
    <n v="1"/>
    <m/>
    <n v="0"/>
    <n v="0"/>
    <n v="0"/>
    <n v="0"/>
    <n v="0"/>
    <n v="0"/>
    <n v="0"/>
    <n v="0"/>
    <m/>
    <n v="0"/>
    <n v="0"/>
    <n v="0"/>
    <n v="0"/>
    <n v="0"/>
    <n v="0"/>
    <n v="0"/>
    <n v="0"/>
    <n v="0"/>
    <n v="0"/>
    <n v="0"/>
    <n v="0"/>
    <n v="0"/>
    <s v="Hampton"/>
    <m/>
    <m/>
    <m/>
    <m/>
    <x v="0"/>
  </r>
  <r>
    <s v="18/4125/FUL"/>
    <s v="CON"/>
    <m/>
    <s v="85 Connaught Road Teddington TW11 0QQ"/>
    <s v="Alterations and extensions to existing building comprising 1) single storey side/rear extension, 2) new gable roof extension, new window, pitched roof to existing two storey bay window and 1 rooflight to front elevation; 3) dormer roof extension to main"/>
    <m/>
    <m/>
    <x v="2"/>
    <s v="Open Market"/>
    <n v="514632"/>
    <n v="171370"/>
    <m/>
    <n v="0"/>
    <n v="1"/>
    <n v="0"/>
    <n v="1"/>
    <m/>
    <m/>
    <m/>
    <n v="0"/>
    <m/>
    <n v="2"/>
    <n v="1"/>
    <n v="1"/>
    <n v="0"/>
    <m/>
    <m/>
    <m/>
    <n v="4"/>
    <m/>
    <n v="2"/>
    <n v="0"/>
    <n v="1"/>
    <n v="-1"/>
    <n v="0"/>
    <n v="0"/>
    <n v="0"/>
    <n v="4"/>
    <m/>
    <n v="0"/>
    <n v="1"/>
    <n v="1"/>
    <n v="1"/>
    <n v="1"/>
    <n v="0"/>
    <n v="0"/>
    <s v="Y"/>
    <n v="0"/>
    <n v="0"/>
    <n v="0"/>
    <n v="0"/>
    <n v="0"/>
    <s v="Fulwell and Hampton Hill"/>
    <m/>
    <m/>
    <m/>
    <m/>
    <x v="0"/>
  </r>
  <r>
    <s v="19/0171/GPD15"/>
    <s v="CHU"/>
    <s v="PA"/>
    <s v="62 Glentham Road Barnes SW13 9JJ"/>
    <s v="Change of use from B1 (Offices) to C3(a) (Dwellings) (2 x 2 bed)."/>
    <m/>
    <m/>
    <x v="2"/>
    <s v="Open Market"/>
    <n v="522531"/>
    <n v="177884"/>
    <m/>
    <n v="0"/>
    <n v="0"/>
    <n v="0"/>
    <n v="0"/>
    <m/>
    <m/>
    <m/>
    <n v="0"/>
    <m/>
    <n v="0"/>
    <n v="2"/>
    <n v="0"/>
    <n v="0"/>
    <m/>
    <m/>
    <m/>
    <n v="2"/>
    <m/>
    <n v="0"/>
    <n v="2"/>
    <n v="0"/>
    <n v="0"/>
    <n v="0"/>
    <n v="0"/>
    <n v="0"/>
    <n v="2"/>
    <m/>
    <n v="0"/>
    <n v="0.5"/>
    <n v="0.5"/>
    <n v="0.5"/>
    <n v="0.5"/>
    <n v="0"/>
    <n v="0"/>
    <s v="Y"/>
    <n v="0"/>
    <n v="0"/>
    <n v="0"/>
    <n v="0"/>
    <n v="0"/>
    <s v="Barnes"/>
    <m/>
    <m/>
    <m/>
    <m/>
    <x v="0"/>
  </r>
  <r>
    <s v="19/0181/GPD15"/>
    <s v="CHU"/>
    <s v="PA"/>
    <s v="95 South Worple Way_x000a_East Sheen_x000a_London_x000a_SW14 8ND"/>
    <s v="Change of use from B1 (Offices) to C3(a) (Dwellings) (1 x 1 bed)."/>
    <m/>
    <m/>
    <x v="2"/>
    <s v="Open Market"/>
    <n v="520540"/>
    <n v="175748"/>
    <m/>
    <n v="0"/>
    <n v="0"/>
    <n v="0"/>
    <n v="0"/>
    <m/>
    <m/>
    <m/>
    <n v="0"/>
    <m/>
    <n v="1"/>
    <n v="0"/>
    <n v="0"/>
    <n v="0"/>
    <m/>
    <m/>
    <m/>
    <n v="1"/>
    <m/>
    <n v="1"/>
    <n v="0"/>
    <n v="0"/>
    <n v="0"/>
    <n v="0"/>
    <n v="0"/>
    <n v="0"/>
    <n v="1"/>
    <m/>
    <n v="0"/>
    <n v="0.25"/>
    <n v="0.25"/>
    <n v="0.25"/>
    <n v="0.25"/>
    <n v="0"/>
    <n v="0"/>
    <s v="Y"/>
    <n v="0"/>
    <n v="0"/>
    <n v="0"/>
    <n v="0"/>
    <n v="0"/>
    <s v="East Sheen"/>
    <m/>
    <m/>
    <s v="East Sheen"/>
    <m/>
    <x v="0"/>
  </r>
  <r>
    <s v="Local Plan SA 12"/>
    <m/>
    <s v="Identified Site 5 year"/>
    <s v="Mereway Day Centre, Mereway Road"/>
    <m/>
    <m/>
    <m/>
    <x v="3"/>
    <s v="Affordable"/>
    <m/>
    <m/>
    <n v="0"/>
    <n v="0"/>
    <n v="0"/>
    <n v="0"/>
    <n v="0"/>
    <n v="0"/>
    <n v="0"/>
    <n v="0"/>
    <n v="0"/>
    <n v="0"/>
    <n v="0"/>
    <n v="0"/>
    <n v="0"/>
    <n v="0"/>
    <n v="0"/>
    <n v="0"/>
    <n v="0"/>
    <n v="0"/>
    <n v="0"/>
    <n v="0"/>
    <n v="0"/>
    <n v="0"/>
    <n v="0"/>
    <n v="0"/>
    <n v="0"/>
    <n v="0"/>
    <n v="10"/>
    <m/>
    <n v="0"/>
    <n v="0"/>
    <n v="0"/>
    <n v="0"/>
    <n v="0"/>
    <n v="0"/>
    <n v="0"/>
    <n v="0"/>
    <n v="2"/>
    <n v="2"/>
    <n v="2"/>
    <n v="2"/>
    <n v="2"/>
    <s v="South Twickenham"/>
    <m/>
    <m/>
    <m/>
    <m/>
    <x v="0"/>
  </r>
  <r>
    <s v="Local Plan SA 12"/>
    <m/>
    <s v="Identified Site 5 year"/>
    <s v="Mereway Day Centre, Mereway Road"/>
    <m/>
    <m/>
    <m/>
    <x v="3"/>
    <s v="Open Market"/>
    <m/>
    <m/>
    <n v="0"/>
    <n v="0"/>
    <n v="0"/>
    <n v="0"/>
    <n v="0"/>
    <n v="0"/>
    <n v="0"/>
    <n v="0"/>
    <n v="0"/>
    <n v="0"/>
    <n v="0"/>
    <n v="0"/>
    <n v="0"/>
    <n v="0"/>
    <n v="0"/>
    <n v="0"/>
    <n v="0"/>
    <n v="0"/>
    <n v="0"/>
    <n v="0"/>
    <n v="0"/>
    <n v="0"/>
    <n v="0"/>
    <n v="0"/>
    <n v="0"/>
    <n v="0"/>
    <n v="10"/>
    <m/>
    <n v="0"/>
    <n v="0"/>
    <n v="0"/>
    <n v="0"/>
    <n v="0"/>
    <n v="0"/>
    <n v="0"/>
    <n v="0"/>
    <n v="2"/>
    <n v="2"/>
    <n v="2"/>
    <n v="2"/>
    <n v="2"/>
    <s v="South Twickenham"/>
    <m/>
    <m/>
    <m/>
    <m/>
    <x v="0"/>
  </r>
  <r>
    <s v="Local Plan SA 13"/>
    <m/>
    <s v="Identified Site 5 year"/>
    <s v="Telephone Exchange, Ashdale Road"/>
    <m/>
    <m/>
    <m/>
    <x v="3"/>
    <s v="Affordable"/>
    <m/>
    <m/>
    <n v="0"/>
    <n v="0"/>
    <n v="0"/>
    <n v="0"/>
    <n v="0"/>
    <n v="0"/>
    <n v="0"/>
    <n v="0"/>
    <n v="0"/>
    <n v="0"/>
    <n v="0"/>
    <n v="0"/>
    <n v="0"/>
    <n v="0"/>
    <n v="0"/>
    <n v="0"/>
    <n v="0"/>
    <n v="0"/>
    <n v="0"/>
    <n v="0"/>
    <n v="0"/>
    <n v="0"/>
    <n v="0"/>
    <n v="0"/>
    <n v="0"/>
    <n v="0"/>
    <n v="10"/>
    <m/>
    <n v="0"/>
    <n v="0"/>
    <n v="0"/>
    <n v="0"/>
    <n v="0"/>
    <n v="0"/>
    <n v="0"/>
    <n v="0"/>
    <n v="2"/>
    <n v="2"/>
    <n v="2"/>
    <n v="2"/>
    <n v="2"/>
    <s v="Whitton"/>
    <m/>
    <m/>
    <m/>
    <m/>
    <x v="0"/>
  </r>
  <r>
    <s v="Local Plan SA 13"/>
    <m/>
    <s v="Identified Site 5 year"/>
    <s v="Telephone Exchange, Ashdale Road"/>
    <m/>
    <m/>
    <m/>
    <x v="3"/>
    <s v="Open Market"/>
    <m/>
    <m/>
    <n v="0"/>
    <n v="0"/>
    <n v="0"/>
    <n v="0"/>
    <n v="0"/>
    <n v="0"/>
    <n v="0"/>
    <n v="0"/>
    <n v="0"/>
    <n v="0"/>
    <n v="0"/>
    <n v="0"/>
    <n v="0"/>
    <n v="0"/>
    <n v="0"/>
    <n v="0"/>
    <n v="0"/>
    <n v="0"/>
    <n v="0"/>
    <n v="0"/>
    <n v="0"/>
    <n v="0"/>
    <n v="0"/>
    <n v="0"/>
    <n v="0"/>
    <n v="0"/>
    <n v="10"/>
    <m/>
    <n v="0"/>
    <n v="0"/>
    <n v="0"/>
    <n v="0"/>
    <n v="0"/>
    <n v="0"/>
    <n v="0"/>
    <n v="0"/>
    <n v="2"/>
    <n v="2"/>
    <n v="2"/>
    <n v="2"/>
    <n v="2"/>
    <s v="Whitton"/>
    <m/>
    <m/>
    <m/>
    <m/>
    <x v="0"/>
  </r>
  <r>
    <s v="Local Plan SA 14"/>
    <m/>
    <s v="Identified Site 5 year"/>
    <s v="Kneller Hall, Whitton"/>
    <m/>
    <m/>
    <m/>
    <x v="3"/>
    <s v="Affordable"/>
    <m/>
    <m/>
    <n v="0"/>
    <n v="0"/>
    <n v="0"/>
    <n v="0"/>
    <n v="0"/>
    <n v="0"/>
    <n v="0"/>
    <n v="0"/>
    <n v="0"/>
    <n v="0"/>
    <n v="0"/>
    <n v="0"/>
    <n v="0"/>
    <n v="0"/>
    <n v="0"/>
    <n v="0"/>
    <n v="0"/>
    <n v="0"/>
    <n v="0"/>
    <n v="0"/>
    <n v="0"/>
    <n v="0"/>
    <n v="0"/>
    <n v="0"/>
    <n v="0"/>
    <n v="0"/>
    <n v="15"/>
    <m/>
    <n v="0"/>
    <n v="0"/>
    <n v="0"/>
    <n v="0"/>
    <n v="0"/>
    <n v="0"/>
    <n v="0"/>
    <n v="0"/>
    <n v="3"/>
    <n v="3"/>
    <n v="3"/>
    <n v="3"/>
    <n v="3"/>
    <s v="Whitton"/>
    <m/>
    <m/>
    <m/>
    <m/>
    <x v="0"/>
  </r>
  <r>
    <s v="Local Plan SA 14"/>
    <m/>
    <s v="Identified Site 5 year"/>
    <s v="Kneller Hall, Whitton"/>
    <m/>
    <m/>
    <m/>
    <x v="3"/>
    <s v="Open Market"/>
    <m/>
    <m/>
    <n v="0"/>
    <n v="0"/>
    <n v="0"/>
    <n v="0"/>
    <n v="0"/>
    <n v="0"/>
    <n v="0"/>
    <n v="0"/>
    <n v="0"/>
    <n v="0"/>
    <n v="0"/>
    <n v="0"/>
    <n v="0"/>
    <n v="0"/>
    <n v="0"/>
    <n v="0"/>
    <n v="0"/>
    <n v="0"/>
    <n v="0"/>
    <n v="0"/>
    <n v="0"/>
    <n v="0"/>
    <n v="0"/>
    <n v="0"/>
    <n v="0"/>
    <n v="0"/>
    <n v="15"/>
    <m/>
    <n v="0"/>
    <n v="0"/>
    <n v="0"/>
    <n v="0"/>
    <n v="0"/>
    <n v="0"/>
    <n v="0"/>
    <n v="0"/>
    <n v="3"/>
    <n v="3"/>
    <n v="3"/>
    <n v="3"/>
    <n v="3"/>
    <s v="Whitton"/>
    <m/>
    <m/>
    <m/>
    <m/>
    <x v="0"/>
  </r>
  <r>
    <s v="Local Plan SA 15"/>
    <m/>
    <s v="Identified Site 5 year"/>
    <s v="Ham Central Area"/>
    <m/>
    <m/>
    <m/>
    <x v="3"/>
    <s v="Affordable"/>
    <m/>
    <m/>
    <n v="0"/>
    <n v="0"/>
    <n v="0"/>
    <n v="0"/>
    <n v="0"/>
    <n v="0"/>
    <n v="0"/>
    <n v="0"/>
    <n v="0"/>
    <n v="0"/>
    <n v="0"/>
    <n v="0"/>
    <n v="0"/>
    <n v="0"/>
    <n v="0"/>
    <n v="0"/>
    <n v="0"/>
    <n v="0"/>
    <n v="0"/>
    <n v="0"/>
    <n v="0"/>
    <n v="0"/>
    <n v="0"/>
    <n v="0"/>
    <n v="0"/>
    <n v="0"/>
    <n v="80"/>
    <m/>
    <n v="0"/>
    <n v="0"/>
    <n v="0"/>
    <n v="0"/>
    <n v="20"/>
    <n v="20"/>
    <n v="20"/>
    <s v="Y"/>
    <n v="20"/>
    <n v="0"/>
    <n v="0"/>
    <n v="0"/>
    <n v="0"/>
    <s v="Ham, Petersham and Richmond Riverside"/>
    <m/>
    <m/>
    <m/>
    <m/>
    <x v="0"/>
  </r>
  <r>
    <s v="Local Plan SA 15"/>
    <m/>
    <s v="Identified Site 5 year"/>
    <s v="Ham Central Area"/>
    <m/>
    <m/>
    <m/>
    <x v="3"/>
    <s v="Open Market"/>
    <m/>
    <m/>
    <n v="0"/>
    <n v="0"/>
    <n v="0"/>
    <n v="0"/>
    <n v="0"/>
    <n v="0"/>
    <n v="0"/>
    <n v="0"/>
    <n v="0"/>
    <n v="0"/>
    <n v="0"/>
    <n v="0"/>
    <n v="0"/>
    <n v="0"/>
    <n v="0"/>
    <n v="0"/>
    <n v="0"/>
    <n v="0"/>
    <n v="0"/>
    <n v="0"/>
    <n v="0"/>
    <n v="0"/>
    <n v="0"/>
    <n v="0"/>
    <n v="0"/>
    <n v="0"/>
    <n v="160"/>
    <m/>
    <n v="0"/>
    <n v="0"/>
    <n v="0"/>
    <n v="0"/>
    <n v="40"/>
    <n v="40"/>
    <n v="40"/>
    <s v="Y"/>
    <n v="40"/>
    <n v="0"/>
    <n v="0"/>
    <n v="0"/>
    <n v="0"/>
    <s v="Ham, Petersham and Richmond Riverside"/>
    <m/>
    <m/>
    <m/>
    <m/>
    <x v="0"/>
  </r>
  <r>
    <s v="Local Plan SA 16"/>
    <m/>
    <s v="Identified Site 5 year"/>
    <s v="Cassel Hospital, Ham Common, Ham"/>
    <m/>
    <m/>
    <m/>
    <x v="3"/>
    <s v="Affordable"/>
    <m/>
    <m/>
    <n v="0"/>
    <n v="0"/>
    <n v="0"/>
    <n v="0"/>
    <n v="0"/>
    <n v="0"/>
    <n v="0"/>
    <n v="0"/>
    <n v="0"/>
    <n v="0"/>
    <n v="0"/>
    <n v="0"/>
    <n v="0"/>
    <n v="0"/>
    <n v="0"/>
    <n v="0"/>
    <n v="0"/>
    <n v="0"/>
    <n v="0"/>
    <n v="0"/>
    <n v="0"/>
    <n v="0"/>
    <n v="0"/>
    <n v="0"/>
    <n v="0"/>
    <n v="0"/>
    <n v="10"/>
    <m/>
    <n v="0"/>
    <n v="0"/>
    <n v="0"/>
    <n v="0"/>
    <n v="0"/>
    <n v="0"/>
    <n v="0"/>
    <n v="0"/>
    <n v="2"/>
    <n v="2"/>
    <n v="2"/>
    <n v="2"/>
    <n v="2"/>
    <s v="Ham, Petersham and Richmond Riverside"/>
    <m/>
    <m/>
    <m/>
    <m/>
    <x v="0"/>
  </r>
  <r>
    <s v="Local Plan SA 16"/>
    <m/>
    <s v="Identified Site 5 year"/>
    <s v="Cassel Hospital, Ham Common, Ham"/>
    <m/>
    <m/>
    <m/>
    <x v="3"/>
    <s v="Open Market"/>
    <m/>
    <m/>
    <n v="0"/>
    <n v="0"/>
    <n v="0"/>
    <n v="0"/>
    <n v="0"/>
    <n v="0"/>
    <n v="0"/>
    <n v="0"/>
    <n v="0"/>
    <n v="0"/>
    <n v="0"/>
    <n v="0"/>
    <n v="0"/>
    <n v="0"/>
    <n v="0"/>
    <n v="0"/>
    <n v="0"/>
    <n v="0"/>
    <n v="0"/>
    <n v="0"/>
    <n v="0"/>
    <n v="0"/>
    <n v="0"/>
    <n v="0"/>
    <n v="0"/>
    <n v="0"/>
    <n v="10"/>
    <m/>
    <n v="0"/>
    <n v="0"/>
    <n v="0"/>
    <n v="0"/>
    <n v="0"/>
    <n v="0"/>
    <n v="0"/>
    <n v="0"/>
    <n v="2"/>
    <n v="2"/>
    <n v="2"/>
    <n v="2"/>
    <n v="2"/>
    <s v="Ham, Petersham and Richmond Riverside"/>
    <m/>
    <m/>
    <m/>
    <m/>
    <x v="0"/>
  </r>
  <r>
    <s v="Local Plan SA 19"/>
    <m/>
    <s v="Identified Site 5 year"/>
    <s v="Richmond Station and above track, The Quadrant"/>
    <m/>
    <m/>
    <m/>
    <x v="3"/>
    <s v="Affordable"/>
    <m/>
    <m/>
    <n v="0"/>
    <n v="0"/>
    <n v="0"/>
    <n v="0"/>
    <n v="0"/>
    <n v="0"/>
    <n v="0"/>
    <n v="0"/>
    <n v="0"/>
    <n v="0"/>
    <n v="0"/>
    <n v="0"/>
    <n v="0"/>
    <n v="0"/>
    <n v="0"/>
    <n v="0"/>
    <n v="0"/>
    <n v="0"/>
    <n v="0"/>
    <n v="0"/>
    <n v="0"/>
    <n v="0"/>
    <n v="0"/>
    <n v="0"/>
    <n v="0"/>
    <n v="0"/>
    <n v="10"/>
    <m/>
    <n v="0"/>
    <n v="0"/>
    <n v="0"/>
    <n v="0"/>
    <n v="0"/>
    <n v="0"/>
    <n v="0"/>
    <n v="0"/>
    <n v="2"/>
    <n v="2"/>
    <n v="2"/>
    <n v="2"/>
    <n v="2"/>
    <s v="South Richmond"/>
    <m/>
    <m/>
    <m/>
    <m/>
    <x v="0"/>
  </r>
  <r>
    <s v="Local Plan SA 19"/>
    <m/>
    <s v="Identified Site 5 year"/>
    <s v="Richmond Station and above track, The Quadrant"/>
    <m/>
    <m/>
    <m/>
    <x v="3"/>
    <s v="Open Market"/>
    <m/>
    <m/>
    <n v="0"/>
    <n v="0"/>
    <n v="0"/>
    <n v="0"/>
    <n v="0"/>
    <n v="0"/>
    <n v="0"/>
    <n v="0"/>
    <n v="0"/>
    <n v="0"/>
    <n v="0"/>
    <n v="0"/>
    <n v="0"/>
    <n v="0"/>
    <n v="0"/>
    <n v="0"/>
    <n v="0"/>
    <n v="0"/>
    <n v="0"/>
    <n v="0"/>
    <n v="0"/>
    <n v="0"/>
    <n v="0"/>
    <n v="0"/>
    <n v="0"/>
    <n v="0"/>
    <n v="10"/>
    <m/>
    <n v="0"/>
    <n v="0"/>
    <n v="0"/>
    <n v="0"/>
    <n v="0"/>
    <n v="0"/>
    <n v="0"/>
    <n v="0"/>
    <n v="2"/>
    <n v="2"/>
    <n v="2"/>
    <n v="2"/>
    <n v="2"/>
    <s v="South Richmond"/>
    <m/>
    <m/>
    <m/>
    <m/>
    <x v="0"/>
  </r>
  <r>
    <s v="Local Plan SA 2"/>
    <m/>
    <s v="Identified Site 5 year"/>
    <s v="Platts Eyot"/>
    <m/>
    <m/>
    <m/>
    <x v="3"/>
    <s v="Open Market"/>
    <m/>
    <m/>
    <n v="0"/>
    <n v="0"/>
    <n v="0"/>
    <n v="0"/>
    <n v="0"/>
    <n v="0"/>
    <n v="0"/>
    <n v="0"/>
    <n v="0"/>
    <n v="0"/>
    <n v="0"/>
    <n v="0"/>
    <n v="0"/>
    <n v="0"/>
    <n v="0"/>
    <n v="0"/>
    <n v="0"/>
    <n v="0"/>
    <n v="0"/>
    <n v="0"/>
    <n v="0"/>
    <n v="0"/>
    <n v="0"/>
    <n v="0"/>
    <n v="0"/>
    <n v="0"/>
    <n v="20"/>
    <m/>
    <n v="0"/>
    <n v="0"/>
    <n v="0"/>
    <n v="0"/>
    <n v="0"/>
    <n v="0"/>
    <n v="0"/>
    <n v="0"/>
    <n v="4"/>
    <n v="4"/>
    <n v="4"/>
    <n v="4"/>
    <n v="4"/>
    <s v="Hampton North"/>
    <m/>
    <m/>
    <m/>
    <m/>
    <x v="0"/>
  </r>
  <r>
    <s v="Local Plan SA 20"/>
    <m/>
    <s v="Identified Site 5 year"/>
    <s v="Friars Lane Car Park"/>
    <m/>
    <m/>
    <m/>
    <x v="3"/>
    <s v="Affordable"/>
    <m/>
    <m/>
    <n v="0"/>
    <n v="0"/>
    <n v="0"/>
    <n v="0"/>
    <n v="0"/>
    <n v="0"/>
    <n v="0"/>
    <n v="0"/>
    <n v="0"/>
    <n v="0"/>
    <n v="0"/>
    <n v="0"/>
    <n v="0"/>
    <n v="0"/>
    <n v="0"/>
    <n v="0"/>
    <n v="0"/>
    <n v="0"/>
    <n v="0"/>
    <n v="0"/>
    <n v="0"/>
    <n v="0"/>
    <n v="0"/>
    <n v="0"/>
    <n v="0"/>
    <n v="0"/>
    <n v="10"/>
    <m/>
    <n v="0"/>
    <n v="0"/>
    <n v="0"/>
    <n v="0"/>
    <n v="0"/>
    <n v="0"/>
    <n v="0"/>
    <n v="0"/>
    <n v="2"/>
    <n v="2"/>
    <n v="2"/>
    <n v="2"/>
    <n v="2"/>
    <s v="South Richmond"/>
    <m/>
    <m/>
    <m/>
    <m/>
    <x v="0"/>
  </r>
  <r>
    <s v="Local Plan SA 20"/>
    <m/>
    <s v="Identified Site 5 year"/>
    <s v="Friars Lane Car Park"/>
    <m/>
    <m/>
    <m/>
    <x v="3"/>
    <s v="Open Market"/>
    <m/>
    <m/>
    <n v="0"/>
    <n v="0"/>
    <n v="0"/>
    <n v="0"/>
    <n v="0"/>
    <n v="0"/>
    <n v="0"/>
    <n v="0"/>
    <n v="0"/>
    <n v="0"/>
    <n v="0"/>
    <n v="0"/>
    <n v="0"/>
    <n v="0"/>
    <n v="0"/>
    <n v="0"/>
    <n v="0"/>
    <n v="0"/>
    <n v="0"/>
    <n v="0"/>
    <n v="0"/>
    <n v="0"/>
    <n v="0"/>
    <n v="0"/>
    <n v="0"/>
    <n v="0"/>
    <n v="10"/>
    <m/>
    <n v="0"/>
    <n v="0"/>
    <n v="0"/>
    <n v="0"/>
    <n v="0"/>
    <n v="0"/>
    <n v="0"/>
    <n v="0"/>
    <n v="2"/>
    <n v="2"/>
    <n v="2"/>
    <n v="2"/>
    <n v="2"/>
    <s v="South Richmond"/>
    <m/>
    <m/>
    <m/>
    <m/>
    <x v="0"/>
  </r>
  <r>
    <s v="Local Plan SA 24"/>
    <m/>
    <s v="Identified Site 5 year"/>
    <s v="Budweiser Stag Brewery, Mortlake"/>
    <m/>
    <m/>
    <m/>
    <x v="3"/>
    <s v="Affordable"/>
    <m/>
    <m/>
    <n v="0"/>
    <n v="0"/>
    <n v="0"/>
    <n v="0"/>
    <n v="0"/>
    <n v="0"/>
    <n v="0"/>
    <n v="0"/>
    <n v="0"/>
    <n v="0"/>
    <n v="0"/>
    <n v="0"/>
    <n v="0"/>
    <n v="0"/>
    <n v="0"/>
    <n v="0"/>
    <n v="0"/>
    <n v="0"/>
    <n v="0"/>
    <n v="0"/>
    <n v="0"/>
    <n v="0"/>
    <n v="0"/>
    <n v="0"/>
    <n v="0"/>
    <n v="0"/>
    <n v="350"/>
    <m/>
    <n v="0"/>
    <n v="0"/>
    <n v="0"/>
    <n v="0"/>
    <n v="0"/>
    <n v="75"/>
    <n v="75"/>
    <s v="Y"/>
    <n v="40"/>
    <n v="40"/>
    <n v="40"/>
    <n v="40"/>
    <n v="40"/>
    <s v="Mortlake and Barnes Common"/>
    <m/>
    <m/>
    <m/>
    <m/>
    <x v="0"/>
  </r>
  <r>
    <s v="Local Plan SA 24"/>
    <m/>
    <s v="Identified Site 5 year"/>
    <s v="Budweiser Stag Brewery, Mortlake"/>
    <m/>
    <m/>
    <m/>
    <x v="3"/>
    <s v="Open Market"/>
    <m/>
    <m/>
    <n v="0"/>
    <n v="0"/>
    <n v="0"/>
    <n v="0"/>
    <n v="0"/>
    <n v="0"/>
    <n v="0"/>
    <n v="0"/>
    <n v="0"/>
    <n v="0"/>
    <n v="0"/>
    <n v="0"/>
    <n v="0"/>
    <n v="0"/>
    <n v="0"/>
    <n v="0"/>
    <n v="0"/>
    <n v="0"/>
    <n v="0"/>
    <n v="0"/>
    <n v="0"/>
    <n v="0"/>
    <n v="0"/>
    <n v="0"/>
    <n v="0"/>
    <n v="0"/>
    <n v="350"/>
    <m/>
    <n v="0"/>
    <n v="0"/>
    <n v="0"/>
    <n v="0"/>
    <n v="0"/>
    <n v="75"/>
    <n v="75"/>
    <s v="Y"/>
    <n v="40"/>
    <n v="40"/>
    <n v="40"/>
    <n v="40"/>
    <n v="40"/>
    <s v="Mortlake and Barnes Common"/>
    <m/>
    <m/>
    <m/>
    <m/>
    <x v="0"/>
  </r>
  <r>
    <s v="Local Plan SA 25"/>
    <m/>
    <s v="Identified Site 5 year"/>
    <s v="Mortlake And Barnes Delivery Office, 2-12 Mortlake High Street, Mortlake"/>
    <m/>
    <m/>
    <m/>
    <x v="3"/>
    <s v="Affordable"/>
    <m/>
    <m/>
    <n v="0"/>
    <n v="0"/>
    <n v="0"/>
    <n v="0"/>
    <n v="0"/>
    <n v="0"/>
    <n v="0"/>
    <n v="0"/>
    <n v="0"/>
    <n v="0"/>
    <n v="0"/>
    <n v="0"/>
    <n v="0"/>
    <n v="0"/>
    <n v="0"/>
    <n v="0"/>
    <n v="0"/>
    <n v="0"/>
    <n v="0"/>
    <n v="0"/>
    <n v="0"/>
    <n v="0"/>
    <n v="0"/>
    <n v="0"/>
    <n v="0"/>
    <n v="0"/>
    <n v="5"/>
    <m/>
    <n v="0"/>
    <n v="0"/>
    <n v="0"/>
    <n v="0"/>
    <n v="0"/>
    <n v="0"/>
    <n v="0"/>
    <n v="0"/>
    <n v="1"/>
    <n v="1"/>
    <n v="1"/>
    <n v="1"/>
    <n v="1"/>
    <s v="Mortlake and Barnes Common"/>
    <m/>
    <m/>
    <m/>
    <m/>
    <x v="0"/>
  </r>
  <r>
    <s v="Local Plan SA 25"/>
    <m/>
    <s v="Identified Site 5 year"/>
    <s v="Mortlake And Barnes Delivery Office, 2-12 Mortlake High Street, Mortlake"/>
    <m/>
    <m/>
    <m/>
    <x v="3"/>
    <s v="Open Market"/>
    <m/>
    <m/>
    <n v="0"/>
    <n v="0"/>
    <n v="0"/>
    <n v="0"/>
    <n v="0"/>
    <n v="0"/>
    <n v="0"/>
    <n v="0"/>
    <n v="0"/>
    <n v="0"/>
    <n v="0"/>
    <n v="0"/>
    <n v="0"/>
    <n v="0"/>
    <n v="0"/>
    <n v="0"/>
    <n v="0"/>
    <n v="0"/>
    <n v="0"/>
    <n v="0"/>
    <n v="0"/>
    <n v="0"/>
    <n v="0"/>
    <n v="0"/>
    <n v="0"/>
    <n v="0"/>
    <n v="5"/>
    <m/>
    <n v="0"/>
    <n v="0"/>
    <n v="0"/>
    <n v="0"/>
    <n v="0"/>
    <n v="0"/>
    <n v="0"/>
    <n v="0"/>
    <n v="1"/>
    <n v="1"/>
    <n v="1"/>
    <n v="1"/>
    <n v="1"/>
    <s v="Mortlake and Barnes Common"/>
    <m/>
    <m/>
    <m/>
    <m/>
    <x v="0"/>
  </r>
  <r>
    <s v="Local Plan SA 26"/>
    <m/>
    <s v="Identified Site 5 year"/>
    <s v="Kew Biothane Plant, Mellis Avenue"/>
    <m/>
    <m/>
    <m/>
    <x v="3"/>
    <s v="Affordable"/>
    <m/>
    <m/>
    <n v="0"/>
    <n v="0"/>
    <n v="0"/>
    <n v="0"/>
    <n v="0"/>
    <n v="0"/>
    <n v="0"/>
    <n v="0"/>
    <n v="0"/>
    <n v="0"/>
    <n v="0"/>
    <n v="0"/>
    <n v="0"/>
    <n v="0"/>
    <n v="0"/>
    <n v="0"/>
    <n v="0"/>
    <n v="0"/>
    <n v="0"/>
    <n v="0"/>
    <n v="0"/>
    <n v="0"/>
    <n v="0"/>
    <n v="0"/>
    <n v="0"/>
    <n v="0"/>
    <n v="10"/>
    <m/>
    <n v="0"/>
    <n v="0"/>
    <n v="0"/>
    <n v="0"/>
    <n v="0"/>
    <n v="0"/>
    <n v="0"/>
    <n v="0"/>
    <n v="2"/>
    <n v="2"/>
    <n v="2"/>
    <n v="2"/>
    <n v="2"/>
    <s v="Kew"/>
    <m/>
    <m/>
    <m/>
    <m/>
    <x v="0"/>
  </r>
  <r>
    <s v="Local Plan SA 26"/>
    <m/>
    <s v="Identified Site 5 year"/>
    <s v="Kew Biothane Plant, Mellis Avenue"/>
    <m/>
    <m/>
    <m/>
    <x v="3"/>
    <s v="Open Market"/>
    <m/>
    <m/>
    <n v="0"/>
    <n v="0"/>
    <n v="0"/>
    <n v="0"/>
    <n v="0"/>
    <n v="0"/>
    <n v="0"/>
    <n v="0"/>
    <n v="0"/>
    <n v="0"/>
    <n v="0"/>
    <n v="0"/>
    <n v="0"/>
    <n v="0"/>
    <n v="0"/>
    <n v="0"/>
    <n v="0"/>
    <n v="0"/>
    <n v="0"/>
    <n v="0"/>
    <n v="0"/>
    <n v="0"/>
    <n v="0"/>
    <n v="0"/>
    <n v="0"/>
    <n v="0"/>
    <n v="10"/>
    <m/>
    <n v="0"/>
    <n v="0"/>
    <n v="0"/>
    <n v="0"/>
    <n v="0"/>
    <n v="0"/>
    <n v="0"/>
    <n v="0"/>
    <n v="2"/>
    <n v="2"/>
    <n v="2"/>
    <n v="2"/>
    <n v="2"/>
    <s v="Kew"/>
    <m/>
    <m/>
    <m/>
    <m/>
    <x v="0"/>
  </r>
  <r>
    <s v="Local Plan SA 27"/>
    <m/>
    <s v="Identified Site 5 year"/>
    <s v="Telephone Exchange, Upper Richmond Road, East Sheen"/>
    <m/>
    <m/>
    <m/>
    <x v="3"/>
    <s v="Affordable"/>
    <m/>
    <m/>
    <n v="0"/>
    <n v="0"/>
    <n v="0"/>
    <n v="0"/>
    <n v="0"/>
    <n v="0"/>
    <n v="0"/>
    <n v="0"/>
    <n v="0"/>
    <n v="0"/>
    <n v="0"/>
    <n v="0"/>
    <n v="0"/>
    <n v="0"/>
    <n v="0"/>
    <n v="0"/>
    <n v="0"/>
    <n v="0"/>
    <n v="0"/>
    <n v="0"/>
    <n v="0"/>
    <n v="0"/>
    <n v="0"/>
    <n v="0"/>
    <n v="0"/>
    <n v="0"/>
    <n v="5"/>
    <m/>
    <n v="0"/>
    <n v="0"/>
    <n v="0"/>
    <n v="0"/>
    <n v="0"/>
    <n v="0"/>
    <n v="0"/>
    <n v="0"/>
    <n v="1"/>
    <n v="1"/>
    <n v="1"/>
    <n v="1"/>
    <n v="1"/>
    <s v="East Sheen"/>
    <m/>
    <m/>
    <m/>
    <m/>
    <x v="0"/>
  </r>
  <r>
    <s v="Local Plan SA 27"/>
    <m/>
    <s v="Identified Site 5 year"/>
    <s v="Telephone Exchange, Upper Richmond Road, East Sheen"/>
    <m/>
    <m/>
    <m/>
    <x v="3"/>
    <s v="Open Market"/>
    <m/>
    <m/>
    <n v="0"/>
    <n v="0"/>
    <n v="0"/>
    <n v="0"/>
    <n v="0"/>
    <n v="0"/>
    <n v="0"/>
    <n v="0"/>
    <n v="0"/>
    <n v="0"/>
    <n v="0"/>
    <n v="0"/>
    <n v="0"/>
    <n v="0"/>
    <n v="0"/>
    <n v="0"/>
    <n v="0"/>
    <n v="0"/>
    <n v="0"/>
    <n v="0"/>
    <n v="0"/>
    <n v="0"/>
    <n v="0"/>
    <n v="0"/>
    <n v="0"/>
    <n v="0"/>
    <n v="5"/>
    <m/>
    <n v="0"/>
    <n v="0"/>
    <n v="0"/>
    <n v="0"/>
    <n v="0"/>
    <n v="0"/>
    <n v="0"/>
    <n v="0"/>
    <n v="1"/>
    <n v="1"/>
    <n v="1"/>
    <n v="1"/>
    <n v="1"/>
    <s v="East Sheen"/>
    <m/>
    <m/>
    <m/>
    <m/>
    <x v="0"/>
  </r>
  <r>
    <s v="Local Plan SA 28"/>
    <m/>
    <s v="Identified Site 5 year"/>
    <s v="Barnes Hospital"/>
    <m/>
    <m/>
    <m/>
    <x v="3"/>
    <s v="Affordable"/>
    <m/>
    <m/>
    <n v="0"/>
    <n v="0"/>
    <n v="0"/>
    <n v="0"/>
    <n v="0"/>
    <n v="0"/>
    <n v="0"/>
    <n v="0"/>
    <n v="0"/>
    <n v="0"/>
    <n v="0"/>
    <n v="0"/>
    <n v="0"/>
    <n v="0"/>
    <n v="0"/>
    <n v="0"/>
    <n v="0"/>
    <n v="0"/>
    <n v="0"/>
    <n v="0"/>
    <n v="0"/>
    <n v="0"/>
    <n v="0"/>
    <n v="0"/>
    <n v="0"/>
    <n v="0"/>
    <n v="65"/>
    <m/>
    <n v="0"/>
    <n v="0"/>
    <n v="13"/>
    <n v="13"/>
    <n v="13"/>
    <n v="13"/>
    <n v="13"/>
    <s v="Y"/>
    <n v="0"/>
    <n v="0"/>
    <n v="0"/>
    <n v="0"/>
    <n v="0"/>
    <s v="Mortlake and Barnes Common"/>
    <m/>
    <m/>
    <m/>
    <m/>
    <x v="0"/>
  </r>
  <r>
    <s v="Local Plan SA 28"/>
    <m/>
    <s v="Identified Site 5 year"/>
    <s v="Barnes Hospital"/>
    <m/>
    <m/>
    <m/>
    <x v="3"/>
    <s v="Open Market"/>
    <m/>
    <m/>
    <n v="0"/>
    <n v="0"/>
    <n v="0"/>
    <n v="0"/>
    <n v="0"/>
    <n v="0"/>
    <n v="0"/>
    <n v="0"/>
    <n v="0"/>
    <n v="0"/>
    <n v="0"/>
    <n v="0"/>
    <n v="0"/>
    <n v="0"/>
    <n v="0"/>
    <n v="0"/>
    <n v="0"/>
    <n v="0"/>
    <n v="0"/>
    <n v="0"/>
    <n v="0"/>
    <n v="0"/>
    <n v="0"/>
    <n v="0"/>
    <n v="0"/>
    <n v="0"/>
    <n v="18"/>
    <m/>
    <n v="0"/>
    <n v="0"/>
    <n v="3.6"/>
    <n v="3.6"/>
    <n v="3.6"/>
    <n v="3.6"/>
    <n v="3.6"/>
    <s v="Y"/>
    <n v="0"/>
    <n v="0"/>
    <n v="0"/>
    <n v="0"/>
    <n v="0"/>
    <s v="Mortlake and Barnes Common"/>
    <m/>
    <m/>
    <m/>
    <m/>
    <x v="0"/>
  </r>
  <r>
    <s v="Local Plan SA 4"/>
    <m/>
    <s v="Identified Site 5 year"/>
    <s v="Hampton Delivery Office, Rosehill, Hampton"/>
    <m/>
    <m/>
    <m/>
    <x v="3"/>
    <s v="Affordable"/>
    <m/>
    <m/>
    <n v="0"/>
    <n v="0"/>
    <n v="0"/>
    <n v="0"/>
    <n v="0"/>
    <n v="0"/>
    <n v="0"/>
    <n v="0"/>
    <n v="0"/>
    <n v="0"/>
    <n v="0"/>
    <n v="0"/>
    <n v="0"/>
    <n v="0"/>
    <n v="0"/>
    <n v="0"/>
    <n v="0"/>
    <n v="0"/>
    <n v="0"/>
    <n v="0"/>
    <n v="0"/>
    <n v="0"/>
    <n v="0"/>
    <n v="0"/>
    <n v="0"/>
    <n v="0"/>
    <n v="5"/>
    <m/>
    <n v="0"/>
    <n v="0"/>
    <n v="0"/>
    <n v="0"/>
    <n v="0"/>
    <n v="0"/>
    <n v="0"/>
    <n v="0"/>
    <n v="1"/>
    <n v="1"/>
    <n v="1"/>
    <n v="1"/>
    <n v="1"/>
    <s v="Hampton North"/>
    <m/>
    <m/>
    <m/>
    <m/>
    <x v="0"/>
  </r>
  <r>
    <s v="Local Plan SA 4"/>
    <m/>
    <s v="Identified Site 5 year"/>
    <s v="Hampton Delivery Office, Rosehill, Hampton"/>
    <m/>
    <m/>
    <m/>
    <x v="3"/>
    <s v="Open Market"/>
    <m/>
    <m/>
    <n v="0"/>
    <n v="0"/>
    <n v="0"/>
    <n v="0"/>
    <n v="0"/>
    <n v="0"/>
    <n v="0"/>
    <n v="0"/>
    <n v="0"/>
    <n v="0"/>
    <n v="0"/>
    <n v="0"/>
    <n v="0"/>
    <n v="0"/>
    <n v="0"/>
    <n v="0"/>
    <n v="0"/>
    <n v="0"/>
    <n v="0"/>
    <n v="0"/>
    <n v="0"/>
    <n v="0"/>
    <n v="0"/>
    <n v="0"/>
    <n v="0"/>
    <n v="0"/>
    <n v="5"/>
    <m/>
    <n v="0"/>
    <n v="0"/>
    <n v="0"/>
    <n v="0"/>
    <n v="0"/>
    <n v="0"/>
    <n v="0"/>
    <n v="0"/>
    <n v="1"/>
    <n v="1"/>
    <n v="1"/>
    <n v="1"/>
    <n v="1"/>
    <s v="Hampton North"/>
    <m/>
    <m/>
    <m/>
    <m/>
    <x v="0"/>
  </r>
  <r>
    <s v="Local Plan SA 4"/>
    <m/>
    <s v="Identified Site 5 year"/>
    <s v="Teddington Delivery Office, 19 High Street, Teddington"/>
    <m/>
    <m/>
    <m/>
    <x v="3"/>
    <s v="Affordable"/>
    <m/>
    <m/>
    <n v="0"/>
    <n v="0"/>
    <n v="0"/>
    <n v="0"/>
    <n v="0"/>
    <n v="0"/>
    <n v="0"/>
    <n v="0"/>
    <n v="0"/>
    <n v="0"/>
    <n v="0"/>
    <n v="0"/>
    <n v="0"/>
    <n v="0"/>
    <n v="0"/>
    <n v="0"/>
    <n v="0"/>
    <n v="0"/>
    <n v="0"/>
    <n v="0"/>
    <n v="0"/>
    <n v="0"/>
    <n v="0"/>
    <n v="0"/>
    <n v="0"/>
    <n v="0"/>
    <n v="5"/>
    <m/>
    <n v="0"/>
    <n v="0"/>
    <n v="0"/>
    <n v="0"/>
    <n v="0"/>
    <n v="0"/>
    <n v="0"/>
    <n v="0"/>
    <n v="1"/>
    <n v="1"/>
    <n v="1"/>
    <n v="1"/>
    <n v="1"/>
    <s v="Teddington"/>
    <m/>
    <m/>
    <m/>
    <m/>
    <x v="0"/>
  </r>
  <r>
    <s v="Local Plan SA 4"/>
    <m/>
    <s v="Identified Site 5 year"/>
    <s v="Teddington Delivery Office, 19 High Street, Teddington"/>
    <m/>
    <m/>
    <m/>
    <x v="3"/>
    <s v="Open Market"/>
    <m/>
    <m/>
    <n v="0"/>
    <n v="0"/>
    <n v="0"/>
    <n v="0"/>
    <n v="0"/>
    <n v="0"/>
    <n v="0"/>
    <n v="0"/>
    <n v="0"/>
    <n v="0"/>
    <n v="0"/>
    <n v="0"/>
    <n v="0"/>
    <n v="0"/>
    <n v="0"/>
    <n v="0"/>
    <n v="0"/>
    <n v="0"/>
    <n v="0"/>
    <n v="0"/>
    <n v="0"/>
    <n v="0"/>
    <n v="0"/>
    <n v="0"/>
    <n v="0"/>
    <n v="0"/>
    <n v="5"/>
    <m/>
    <n v="0"/>
    <n v="0"/>
    <n v="0"/>
    <n v="0"/>
    <n v="0"/>
    <n v="0"/>
    <n v="0"/>
    <n v="0"/>
    <n v="1"/>
    <n v="1"/>
    <n v="1"/>
    <n v="1"/>
    <n v="1"/>
    <s v="Teddington"/>
    <m/>
    <m/>
    <m/>
    <m/>
    <x v="0"/>
  </r>
  <r>
    <s v="Local Plan SA 5"/>
    <m/>
    <s v="Identified Site 5 year"/>
    <s v="Telephone Exchange, High Street, Teddington"/>
    <m/>
    <m/>
    <m/>
    <x v="3"/>
    <s v="Affordable"/>
    <m/>
    <m/>
    <n v="0"/>
    <n v="0"/>
    <n v="0"/>
    <n v="0"/>
    <n v="0"/>
    <n v="0"/>
    <n v="0"/>
    <n v="0"/>
    <n v="0"/>
    <n v="0"/>
    <n v="0"/>
    <n v="0"/>
    <n v="0"/>
    <n v="0"/>
    <n v="0"/>
    <n v="0"/>
    <n v="0"/>
    <n v="0"/>
    <n v="0"/>
    <n v="0"/>
    <n v="0"/>
    <n v="0"/>
    <n v="0"/>
    <n v="0"/>
    <n v="0"/>
    <n v="0"/>
    <n v="10"/>
    <m/>
    <n v="0"/>
    <n v="0"/>
    <n v="0"/>
    <n v="0"/>
    <n v="0"/>
    <n v="0"/>
    <n v="0"/>
    <n v="0"/>
    <n v="2"/>
    <n v="2"/>
    <n v="2"/>
    <n v="2"/>
    <n v="2"/>
    <s v="Teddington"/>
    <m/>
    <m/>
    <m/>
    <m/>
    <x v="0"/>
  </r>
  <r>
    <s v="Local Plan SA 5"/>
    <m/>
    <s v="Identified Site 5 year"/>
    <s v="Telephone Exchange, High Street, Teddington"/>
    <m/>
    <m/>
    <m/>
    <x v="3"/>
    <s v="Open Market"/>
    <m/>
    <m/>
    <n v="0"/>
    <n v="0"/>
    <n v="0"/>
    <n v="0"/>
    <n v="0"/>
    <n v="0"/>
    <n v="0"/>
    <n v="0"/>
    <n v="0"/>
    <n v="0"/>
    <n v="0"/>
    <n v="0"/>
    <n v="0"/>
    <n v="0"/>
    <n v="0"/>
    <n v="0"/>
    <n v="0"/>
    <n v="0"/>
    <n v="0"/>
    <n v="0"/>
    <n v="0"/>
    <n v="0"/>
    <n v="0"/>
    <n v="0"/>
    <n v="0"/>
    <n v="0"/>
    <n v="10"/>
    <m/>
    <n v="0"/>
    <n v="0"/>
    <n v="0"/>
    <n v="0"/>
    <n v="0"/>
    <n v="0"/>
    <n v="0"/>
    <n v="0"/>
    <n v="2"/>
    <n v="2"/>
    <n v="2"/>
    <n v="2"/>
    <n v="2"/>
    <s v="Teddington"/>
    <m/>
    <m/>
    <m/>
    <m/>
    <x v="0"/>
  </r>
  <r>
    <s v="Local Plan SA 7"/>
    <m/>
    <s v="Identified Site 5 year"/>
    <s v="Strathmore Centre, Strathmore Road"/>
    <m/>
    <m/>
    <m/>
    <x v="3"/>
    <s v="Affordable"/>
    <m/>
    <m/>
    <n v="0"/>
    <n v="0"/>
    <n v="0"/>
    <n v="0"/>
    <n v="0"/>
    <n v="0"/>
    <n v="0"/>
    <n v="0"/>
    <n v="0"/>
    <n v="0"/>
    <n v="0"/>
    <n v="0"/>
    <n v="0"/>
    <n v="0"/>
    <n v="0"/>
    <n v="0"/>
    <n v="0"/>
    <n v="0"/>
    <n v="0"/>
    <n v="0"/>
    <n v="0"/>
    <n v="0"/>
    <n v="0"/>
    <n v="0"/>
    <n v="0"/>
    <n v="0"/>
    <n v="15"/>
    <m/>
    <n v="0"/>
    <n v="0"/>
    <n v="0"/>
    <n v="0"/>
    <n v="0"/>
    <n v="0"/>
    <n v="0"/>
    <n v="0"/>
    <n v="3"/>
    <n v="3"/>
    <n v="3"/>
    <n v="3"/>
    <n v="3"/>
    <s v="Fulwell and Hampton Hill"/>
    <m/>
    <m/>
    <m/>
    <m/>
    <x v="0"/>
  </r>
  <r>
    <s v="Local Plan SA 7"/>
    <m/>
    <s v="Identified Site 5 year"/>
    <s v="Strathmore Centre, Strathmore Road"/>
    <m/>
    <m/>
    <m/>
    <x v="3"/>
    <s v="Open Market"/>
    <m/>
    <m/>
    <n v="0"/>
    <n v="0"/>
    <n v="0"/>
    <n v="0"/>
    <n v="0"/>
    <n v="0"/>
    <n v="0"/>
    <n v="0"/>
    <n v="0"/>
    <n v="0"/>
    <n v="0"/>
    <n v="0"/>
    <n v="0"/>
    <n v="0"/>
    <n v="0"/>
    <n v="0"/>
    <n v="0"/>
    <n v="0"/>
    <n v="0"/>
    <n v="0"/>
    <n v="0"/>
    <n v="0"/>
    <n v="0"/>
    <n v="0"/>
    <n v="0"/>
    <n v="0"/>
    <n v="15"/>
    <m/>
    <n v="0"/>
    <n v="0"/>
    <n v="0"/>
    <n v="0"/>
    <n v="0"/>
    <n v="0"/>
    <n v="0"/>
    <n v="0"/>
    <n v="3"/>
    <n v="3"/>
    <n v="3"/>
    <n v="3"/>
    <n v="3"/>
    <s v="Fulwell and Hampton Hill"/>
    <m/>
    <m/>
    <m/>
    <m/>
    <x v="0"/>
  </r>
  <r>
    <s v="Other known large site"/>
    <m/>
    <s v="Identified Site 5 year"/>
    <s v="Richmond Royal Hospital"/>
    <m/>
    <m/>
    <m/>
    <x v="3"/>
    <s v="Open Market"/>
    <m/>
    <m/>
    <n v="0"/>
    <n v="0"/>
    <n v="0"/>
    <n v="0"/>
    <n v="0"/>
    <n v="0"/>
    <n v="0"/>
    <n v="0"/>
    <n v="0"/>
    <n v="0"/>
    <n v="0"/>
    <n v="0"/>
    <n v="0"/>
    <n v="0"/>
    <n v="0"/>
    <n v="0"/>
    <n v="0"/>
    <n v="0"/>
    <n v="0"/>
    <n v="0"/>
    <n v="0"/>
    <n v="0"/>
    <n v="0"/>
    <n v="0"/>
    <n v="0"/>
    <n v="0"/>
    <n v="56"/>
    <m/>
    <n v="0"/>
    <n v="0"/>
    <n v="0"/>
    <n v="14"/>
    <n v="14"/>
    <n v="14"/>
    <n v="14"/>
    <s v="Y"/>
    <n v="0"/>
    <n v="0"/>
    <n v="0"/>
    <n v="0"/>
    <n v="0"/>
    <s v="North Richmond"/>
    <m/>
    <m/>
    <m/>
    <m/>
    <x v="0"/>
  </r>
  <r>
    <s v="Other known large site"/>
    <m/>
    <s v="Identified Site 5 year"/>
    <s v="Richmond Royal Hospital"/>
    <m/>
    <m/>
    <m/>
    <x v="3"/>
    <s v="Affordable"/>
    <m/>
    <m/>
    <n v="0"/>
    <n v="0"/>
    <n v="0"/>
    <n v="0"/>
    <n v="0"/>
    <n v="0"/>
    <n v="0"/>
    <n v="0"/>
    <n v="0"/>
    <n v="0"/>
    <n v="0"/>
    <n v="0"/>
    <n v="0"/>
    <n v="0"/>
    <n v="0"/>
    <n v="0"/>
    <n v="0"/>
    <n v="0"/>
    <n v="0"/>
    <n v="0"/>
    <n v="0"/>
    <n v="0"/>
    <n v="0"/>
    <n v="0"/>
    <n v="0"/>
    <n v="0"/>
    <n v="15"/>
    <m/>
    <n v="0"/>
    <n v="0"/>
    <n v="0"/>
    <n v="3.75"/>
    <n v="3.75"/>
    <n v="3.75"/>
    <n v="3.75"/>
    <s v="Y"/>
    <n v="0"/>
    <n v="0"/>
    <n v="0"/>
    <n v="0"/>
    <n v="0"/>
    <s v="North Richmond"/>
    <m/>
    <m/>
    <m/>
    <m/>
    <x v="0"/>
  </r>
  <r>
    <s v="Other known large site"/>
    <m/>
    <s v="Identified Site 5 year"/>
    <s v="Sainsbury’s, Manor Road/Lower Richmond Road"/>
    <m/>
    <m/>
    <m/>
    <x v="3"/>
    <s v="Open Market"/>
    <m/>
    <m/>
    <n v="0"/>
    <n v="0"/>
    <n v="0"/>
    <n v="0"/>
    <n v="0"/>
    <n v="0"/>
    <n v="0"/>
    <n v="0"/>
    <n v="0"/>
    <n v="0"/>
    <n v="0"/>
    <n v="0"/>
    <n v="0"/>
    <n v="0"/>
    <n v="0"/>
    <n v="0"/>
    <n v="0"/>
    <n v="0"/>
    <n v="0"/>
    <n v="0"/>
    <n v="0"/>
    <n v="0"/>
    <n v="0"/>
    <n v="0"/>
    <n v="0"/>
    <n v="0"/>
    <n v="128"/>
    <m/>
    <n v="0"/>
    <n v="0"/>
    <n v="0"/>
    <n v="0"/>
    <n v="0"/>
    <n v="0"/>
    <n v="0"/>
    <n v="0"/>
    <n v="25.6"/>
    <n v="25.6"/>
    <n v="25.6"/>
    <n v="25.6"/>
    <n v="25.6"/>
    <s v="North Richmond"/>
    <m/>
    <m/>
    <m/>
    <m/>
    <x v="0"/>
  </r>
  <r>
    <s v="Other known large site"/>
    <m/>
    <s v="Identified Site 5 year"/>
    <s v="Sainsbury’s, Manor Road/Lower Richmond Road"/>
    <m/>
    <m/>
    <m/>
    <x v="3"/>
    <s v="Affordable"/>
    <m/>
    <m/>
    <n v="0"/>
    <n v="0"/>
    <n v="0"/>
    <n v="0"/>
    <n v="0"/>
    <n v="0"/>
    <n v="0"/>
    <n v="0"/>
    <n v="0"/>
    <n v="0"/>
    <n v="0"/>
    <n v="0"/>
    <n v="0"/>
    <n v="0"/>
    <n v="0"/>
    <n v="0"/>
    <n v="0"/>
    <n v="0"/>
    <n v="0"/>
    <n v="0"/>
    <n v="0"/>
    <n v="0"/>
    <n v="0"/>
    <n v="0"/>
    <n v="0"/>
    <n v="0"/>
    <n v="127"/>
    <m/>
    <n v="0"/>
    <n v="0"/>
    <n v="0"/>
    <n v="0"/>
    <n v="0"/>
    <n v="0"/>
    <n v="0"/>
    <n v="0"/>
    <n v="25.4"/>
    <n v="25.4"/>
    <n v="25.4"/>
    <n v="25.4"/>
    <n v="25.4"/>
    <s v="North Richmond"/>
    <m/>
    <m/>
    <m/>
    <m/>
    <x v="0"/>
  </r>
  <r>
    <s v="Other known large site"/>
    <m/>
    <s v="Identified Site 5 year"/>
    <s v="Homebase, 84 Manor Road, Richmond"/>
    <m/>
    <m/>
    <m/>
    <x v="3"/>
    <s v="Open Market"/>
    <m/>
    <m/>
    <n v="0"/>
    <n v="0"/>
    <n v="0"/>
    <n v="0"/>
    <n v="0"/>
    <n v="0"/>
    <n v="0"/>
    <n v="0"/>
    <n v="0"/>
    <n v="0"/>
    <n v="0"/>
    <n v="0"/>
    <n v="0"/>
    <n v="0"/>
    <n v="0"/>
    <n v="0"/>
    <n v="0"/>
    <n v="0"/>
    <n v="0"/>
    <n v="0"/>
    <n v="0"/>
    <n v="0"/>
    <n v="0"/>
    <n v="0"/>
    <n v="0"/>
    <n v="0"/>
    <n v="150"/>
    <m/>
    <n v="0"/>
    <n v="0"/>
    <n v="0"/>
    <n v="0"/>
    <n v="0"/>
    <n v="30"/>
    <n v="30"/>
    <s v="Y"/>
    <n v="30"/>
    <n v="30"/>
    <n v="30"/>
    <n v="0"/>
    <n v="0"/>
    <s v="North Richmond"/>
    <m/>
    <m/>
    <m/>
    <m/>
    <x v="0"/>
  </r>
  <r>
    <s v="Other known large site"/>
    <m/>
    <s v="Identified Site 5 year"/>
    <s v="Homebase, 84 Manor Road, Richmond"/>
    <m/>
    <m/>
    <m/>
    <x v="3"/>
    <s v="Affordable"/>
    <m/>
    <m/>
    <n v="0"/>
    <n v="0"/>
    <n v="0"/>
    <n v="0"/>
    <n v="0"/>
    <n v="0"/>
    <n v="0"/>
    <n v="0"/>
    <n v="0"/>
    <n v="0"/>
    <n v="0"/>
    <n v="0"/>
    <n v="0"/>
    <n v="0"/>
    <n v="0"/>
    <n v="0"/>
    <n v="0"/>
    <n v="0"/>
    <n v="0"/>
    <n v="0"/>
    <n v="0"/>
    <n v="0"/>
    <n v="0"/>
    <n v="0"/>
    <n v="0"/>
    <n v="0"/>
    <n v="150"/>
    <m/>
    <n v="0"/>
    <n v="0"/>
    <n v="0"/>
    <n v="0"/>
    <n v="0"/>
    <n v="30"/>
    <n v="30"/>
    <s v="Y"/>
    <n v="30"/>
    <n v="30"/>
    <n v="30"/>
    <n v="0"/>
    <n v="0"/>
    <s v="North Richmond"/>
    <m/>
    <m/>
    <m/>
    <m/>
    <x v="0"/>
  </r>
  <r>
    <s v="TAAP TW2"/>
    <m/>
    <s v="Identified Site 5 year"/>
    <s v="Station Yard, Twickenham"/>
    <m/>
    <m/>
    <m/>
    <x v="3"/>
    <s v="Affordable"/>
    <m/>
    <m/>
    <n v="0"/>
    <n v="0"/>
    <n v="0"/>
    <n v="0"/>
    <n v="0"/>
    <n v="0"/>
    <n v="0"/>
    <n v="0"/>
    <n v="0"/>
    <n v="0"/>
    <n v="0"/>
    <n v="0"/>
    <n v="0"/>
    <n v="0"/>
    <n v="0"/>
    <n v="0"/>
    <n v="0"/>
    <n v="0"/>
    <n v="0"/>
    <n v="0"/>
    <n v="0"/>
    <n v="0"/>
    <n v="0"/>
    <n v="0"/>
    <n v="0"/>
    <n v="0"/>
    <n v="10"/>
    <m/>
    <n v="0"/>
    <n v="0"/>
    <n v="0"/>
    <n v="0"/>
    <n v="0"/>
    <n v="0"/>
    <n v="0"/>
    <n v="0"/>
    <n v="2"/>
    <n v="2"/>
    <n v="2"/>
    <n v="2"/>
    <n v="2"/>
    <s v="Twickenham Riverside"/>
    <m/>
    <m/>
    <m/>
    <m/>
    <x v="0"/>
  </r>
  <r>
    <s v="TAAP TW2"/>
    <m/>
    <s v="Identified Site 5 year"/>
    <s v="Station Yard, Twickenham"/>
    <m/>
    <m/>
    <m/>
    <x v="3"/>
    <s v="Open Market"/>
    <m/>
    <m/>
    <n v="0"/>
    <n v="0"/>
    <n v="0"/>
    <n v="0"/>
    <n v="0"/>
    <n v="0"/>
    <n v="0"/>
    <n v="0"/>
    <n v="0"/>
    <n v="0"/>
    <n v="0"/>
    <n v="0"/>
    <n v="0"/>
    <n v="0"/>
    <n v="0"/>
    <n v="0"/>
    <n v="0"/>
    <n v="0"/>
    <n v="0"/>
    <n v="0"/>
    <n v="0"/>
    <n v="0"/>
    <n v="0"/>
    <n v="0"/>
    <n v="0"/>
    <n v="0"/>
    <n v="10"/>
    <m/>
    <n v="0"/>
    <n v="0"/>
    <n v="0"/>
    <n v="0"/>
    <n v="0"/>
    <n v="0"/>
    <n v="0"/>
    <n v="0"/>
    <n v="2"/>
    <n v="2"/>
    <n v="2"/>
    <n v="2"/>
    <n v="2"/>
    <s v="Twickenham Riverside"/>
    <m/>
    <m/>
    <m/>
    <m/>
    <x v="0"/>
  </r>
  <r>
    <s v="TAAP TW5"/>
    <m/>
    <s v="Identified Site 5 year"/>
    <s v="Telephone Exchange, Garfield Road, Twickenham"/>
    <m/>
    <m/>
    <m/>
    <x v="3"/>
    <s v="Affordable"/>
    <m/>
    <m/>
    <n v="0"/>
    <n v="0"/>
    <n v="0"/>
    <n v="0"/>
    <n v="0"/>
    <n v="0"/>
    <n v="0"/>
    <n v="0"/>
    <n v="0"/>
    <n v="0"/>
    <n v="0"/>
    <n v="0"/>
    <n v="0"/>
    <n v="0"/>
    <n v="0"/>
    <n v="0"/>
    <n v="0"/>
    <n v="0"/>
    <n v="0"/>
    <n v="0"/>
    <n v="0"/>
    <n v="0"/>
    <n v="0"/>
    <n v="0"/>
    <n v="0"/>
    <n v="0"/>
    <n v="10"/>
    <m/>
    <n v="0"/>
    <n v="0"/>
    <n v="0"/>
    <n v="0"/>
    <n v="0"/>
    <n v="0"/>
    <n v="0"/>
    <n v="0"/>
    <n v="2"/>
    <n v="2"/>
    <n v="2"/>
    <n v="2"/>
    <n v="2"/>
    <s v="Twickenham Riverside"/>
    <m/>
    <m/>
    <m/>
    <m/>
    <x v="0"/>
  </r>
  <r>
    <s v="TAAP TW5"/>
    <m/>
    <s v="Identified Site 5 year"/>
    <s v="Telephone Exchange, Garfield Road, Twickenham"/>
    <m/>
    <m/>
    <m/>
    <x v="3"/>
    <s v="Open Market"/>
    <m/>
    <m/>
    <n v="0"/>
    <n v="0"/>
    <n v="0"/>
    <n v="0"/>
    <n v="0"/>
    <n v="0"/>
    <n v="0"/>
    <n v="0"/>
    <n v="0"/>
    <n v="0"/>
    <n v="0"/>
    <n v="0"/>
    <n v="0"/>
    <n v="0"/>
    <n v="0"/>
    <n v="0"/>
    <n v="0"/>
    <n v="0"/>
    <n v="0"/>
    <n v="0"/>
    <n v="0"/>
    <n v="0"/>
    <n v="0"/>
    <n v="0"/>
    <n v="0"/>
    <n v="0"/>
    <n v="10"/>
    <m/>
    <n v="0"/>
    <n v="0"/>
    <n v="0"/>
    <n v="0"/>
    <n v="0"/>
    <n v="0"/>
    <n v="0"/>
    <n v="0"/>
    <n v="2"/>
    <n v="2"/>
    <n v="2"/>
    <n v="2"/>
    <n v="2"/>
    <s v="Twickenham Riverside"/>
    <m/>
    <m/>
    <m/>
    <m/>
    <x v="0"/>
  </r>
  <r>
    <s v="TAAP TW6"/>
    <m/>
    <s v="Identified Site 5 year"/>
    <s v="Police Station, London Road, Twickenham"/>
    <m/>
    <m/>
    <m/>
    <x v="3"/>
    <s v="Affordable"/>
    <m/>
    <m/>
    <n v="0"/>
    <n v="0"/>
    <n v="0"/>
    <n v="0"/>
    <n v="0"/>
    <n v="0"/>
    <n v="0"/>
    <n v="0"/>
    <n v="0"/>
    <n v="0"/>
    <n v="0"/>
    <n v="0"/>
    <n v="0"/>
    <n v="0"/>
    <n v="0"/>
    <n v="0"/>
    <n v="0"/>
    <n v="0"/>
    <n v="0"/>
    <n v="0"/>
    <n v="0"/>
    <n v="0"/>
    <n v="0"/>
    <n v="0"/>
    <n v="0"/>
    <n v="0"/>
    <n v="10"/>
    <m/>
    <n v="0"/>
    <n v="0"/>
    <n v="0"/>
    <n v="0"/>
    <n v="0"/>
    <n v="0"/>
    <n v="0"/>
    <n v="0"/>
    <n v="2"/>
    <n v="2"/>
    <n v="2"/>
    <n v="2"/>
    <n v="2"/>
    <s v="Twickenham Riverside"/>
    <m/>
    <m/>
    <m/>
    <m/>
    <x v="0"/>
  </r>
  <r>
    <s v="TAAP TW6"/>
    <m/>
    <s v="Identified Site 5 year"/>
    <s v="Police Station, London Road, Twickenham"/>
    <m/>
    <m/>
    <m/>
    <x v="3"/>
    <s v="Open Market"/>
    <m/>
    <m/>
    <n v="0"/>
    <n v="0"/>
    <n v="0"/>
    <n v="0"/>
    <n v="0"/>
    <n v="0"/>
    <n v="0"/>
    <n v="0"/>
    <n v="0"/>
    <n v="0"/>
    <n v="0"/>
    <n v="0"/>
    <n v="0"/>
    <n v="0"/>
    <n v="0"/>
    <n v="0"/>
    <n v="0"/>
    <n v="0"/>
    <n v="0"/>
    <n v="0"/>
    <n v="0"/>
    <n v="0"/>
    <n v="0"/>
    <n v="0"/>
    <n v="0"/>
    <n v="0"/>
    <n v="10"/>
    <m/>
    <n v="0"/>
    <n v="0"/>
    <n v="0"/>
    <n v="0"/>
    <n v="0"/>
    <n v="0"/>
    <n v="0"/>
    <n v="0"/>
    <n v="2"/>
    <n v="2"/>
    <n v="2"/>
    <n v="2"/>
    <n v="2"/>
    <s v="Twickenham Riverside"/>
    <m/>
    <m/>
    <m/>
    <m/>
    <x v="0"/>
  </r>
  <r>
    <s v="TAAP TW7"/>
    <m/>
    <s v="Identified Site 5 year"/>
    <s v="Twickenham Riverside (Former Pool Site) and south of King Street"/>
    <m/>
    <m/>
    <m/>
    <x v="3"/>
    <s v="Affordable"/>
    <m/>
    <m/>
    <n v="0"/>
    <n v="0"/>
    <n v="0"/>
    <n v="0"/>
    <n v="0"/>
    <n v="0"/>
    <n v="0"/>
    <n v="0"/>
    <n v="0"/>
    <n v="0"/>
    <n v="0"/>
    <n v="0"/>
    <n v="0"/>
    <n v="0"/>
    <n v="0"/>
    <n v="0"/>
    <n v="0"/>
    <n v="0"/>
    <n v="0"/>
    <n v="0"/>
    <n v="0"/>
    <n v="0"/>
    <n v="0"/>
    <n v="0"/>
    <n v="0"/>
    <n v="0"/>
    <n v="5"/>
    <m/>
    <n v="0"/>
    <n v="0"/>
    <n v="0"/>
    <n v="0"/>
    <n v="0"/>
    <n v="0"/>
    <n v="0"/>
    <n v="0"/>
    <n v="1"/>
    <n v="1"/>
    <n v="1"/>
    <n v="1"/>
    <n v="1"/>
    <s v="Twickenham Riverside"/>
    <m/>
    <m/>
    <m/>
    <m/>
    <x v="0"/>
  </r>
  <r>
    <s v="TAAP TW7"/>
    <m/>
    <s v="Identified Site 5 year"/>
    <s v="Twickenham Riverside (Former Pool Site) and south of King Street"/>
    <m/>
    <m/>
    <m/>
    <x v="3"/>
    <s v="Open Market"/>
    <m/>
    <m/>
    <n v="0"/>
    <n v="0"/>
    <n v="0"/>
    <n v="0"/>
    <n v="0"/>
    <n v="0"/>
    <n v="0"/>
    <n v="0"/>
    <n v="0"/>
    <n v="0"/>
    <n v="0"/>
    <n v="0"/>
    <n v="0"/>
    <n v="0"/>
    <n v="0"/>
    <n v="0"/>
    <n v="0"/>
    <n v="0"/>
    <n v="0"/>
    <n v="0"/>
    <n v="0"/>
    <n v="0"/>
    <n v="0"/>
    <n v="0"/>
    <n v="0"/>
    <n v="0"/>
    <n v="5"/>
    <m/>
    <n v="0"/>
    <n v="0"/>
    <n v="0"/>
    <n v="0"/>
    <n v="0"/>
    <n v="0"/>
    <n v="0"/>
    <n v="0"/>
    <n v="1"/>
    <n v="1"/>
    <n v="1"/>
    <n v="1"/>
    <n v="1"/>
    <s v="Twickenham Riverside"/>
    <m/>
    <m/>
    <m/>
    <m/>
    <x v="0"/>
  </r>
  <r>
    <s v="Small Sites"/>
    <m/>
    <m/>
    <s v="Small Sites Trend"/>
    <m/>
    <m/>
    <m/>
    <x v="4"/>
    <s v="Unknown"/>
    <m/>
    <m/>
    <n v="0"/>
    <n v="0"/>
    <n v="0"/>
    <n v="0"/>
    <n v="0"/>
    <n v="0"/>
    <n v="0"/>
    <n v="0"/>
    <n v="0"/>
    <n v="0"/>
    <n v="0"/>
    <n v="0"/>
    <n v="0"/>
    <n v="0"/>
    <n v="0"/>
    <n v="0"/>
    <n v="0"/>
    <n v="0"/>
    <n v="0"/>
    <n v="0"/>
    <n v="0"/>
    <n v="0"/>
    <n v="0"/>
    <n v="0"/>
    <n v="0"/>
    <n v="0"/>
    <m/>
    <m/>
    <n v="0"/>
    <n v="0"/>
    <n v="0"/>
    <n v="0"/>
    <n v="0"/>
    <n v="0"/>
    <n v="0"/>
    <n v="0"/>
    <n v="204"/>
    <n v="204"/>
    <n v="204"/>
    <n v="204"/>
    <n v="204"/>
    <m/>
    <m/>
    <m/>
    <m/>
    <m/>
    <x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3">
  <r>
    <s v="07/2346/FUL"/>
    <s v="CON"/>
    <m/>
    <s v="62 Mill Farm Crescent_x000d_Whitton_x000d_Middlesex_x000d_TW4 5PG"/>
    <s v="Conversion of house into three units incorporating: one studio unit, one 1-bedroom unit,one 3-bedroom unit. Rear Extension And Associated Parking, Refuse And Cycle Storage Facilities."/>
    <d v="2008-07-15T00:00:00"/>
    <d v="2018-06-27T00:00:00"/>
    <x v="0"/>
    <s v="Open Market"/>
    <n v="512461"/>
    <n v="173391"/>
    <n v="0"/>
    <n v="0"/>
    <n v="0"/>
    <n v="1"/>
    <n v="0"/>
    <m/>
    <m/>
    <m/>
    <n v="1"/>
    <n v="1"/>
    <n v="1"/>
    <n v="0"/>
    <n v="1"/>
    <n v="0"/>
    <m/>
    <m/>
    <m/>
    <n v="3"/>
    <n v="1"/>
    <n v="1"/>
    <n v="0"/>
    <n v="0"/>
    <n v="0"/>
    <n v="0"/>
    <n v="0"/>
    <n v="0"/>
    <n v="2"/>
    <m/>
    <n v="2"/>
    <n v="0"/>
    <n v="0"/>
    <n v="0"/>
    <n v="0"/>
    <n v="0"/>
    <n v="0"/>
    <n v="0"/>
    <n v="0"/>
    <n v="0"/>
    <n v="0"/>
    <n v="0"/>
    <n v="0"/>
    <s v="Heathfield"/>
    <m/>
    <m/>
    <m/>
    <m/>
    <x v="0"/>
  </r>
  <r>
    <s v="08/0225/FUL"/>
    <s v="NEW"/>
    <m/>
    <s v="Pouparts Yard And Land Rear Of 84A_x000d_Hampton Road_x000d_Twickenham_x000d_Middlesex"/>
    <s v="Demolition of Pouparts Yard workshop and the erection of a mixed use development comprising 9 No. residential units and 348 square metres of commercial floor space with associated parking and landscaping."/>
    <d v="2012-12-06T00:00:00"/>
    <d v="2018-08-31T00:00:00"/>
    <x v="0"/>
    <s v="Open Market"/>
    <n v="514981"/>
    <n v="172687"/>
    <n v="0"/>
    <n v="0"/>
    <n v="0"/>
    <n v="0"/>
    <n v="0"/>
    <m/>
    <m/>
    <m/>
    <n v="0"/>
    <n v="1"/>
    <n v="2"/>
    <n v="5"/>
    <n v="1"/>
    <n v="0"/>
    <m/>
    <m/>
    <m/>
    <n v="9"/>
    <n v="1"/>
    <n v="2"/>
    <n v="5"/>
    <n v="1"/>
    <n v="0"/>
    <n v="0"/>
    <n v="0"/>
    <n v="0"/>
    <n v="9"/>
    <m/>
    <n v="9"/>
    <n v="0"/>
    <n v="0"/>
    <n v="0"/>
    <n v="0"/>
    <n v="0"/>
    <n v="0"/>
    <n v="0"/>
    <n v="0"/>
    <n v="0"/>
    <n v="0"/>
    <n v="0"/>
    <n v="0"/>
    <s v="West Twickenham"/>
    <m/>
    <m/>
    <m/>
    <m/>
    <x v="0"/>
  </r>
  <r>
    <s v="09/3265/FUL"/>
    <s v="NEW"/>
    <m/>
    <s v="Newland House School_x000d_28 - 36 Waldegrave Park_x000d_Twickenham"/>
    <s v="Demolish no. 28 Waldegrave Park, replace with pre-preparatory unit and change of use to educational. Demolish storage units rear of 36 Waldegrave Park. New vehicular access. Create 8 new car parking spaces inc.1 disabled space. Rearrange parking at front"/>
    <m/>
    <d v="2018-06-08T00:00:00"/>
    <x v="0"/>
    <s v="Open Market"/>
    <n v="515893"/>
    <n v="171816"/>
    <n v="0"/>
    <n v="0"/>
    <n v="0"/>
    <n v="0"/>
    <n v="1"/>
    <m/>
    <m/>
    <m/>
    <n v="1"/>
    <n v="0"/>
    <n v="0"/>
    <n v="0"/>
    <n v="0"/>
    <n v="0"/>
    <m/>
    <m/>
    <m/>
    <n v="0"/>
    <n v="0"/>
    <n v="0"/>
    <n v="0"/>
    <n v="0"/>
    <n v="-1"/>
    <n v="0"/>
    <n v="0"/>
    <n v="0"/>
    <n v="-1"/>
    <m/>
    <n v="-1"/>
    <n v="0"/>
    <n v="0"/>
    <n v="0"/>
    <n v="0"/>
    <n v="0"/>
    <n v="0"/>
    <n v="0"/>
    <n v="0"/>
    <n v="0"/>
    <n v="0"/>
    <n v="0"/>
    <n v="0"/>
    <s v="Teddington"/>
    <m/>
    <m/>
    <m/>
    <m/>
    <x v="0"/>
  </r>
  <r>
    <s v="10/1026/FUL"/>
    <s v="CON"/>
    <m/>
    <s v="21 St Georges Road_x000d_Twickenham"/>
    <s v="Change of use from 3 no. self contained flats to a single family dwelling house incorporating minor internal alterations."/>
    <d v="2013-06-13T00:00:00"/>
    <d v="2018-08-14T00:00:00"/>
    <x v="0"/>
    <s v="Open Market"/>
    <n v="516929"/>
    <n v="174807"/>
    <m/>
    <n v="0"/>
    <n v="0"/>
    <n v="3"/>
    <n v="0"/>
    <m/>
    <m/>
    <m/>
    <n v="3"/>
    <m/>
    <n v="0"/>
    <n v="0"/>
    <n v="0"/>
    <n v="1"/>
    <m/>
    <m/>
    <m/>
    <n v="1"/>
    <m/>
    <n v="0"/>
    <n v="0"/>
    <n v="-3"/>
    <n v="1"/>
    <n v="0"/>
    <n v="0"/>
    <n v="0"/>
    <n v="-2"/>
    <m/>
    <n v="-2"/>
    <n v="0"/>
    <n v="0"/>
    <n v="0"/>
    <n v="0"/>
    <n v="0"/>
    <n v="0"/>
    <n v="0"/>
    <n v="0"/>
    <n v="0"/>
    <n v="0"/>
    <n v="0"/>
    <n v="0"/>
    <s v="St. Margarets and North Twickenham"/>
    <m/>
    <m/>
    <m/>
    <m/>
    <x v="0"/>
  </r>
  <r>
    <s v="10/1864/FUL"/>
    <s v="NEW"/>
    <m/>
    <s v="84 Whitton Road_x000d_Twickenham_x000d_TW1 1BS"/>
    <s v="Erection of 9 residential units."/>
    <d v="2016-02-01T00:00:00"/>
    <d v="2018-07-31T00:00:00"/>
    <x v="0"/>
    <s v="Open Market"/>
    <n v="515818"/>
    <n v="173973"/>
    <m/>
    <n v="0"/>
    <n v="0"/>
    <n v="0"/>
    <n v="0"/>
    <m/>
    <m/>
    <m/>
    <n v="0"/>
    <m/>
    <n v="3"/>
    <n v="0"/>
    <n v="6"/>
    <n v="0"/>
    <m/>
    <m/>
    <m/>
    <n v="9"/>
    <m/>
    <n v="3"/>
    <n v="0"/>
    <n v="6"/>
    <n v="0"/>
    <n v="0"/>
    <n v="0"/>
    <n v="0"/>
    <n v="9"/>
    <m/>
    <n v="9"/>
    <n v="0"/>
    <n v="0"/>
    <n v="0"/>
    <n v="0"/>
    <n v="0"/>
    <n v="0"/>
    <n v="0"/>
    <n v="0"/>
    <n v="0"/>
    <n v="0"/>
    <n v="0"/>
    <n v="0"/>
    <s v="St. Margarets and North Twickenham"/>
    <m/>
    <m/>
    <m/>
    <m/>
    <x v="0"/>
  </r>
  <r>
    <s v="11/3248/FUL"/>
    <s v="NEW"/>
    <m/>
    <s v="37 Grosvenor Road Twickenham"/>
    <s v="Amendments to planning permission 08/4334/FUL during the course of construction to amend 3x 1 bed units of accommodation at the rear of No. 37 Grosvenor Road into 1x2 bed unit with associated internal alterations."/>
    <d v="2012-10-01T00:00:00"/>
    <d v="2018-04-02T00:00:00"/>
    <x v="0"/>
    <s v="Open Market"/>
    <n v="516120"/>
    <n v="173429"/>
    <m/>
    <n v="0"/>
    <n v="0"/>
    <n v="0"/>
    <n v="0"/>
    <m/>
    <m/>
    <m/>
    <n v="0"/>
    <m/>
    <n v="6"/>
    <n v="1"/>
    <n v="0"/>
    <n v="0"/>
    <m/>
    <m/>
    <m/>
    <n v="7"/>
    <m/>
    <n v="6"/>
    <n v="1"/>
    <n v="0"/>
    <n v="0"/>
    <n v="0"/>
    <n v="0"/>
    <n v="0"/>
    <n v="7"/>
    <m/>
    <n v="7"/>
    <n v="0"/>
    <n v="0"/>
    <n v="0"/>
    <n v="0"/>
    <n v="0"/>
    <n v="0"/>
    <n v="0"/>
    <n v="0"/>
    <n v="0"/>
    <n v="0"/>
    <n v="0"/>
    <n v="0"/>
    <s v="Twickenham Riverside"/>
    <m/>
    <m/>
    <s v="Twickenham"/>
    <m/>
    <x v="0"/>
  </r>
  <r>
    <s v="12/3452/FUL"/>
    <s v="EXT"/>
    <m/>
    <s v="105 Church Road_x000d_Teddington_x000d_TW11 8QH"/>
    <s v="Extension at ground and roof level to create an additional residential unit, to form 2 no. 1 bed flats"/>
    <d v="2017-10-01T00:00:00"/>
    <d v="2019-03-27T00:00:00"/>
    <x v="0"/>
    <s v="Open Market"/>
    <n v="515521"/>
    <n v="171408"/>
    <m/>
    <n v="0"/>
    <n v="1"/>
    <n v="0"/>
    <n v="0"/>
    <m/>
    <m/>
    <m/>
    <n v="1"/>
    <m/>
    <n v="2"/>
    <n v="0"/>
    <n v="0"/>
    <n v="0"/>
    <m/>
    <m/>
    <m/>
    <n v="2"/>
    <m/>
    <n v="2"/>
    <n v="-1"/>
    <n v="0"/>
    <n v="0"/>
    <n v="0"/>
    <n v="0"/>
    <n v="0"/>
    <n v="1"/>
    <m/>
    <n v="1"/>
    <n v="0"/>
    <n v="0"/>
    <n v="0"/>
    <n v="0"/>
    <n v="0"/>
    <n v="0"/>
    <n v="0"/>
    <n v="0"/>
    <n v="0"/>
    <n v="0"/>
    <n v="0"/>
    <n v="0"/>
    <s v="Fulwell and Hampton Hill"/>
    <m/>
    <m/>
    <m/>
    <m/>
    <x v="0"/>
  </r>
  <r>
    <s v="13/2845/P3JPA"/>
    <s v="CHU"/>
    <s v="PA"/>
    <s v="99 South Worple Way_x000d_East Sheen_x000d_London"/>
    <s v="Change of use from class B1 (offices) to C3 (residential)."/>
    <d v="2016-04-01T00:00:00"/>
    <d v="2018-12-11T00:00:00"/>
    <x v="0"/>
    <s v="Open Market"/>
    <n v="520540"/>
    <n v="175748"/>
    <m/>
    <n v="0"/>
    <n v="0"/>
    <n v="0"/>
    <n v="0"/>
    <m/>
    <m/>
    <m/>
    <n v="0"/>
    <m/>
    <n v="1"/>
    <n v="5"/>
    <n v="0"/>
    <n v="0"/>
    <m/>
    <m/>
    <m/>
    <n v="6"/>
    <m/>
    <n v="1"/>
    <n v="5"/>
    <n v="0"/>
    <n v="0"/>
    <n v="0"/>
    <n v="0"/>
    <n v="0"/>
    <n v="6"/>
    <m/>
    <n v="6"/>
    <n v="0"/>
    <n v="0"/>
    <n v="0"/>
    <n v="0"/>
    <n v="0"/>
    <n v="0"/>
    <n v="0"/>
    <n v="0"/>
    <n v="0"/>
    <n v="0"/>
    <n v="0"/>
    <n v="0"/>
    <s v="East Sheen"/>
    <m/>
    <m/>
    <s v="East Sheen"/>
    <m/>
    <x v="0"/>
  </r>
  <r>
    <s v="13/4409/FUL"/>
    <s v="CHU"/>
    <m/>
    <s v="Royal Star And Garter Home_x000d_Richmond Hill_x000d_Richmond_x000d_TW10 6RR"/>
    <s v="Change of use from care home (use class C2) to residential (use class C3), comprising 86 dwelling units, including reconfiguration of the listed building and minor demolition to modern additions, new basement car park and associated landscaping."/>
    <d v="2015-02-05T00:00:00"/>
    <d v="2018-07-09T00:00:00"/>
    <x v="0"/>
    <s v="Open Market"/>
    <n v="518424"/>
    <n v="173759"/>
    <m/>
    <n v="0"/>
    <n v="0"/>
    <n v="0"/>
    <n v="0"/>
    <m/>
    <m/>
    <m/>
    <n v="0"/>
    <m/>
    <n v="29"/>
    <n v="24"/>
    <n v="30"/>
    <n v="3"/>
    <m/>
    <m/>
    <m/>
    <n v="86"/>
    <m/>
    <n v="29"/>
    <n v="24"/>
    <n v="30"/>
    <n v="3"/>
    <n v="0"/>
    <n v="0"/>
    <n v="0"/>
    <n v="86"/>
    <s v="Y"/>
    <n v="86"/>
    <n v="0"/>
    <n v="0"/>
    <n v="0"/>
    <n v="0"/>
    <n v="0"/>
    <n v="0"/>
    <n v="0"/>
    <n v="0"/>
    <n v="0"/>
    <n v="0"/>
    <n v="0"/>
    <n v="0"/>
    <s v="Ham, Petersham and Richmond Riverside"/>
    <m/>
    <m/>
    <m/>
    <s v="Thames Policy Area"/>
    <x v="0"/>
  </r>
  <r>
    <s v="13/4790/FUL"/>
    <s v="NEW"/>
    <m/>
    <s v="5 Chestnut Avenue_x000d_Hampton_x000d_TW12 2NY"/>
    <s v="Construction of a pair of three storey, semi detached three/four bedroom houses on site of recently demolished bungalow."/>
    <d v="2012-06-11T00:00:00"/>
    <d v="2019-01-11T00:00:00"/>
    <x v="0"/>
    <s v="Open Market"/>
    <n v="513223"/>
    <n v="170169"/>
    <m/>
    <n v="0"/>
    <n v="0"/>
    <n v="1"/>
    <n v="0"/>
    <m/>
    <m/>
    <m/>
    <n v="1"/>
    <m/>
    <n v="0"/>
    <n v="0"/>
    <n v="0"/>
    <n v="2"/>
    <m/>
    <m/>
    <m/>
    <n v="2"/>
    <m/>
    <n v="0"/>
    <n v="0"/>
    <n v="-1"/>
    <n v="2"/>
    <n v="0"/>
    <n v="0"/>
    <n v="0"/>
    <n v="1"/>
    <m/>
    <n v="1"/>
    <n v="0"/>
    <n v="0"/>
    <n v="0"/>
    <n v="0"/>
    <n v="0"/>
    <n v="0"/>
    <n v="0"/>
    <n v="0"/>
    <n v="0"/>
    <n v="0"/>
    <n v="0"/>
    <n v="0"/>
    <s v="Hampton"/>
    <m/>
    <m/>
    <m/>
    <m/>
    <x v="1"/>
  </r>
  <r>
    <s v="14/0790/FUL"/>
    <s v="CHU"/>
    <m/>
    <s v="6 And 8 And 10_x000d_High Street_x000d_Hampton Wick"/>
    <s v="Conversion of existing listed buildings from disused bakery and joinery workshop to provide two houses (within no6-8) and flat over shop/office (no10). Demolition of part-three, part-two and single storey rear (later extensions) within the curtilage (and"/>
    <d v="2016-02-01T00:00:00"/>
    <d v="2018-09-03T00:00:00"/>
    <x v="0"/>
    <s v="Open Market"/>
    <n v="517592"/>
    <n v="169473"/>
    <m/>
    <n v="0"/>
    <n v="0"/>
    <n v="0"/>
    <n v="0"/>
    <m/>
    <m/>
    <m/>
    <n v="0"/>
    <m/>
    <n v="0"/>
    <n v="0"/>
    <n v="2"/>
    <n v="1"/>
    <m/>
    <m/>
    <m/>
    <n v="3"/>
    <m/>
    <n v="0"/>
    <n v="0"/>
    <n v="2"/>
    <n v="1"/>
    <n v="0"/>
    <n v="0"/>
    <n v="0"/>
    <n v="3"/>
    <m/>
    <n v="3"/>
    <n v="0"/>
    <n v="0"/>
    <n v="0"/>
    <n v="0"/>
    <n v="0"/>
    <n v="0"/>
    <n v="0"/>
    <n v="0"/>
    <n v="0"/>
    <n v="0"/>
    <n v="0"/>
    <n v="0"/>
    <s v="Hampton Wick"/>
    <m/>
    <s v="Hampton Wick"/>
    <m/>
    <s v="Thames Policy Area"/>
    <x v="0"/>
  </r>
  <r>
    <s v="14/1488/FUL"/>
    <s v="NEW"/>
    <m/>
    <s v="Inland Revenue_x000d_Ruskin Avenue_x000d_Kew"/>
    <s v="Erection of 4 blocks containing 170 no. 1, 2 and 3 bedroom apartments (including 27 affordable housing 16%) and a GP surgery with associated semi-basement car and cycle parking, open space, play space, landscaping and new access arrangements."/>
    <d v="2015-08-02T00:00:00"/>
    <d v="2018-08-31T00:00:00"/>
    <x v="0"/>
    <s v="Affordable Rent"/>
    <n v="519650"/>
    <n v="177074"/>
    <m/>
    <n v="0"/>
    <n v="0"/>
    <n v="0"/>
    <n v="0"/>
    <m/>
    <m/>
    <m/>
    <n v="0"/>
    <m/>
    <n v="4"/>
    <n v="16"/>
    <n v="0"/>
    <n v="0"/>
    <m/>
    <m/>
    <m/>
    <n v="20"/>
    <m/>
    <n v="4"/>
    <n v="16"/>
    <n v="0"/>
    <n v="0"/>
    <n v="0"/>
    <n v="0"/>
    <n v="0"/>
    <n v="20"/>
    <s v="Y"/>
    <n v="20"/>
    <n v="0"/>
    <n v="0"/>
    <n v="0"/>
    <n v="0"/>
    <n v="0"/>
    <n v="0"/>
    <n v="0"/>
    <n v="0"/>
    <n v="0"/>
    <n v="0"/>
    <n v="0"/>
    <n v="0"/>
    <s v="Kew"/>
    <m/>
    <m/>
    <m/>
    <m/>
    <x v="0"/>
  </r>
  <r>
    <s v="14/1488/FUL"/>
    <s v="NEW"/>
    <m/>
    <s v="Inland Revenue_x000d_Ruskin Avenue_x000d_Kew"/>
    <s v="Erection of 4 blocks containing 170 no. 1, 2 and 3 bedroom apartments (including 27 affordable housing 16%) and a GP surgery with associated semi-basement car and cycle parking, open space, play space, landscaping and new access arrangements."/>
    <d v="2015-08-02T00:00:00"/>
    <d v="2018-08-31T00:00:00"/>
    <x v="0"/>
    <s v="Open Market"/>
    <n v="519650"/>
    <n v="177074"/>
    <m/>
    <n v="0"/>
    <n v="0"/>
    <n v="0"/>
    <n v="0"/>
    <m/>
    <m/>
    <m/>
    <n v="0"/>
    <m/>
    <n v="3"/>
    <n v="12"/>
    <n v="0"/>
    <n v="0"/>
    <m/>
    <m/>
    <m/>
    <n v="15"/>
    <m/>
    <n v="3"/>
    <n v="12"/>
    <n v="0"/>
    <n v="0"/>
    <n v="0"/>
    <n v="0"/>
    <n v="0"/>
    <n v="15"/>
    <s v="Y"/>
    <n v="15"/>
    <n v="0"/>
    <n v="0"/>
    <n v="0"/>
    <n v="0"/>
    <n v="0"/>
    <n v="0"/>
    <n v="0"/>
    <n v="0"/>
    <n v="0"/>
    <n v="0"/>
    <n v="0"/>
    <n v="0"/>
    <s v="Kew"/>
    <m/>
    <m/>
    <m/>
    <m/>
    <x v="0"/>
  </r>
  <r>
    <s v="14/1488/FUL"/>
    <s v="NEW"/>
    <m/>
    <s v="Inland Revenue_x000d_Ruskin Avenue_x000d_Kew"/>
    <s v="Erection of 4 blocks containing 170 no. 1, 2 and 3 bedroom apartments (including 27 affordable housing 16%) and a GP surgery with associated semi-basement car and cycle parking, open space, play space, landscaping and new access arrangements."/>
    <d v="2015-08-02T00:00:00"/>
    <d v="2018-08-31T00:00:00"/>
    <x v="0"/>
    <s v="Intermediate"/>
    <n v="519650"/>
    <n v="177074"/>
    <m/>
    <n v="0"/>
    <n v="0"/>
    <n v="0"/>
    <n v="0"/>
    <m/>
    <m/>
    <m/>
    <n v="0"/>
    <m/>
    <n v="1"/>
    <n v="4"/>
    <n v="0"/>
    <n v="0"/>
    <m/>
    <m/>
    <m/>
    <n v="5"/>
    <m/>
    <n v="1"/>
    <n v="4"/>
    <n v="0"/>
    <n v="0"/>
    <n v="0"/>
    <n v="0"/>
    <n v="0"/>
    <n v="5"/>
    <s v="Y"/>
    <n v="5"/>
    <n v="0"/>
    <n v="0"/>
    <n v="0"/>
    <n v="0"/>
    <n v="0"/>
    <n v="0"/>
    <n v="0"/>
    <n v="0"/>
    <n v="0"/>
    <n v="0"/>
    <n v="0"/>
    <n v="0"/>
    <s v="Kew"/>
    <m/>
    <m/>
    <m/>
    <m/>
    <x v="0"/>
  </r>
  <r>
    <s v="14/1865/FUL"/>
    <s v="EXT"/>
    <m/>
    <s v="211 Staines Road_x000d_Twickenham_x000d_TW2 5AY"/>
    <s v="Demolition of existing single storey side extension and detached garage to rear, alterations and erection of a new two-storey dwelling (including basement and accommodation within roof) adjoining No.211 Staines Road with associated landscaping and parkin"/>
    <d v="2017-03-01T00:00:00"/>
    <d v="2018-06-01T00:00:00"/>
    <x v="0"/>
    <s v="Open Market"/>
    <n v="514566"/>
    <n v="172678"/>
    <m/>
    <n v="0"/>
    <n v="0"/>
    <n v="0"/>
    <n v="1"/>
    <m/>
    <m/>
    <m/>
    <n v="1"/>
    <m/>
    <n v="0"/>
    <n v="0"/>
    <n v="2"/>
    <n v="0"/>
    <m/>
    <m/>
    <m/>
    <n v="2"/>
    <m/>
    <n v="0"/>
    <n v="0"/>
    <n v="2"/>
    <n v="-1"/>
    <n v="0"/>
    <n v="0"/>
    <n v="0"/>
    <n v="1"/>
    <m/>
    <n v="1"/>
    <n v="0"/>
    <n v="0"/>
    <n v="0"/>
    <n v="0"/>
    <n v="0"/>
    <n v="0"/>
    <n v="0"/>
    <n v="0"/>
    <n v="0"/>
    <n v="0"/>
    <n v="0"/>
    <n v="0"/>
    <s v="West Twickenham"/>
    <m/>
    <m/>
    <m/>
    <m/>
    <x v="0"/>
  </r>
  <r>
    <s v="14/2490/FUL"/>
    <s v="NEW"/>
    <m/>
    <s v="29 Charles Street_x000d_Barnes_x000d_London"/>
    <s v="Demolition of existing lock up garages and car repair garage and redevelopment to provide five dwellings (four houses on ground and basement level and one first floor flat) and 148 sqm of office (B1) accommodation, with associated parking and landscaping"/>
    <d v="2017-04-01T00:00:00"/>
    <d v="2018-08-14T00:00:00"/>
    <x v="0"/>
    <s v="Open Market"/>
    <n v="521356"/>
    <n v="176060"/>
    <m/>
    <n v="0"/>
    <n v="0"/>
    <n v="0"/>
    <n v="0"/>
    <m/>
    <m/>
    <m/>
    <n v="0"/>
    <m/>
    <n v="1"/>
    <n v="3"/>
    <n v="1"/>
    <n v="0"/>
    <m/>
    <m/>
    <m/>
    <n v="5"/>
    <m/>
    <n v="1"/>
    <n v="3"/>
    <n v="1"/>
    <n v="0"/>
    <n v="0"/>
    <n v="0"/>
    <n v="0"/>
    <n v="5"/>
    <m/>
    <n v="5"/>
    <n v="0"/>
    <n v="0"/>
    <n v="0"/>
    <n v="0"/>
    <n v="0"/>
    <n v="0"/>
    <n v="0"/>
    <n v="0"/>
    <n v="0"/>
    <n v="0"/>
    <n v="0"/>
    <n v="0"/>
    <s v="Mortlake and Barnes Common"/>
    <m/>
    <m/>
    <m/>
    <m/>
    <x v="0"/>
  </r>
  <r>
    <s v="14/2543/FUL"/>
    <s v="CHU"/>
    <m/>
    <s v="305 Sandycombe Road Richmond TW9 3NA"/>
    <s v="Change of use of the ground floor of the building from Estate Agents (Use Class A2) to a residential flat (Use Class C3) with rear infill extension, the conversion of the upper floor self-contained maisonette to two self-contained flats (one on each floo"/>
    <d v="2016-02-01T00:00:00"/>
    <d v="2019-02-11T00:00:00"/>
    <x v="0"/>
    <s v="Open Market"/>
    <n v="519109"/>
    <n v="176524"/>
    <m/>
    <n v="2"/>
    <n v="0"/>
    <n v="0"/>
    <n v="0"/>
    <m/>
    <m/>
    <m/>
    <n v="2"/>
    <m/>
    <n v="0"/>
    <n v="2"/>
    <n v="1"/>
    <n v="0"/>
    <m/>
    <m/>
    <m/>
    <n v="3"/>
    <m/>
    <n v="-2"/>
    <n v="2"/>
    <n v="1"/>
    <n v="0"/>
    <n v="0"/>
    <n v="0"/>
    <n v="0"/>
    <n v="1"/>
    <m/>
    <n v="2"/>
    <n v="0"/>
    <n v="0"/>
    <n v="0"/>
    <n v="0"/>
    <n v="0"/>
    <n v="0"/>
    <n v="0"/>
    <n v="0"/>
    <n v="0"/>
    <n v="0"/>
    <n v="0"/>
    <n v="0"/>
    <s v="Kew"/>
    <m/>
    <m/>
    <m/>
    <m/>
    <x v="0"/>
  </r>
  <r>
    <s v="14/2687/FUL"/>
    <s v="CON"/>
    <m/>
    <s v="6 Cambrian Road_x000d_Richmond"/>
    <s v="Reversion from two flats into one single 4 bed dwellinghouse and addition of solar panels"/>
    <m/>
    <d v="2018-07-31T00:00:00"/>
    <x v="0"/>
    <s v="Open Market"/>
    <n v="518693"/>
    <n v="174117"/>
    <m/>
    <n v="1"/>
    <n v="1"/>
    <n v="0"/>
    <n v="0"/>
    <m/>
    <m/>
    <m/>
    <n v="2"/>
    <m/>
    <n v="0"/>
    <n v="0"/>
    <n v="0"/>
    <n v="1"/>
    <m/>
    <m/>
    <m/>
    <n v="1"/>
    <m/>
    <n v="-1"/>
    <n v="-1"/>
    <n v="0"/>
    <n v="1"/>
    <n v="0"/>
    <n v="0"/>
    <n v="0"/>
    <n v="-1"/>
    <m/>
    <n v="-1"/>
    <n v="0"/>
    <n v="0"/>
    <n v="0"/>
    <n v="0"/>
    <n v="0"/>
    <n v="0"/>
    <n v="0"/>
    <n v="0"/>
    <n v="0"/>
    <n v="0"/>
    <n v="0"/>
    <n v="0"/>
    <s v="South Richmond"/>
    <m/>
    <m/>
    <m/>
    <m/>
    <x v="0"/>
  </r>
  <r>
    <s v="14/2736/FUL"/>
    <s v="NEW"/>
    <m/>
    <s v="40 Wellington Road_x000a_Hampton_x000a_TW12 1JT"/>
    <s v="Demolition and the replacement of an existing bungalow with a single family dwelling."/>
    <d v="2017-01-01T00:00:00"/>
    <d v="2018-08-31T00:00:00"/>
    <x v="0"/>
    <s v="Open Market"/>
    <n v="514662"/>
    <n v="171639"/>
    <m/>
    <n v="0"/>
    <n v="0"/>
    <n v="1"/>
    <n v="0"/>
    <m/>
    <m/>
    <m/>
    <n v="1"/>
    <m/>
    <n v="0"/>
    <n v="0"/>
    <n v="0"/>
    <n v="1"/>
    <m/>
    <m/>
    <m/>
    <n v="1"/>
    <m/>
    <n v="0"/>
    <n v="0"/>
    <n v="-1"/>
    <n v="1"/>
    <n v="0"/>
    <n v="0"/>
    <n v="0"/>
    <n v="0"/>
    <m/>
    <n v="0"/>
    <n v="0"/>
    <n v="0"/>
    <n v="0"/>
    <n v="0"/>
    <n v="0"/>
    <n v="0"/>
    <n v="0"/>
    <n v="0"/>
    <n v="0"/>
    <n v="0"/>
    <n v="0"/>
    <n v="0"/>
    <s v="Fulwell and Hampton Hill"/>
    <m/>
    <m/>
    <m/>
    <m/>
    <x v="0"/>
  </r>
  <r>
    <s v="14/3003/P3JPA"/>
    <s v="CHU"/>
    <s v="PA"/>
    <s v="Third Floor_x000a_34A York Street_x000a_Twickenham_x000a_TW1 3LJ"/>
    <s v="Change of use from offices (B1a) to residential (C3) comprising of 1 one-bed flat."/>
    <m/>
    <d v="2018-04-01T00:00:00"/>
    <x v="0"/>
    <s v="Open Market"/>
    <n v="516358"/>
    <n v="173374"/>
    <m/>
    <n v="0"/>
    <n v="0"/>
    <n v="0"/>
    <n v="0"/>
    <m/>
    <m/>
    <m/>
    <n v="0"/>
    <m/>
    <n v="1"/>
    <n v="0"/>
    <n v="0"/>
    <n v="0"/>
    <m/>
    <m/>
    <m/>
    <n v="1"/>
    <m/>
    <n v="1"/>
    <n v="0"/>
    <n v="0"/>
    <n v="0"/>
    <n v="0"/>
    <n v="0"/>
    <n v="0"/>
    <n v="1"/>
    <m/>
    <n v="1"/>
    <n v="0"/>
    <n v="0"/>
    <n v="0"/>
    <n v="0"/>
    <n v="0"/>
    <n v="0"/>
    <n v="0"/>
    <n v="0"/>
    <n v="0"/>
    <n v="0"/>
    <n v="0"/>
    <n v="0"/>
    <s v="Twickenham Riverside"/>
    <m/>
    <m/>
    <s v="Twickenham"/>
    <m/>
    <x v="0"/>
  </r>
  <r>
    <s v="14/3027/P3JPA"/>
    <s v="CHU"/>
    <s v="PA"/>
    <s v="Barnes Police Station_x000d_92 - 102 Station Road_x000d_Barnes_x000d_London_x000d_SW13 0NG"/>
    <s v="Change of use from office building (use class B1a) to residential use (use class C3)."/>
    <d v="2016-03-01T00:00:00"/>
    <d v="2018-11-01T00:00:00"/>
    <x v="0"/>
    <s v="Open Market"/>
    <n v="521980"/>
    <n v="176064"/>
    <m/>
    <n v="0"/>
    <n v="0"/>
    <n v="0"/>
    <n v="0"/>
    <m/>
    <m/>
    <m/>
    <n v="0"/>
    <m/>
    <n v="0"/>
    <n v="0"/>
    <n v="0"/>
    <n v="0"/>
    <n v="7"/>
    <m/>
    <m/>
    <n v="7"/>
    <m/>
    <n v="0"/>
    <n v="0"/>
    <n v="0"/>
    <n v="0"/>
    <n v="7"/>
    <n v="0"/>
    <n v="0"/>
    <n v="7"/>
    <m/>
    <n v="7"/>
    <n v="0"/>
    <n v="0"/>
    <n v="0"/>
    <n v="0"/>
    <n v="0"/>
    <n v="0"/>
    <n v="0"/>
    <n v="0"/>
    <n v="0"/>
    <n v="0"/>
    <n v="0"/>
    <n v="0"/>
    <s v="Mortlake and Barnes Common"/>
    <m/>
    <m/>
    <m/>
    <m/>
    <x v="0"/>
  </r>
  <r>
    <s v="14/3783/FUL"/>
    <s v="NEW"/>
    <m/>
    <s v="51 Burtons Road_x000d_Hampton Hill_x000d_Hampton_x000d_TW12 1DE"/>
    <s v="Erection of 2 bedroom house on land adjacent to 51 Burtons Road"/>
    <d v="2017-06-22T00:00:00"/>
    <d v="2018-06-13T00:00:00"/>
    <x v="0"/>
    <s v="Open Market"/>
    <n v="514252"/>
    <n v="171505"/>
    <m/>
    <n v="0"/>
    <n v="0"/>
    <n v="0"/>
    <n v="0"/>
    <m/>
    <m/>
    <m/>
    <n v="0"/>
    <m/>
    <n v="0"/>
    <n v="1"/>
    <n v="0"/>
    <n v="0"/>
    <m/>
    <m/>
    <m/>
    <n v="1"/>
    <m/>
    <n v="0"/>
    <n v="1"/>
    <n v="0"/>
    <n v="0"/>
    <n v="0"/>
    <n v="0"/>
    <n v="0"/>
    <n v="1"/>
    <m/>
    <n v="1"/>
    <n v="0"/>
    <n v="0"/>
    <n v="0"/>
    <n v="0"/>
    <n v="0"/>
    <n v="0"/>
    <n v="0"/>
    <n v="0"/>
    <n v="0"/>
    <n v="0"/>
    <n v="0"/>
    <n v="0"/>
    <s v="Fulwell and Hampton Hill"/>
    <m/>
    <m/>
    <m/>
    <m/>
    <x v="1"/>
  </r>
  <r>
    <s v="14/4801/FUL"/>
    <s v="NEW"/>
    <m/>
    <s v="65 Heathside_x000d_Whitton_x000d_Hounslow_x000d_TW4 5NJ"/>
    <s v="Erection of a detached 3 bedroom dwelling with associated landscaping, 2 no. off-street parking spaces and new vehicle crossover."/>
    <d v="2016-09-26T00:00:00"/>
    <d v="2018-08-31T00:00:00"/>
    <x v="0"/>
    <s v="Open Market"/>
    <n v="512996"/>
    <n v="173588"/>
    <m/>
    <n v="0"/>
    <n v="0"/>
    <n v="0"/>
    <n v="0"/>
    <m/>
    <m/>
    <m/>
    <n v="0"/>
    <m/>
    <n v="0"/>
    <n v="0"/>
    <n v="1"/>
    <n v="0"/>
    <m/>
    <m/>
    <m/>
    <n v="1"/>
    <m/>
    <n v="0"/>
    <n v="0"/>
    <n v="1"/>
    <n v="0"/>
    <n v="0"/>
    <n v="0"/>
    <n v="0"/>
    <n v="1"/>
    <m/>
    <n v="1"/>
    <n v="0"/>
    <n v="0"/>
    <n v="0"/>
    <n v="0"/>
    <n v="0"/>
    <n v="0"/>
    <n v="0"/>
    <n v="0"/>
    <n v="0"/>
    <n v="0"/>
    <n v="0"/>
    <n v="0"/>
    <s v="Heathfield"/>
    <m/>
    <m/>
    <m/>
    <m/>
    <x v="1"/>
  </r>
  <r>
    <s v="14/4842/FUL"/>
    <s v="CHU"/>
    <m/>
    <s v="Queens House_x000d_2 Holly Road_x000d_Twickenham"/>
    <s v="Conversion, elevational alterations and infill extension of the existing Queens House building from office (B1) to residential use comprising 10 x 1 bed and 22 x 2 bed flats (100% affordable housing). Demolition of existing 2 storey extension to Queens H"/>
    <d v="2016-06-06T00:00:00"/>
    <d v="2018-09-04T00:00:00"/>
    <x v="0"/>
    <s v="Intermediate"/>
    <n v="516146"/>
    <n v="173335"/>
    <m/>
    <n v="0"/>
    <n v="0"/>
    <n v="0"/>
    <n v="0"/>
    <m/>
    <m/>
    <m/>
    <n v="0"/>
    <m/>
    <n v="11"/>
    <n v="18"/>
    <n v="0"/>
    <n v="0"/>
    <m/>
    <m/>
    <m/>
    <n v="29"/>
    <m/>
    <n v="11"/>
    <n v="18"/>
    <n v="0"/>
    <n v="0"/>
    <n v="0"/>
    <n v="0"/>
    <n v="0"/>
    <n v="29"/>
    <s v="Y"/>
    <n v="29"/>
    <n v="0"/>
    <n v="0"/>
    <n v="0"/>
    <n v="0"/>
    <n v="0"/>
    <n v="0"/>
    <n v="0"/>
    <n v="0"/>
    <n v="0"/>
    <n v="0"/>
    <n v="0"/>
    <n v="0"/>
    <s v="Twickenham Riverside"/>
    <m/>
    <m/>
    <s v="Twickenham"/>
    <m/>
    <x v="0"/>
  </r>
  <r>
    <s v="14/4842/FUL"/>
    <s v="CHU"/>
    <m/>
    <s v="Queens House_x000d_2 Holly Road_x000d_Twickenham"/>
    <s v="Conversion, elevational alterations and infill extension of the existing Queens House building from office (B1) to residential use comprising 10 x 1 bed and 22 x 2 bed flats (100% affordable housing). Demolition of existing 2 storey extension to Queens H"/>
    <d v="2016-06-06T00:00:00"/>
    <d v="2018-09-04T00:00:00"/>
    <x v="0"/>
    <s v="Affordable Rent"/>
    <n v="516146"/>
    <n v="173335"/>
    <m/>
    <n v="0"/>
    <n v="0"/>
    <n v="0"/>
    <n v="0"/>
    <m/>
    <m/>
    <m/>
    <n v="0"/>
    <m/>
    <n v="3"/>
    <n v="13"/>
    <n v="0"/>
    <n v="0"/>
    <m/>
    <m/>
    <m/>
    <n v="16"/>
    <m/>
    <n v="3"/>
    <n v="13"/>
    <n v="0"/>
    <n v="0"/>
    <n v="0"/>
    <n v="0"/>
    <n v="0"/>
    <n v="16"/>
    <s v="Y"/>
    <n v="16"/>
    <n v="0"/>
    <n v="0"/>
    <n v="0"/>
    <n v="0"/>
    <n v="0"/>
    <n v="0"/>
    <n v="0"/>
    <n v="0"/>
    <n v="0"/>
    <n v="0"/>
    <n v="0"/>
    <n v="0"/>
    <s v="Twickenham Riverside"/>
    <m/>
    <m/>
    <s v="Twickenham"/>
    <m/>
    <x v="0"/>
  </r>
  <r>
    <s v="14/5167/FUL"/>
    <s v="NEW"/>
    <m/>
    <s v="24 Denbigh Gardens_x000a_Richmond_x000a_TW10 6EL"/>
    <s v="Demolition of existing house. Erection of a new house with similar footprint and heights"/>
    <d v="2017-03-01T00:00:00"/>
    <d v="2019-03-30T00:00:00"/>
    <x v="0"/>
    <s v="Open Market"/>
    <n v="518835"/>
    <n v="174669"/>
    <m/>
    <n v="0"/>
    <n v="0"/>
    <n v="0"/>
    <n v="1"/>
    <m/>
    <m/>
    <m/>
    <n v="1"/>
    <m/>
    <n v="0"/>
    <n v="0"/>
    <n v="0"/>
    <n v="1"/>
    <m/>
    <m/>
    <m/>
    <n v="1"/>
    <m/>
    <n v="0"/>
    <n v="0"/>
    <n v="0"/>
    <n v="0"/>
    <n v="0"/>
    <n v="0"/>
    <n v="0"/>
    <n v="0"/>
    <m/>
    <n v="0"/>
    <n v="0"/>
    <n v="0"/>
    <n v="0"/>
    <n v="0"/>
    <n v="0"/>
    <n v="0"/>
    <n v="0"/>
    <n v="0"/>
    <n v="0"/>
    <n v="0"/>
    <n v="0"/>
    <n v="0"/>
    <s v="South Richmond"/>
    <m/>
    <m/>
    <m/>
    <m/>
    <x v="0"/>
  </r>
  <r>
    <s v="15/0182/FUL"/>
    <s v="NEW"/>
    <m/>
    <s v="2 Longford Close_x000d_Hampton Hill_x000d_TW12 1AB"/>
    <s v="Extension to the side of the existing building, that will become a new 2 bedroom family dwelling."/>
    <d v="2016-03-14T00:00:00"/>
    <d v="2018-05-10T00:00:00"/>
    <x v="0"/>
    <s v="Open Market"/>
    <n v="513256"/>
    <n v="171788"/>
    <m/>
    <n v="0"/>
    <n v="0"/>
    <n v="0"/>
    <n v="0"/>
    <m/>
    <m/>
    <m/>
    <n v="0"/>
    <m/>
    <n v="0"/>
    <n v="1"/>
    <n v="0"/>
    <n v="0"/>
    <m/>
    <m/>
    <m/>
    <n v="1"/>
    <m/>
    <n v="0"/>
    <n v="1"/>
    <n v="0"/>
    <n v="0"/>
    <n v="0"/>
    <n v="0"/>
    <n v="0"/>
    <n v="1"/>
    <m/>
    <n v="1"/>
    <n v="0"/>
    <n v="0"/>
    <n v="0"/>
    <n v="0"/>
    <n v="0"/>
    <n v="0"/>
    <n v="0"/>
    <n v="0"/>
    <n v="0"/>
    <n v="0"/>
    <n v="0"/>
    <n v="0"/>
    <s v="Hampton North"/>
    <m/>
    <m/>
    <m/>
    <m/>
    <x v="0"/>
  </r>
  <r>
    <s v="15/0429/FUL"/>
    <s v="EXT"/>
    <m/>
    <s v="1 Ham Farm Road_x000d_Ham_x000d_Richmond_x000d_TW10 5ND"/>
    <s v="Ground floor and first floor extension to rear of existing garage to create a self-contained residential unit."/>
    <m/>
    <d v="2018-09-05T00:00:00"/>
    <x v="0"/>
    <s v="Open Market"/>
    <n v="517863"/>
    <n v="171889"/>
    <m/>
    <n v="0"/>
    <n v="0"/>
    <n v="0"/>
    <n v="0"/>
    <m/>
    <m/>
    <m/>
    <n v="0"/>
    <m/>
    <n v="0"/>
    <n v="0"/>
    <n v="1"/>
    <n v="0"/>
    <m/>
    <m/>
    <m/>
    <n v="1"/>
    <m/>
    <n v="0"/>
    <n v="0"/>
    <n v="1"/>
    <n v="0"/>
    <n v="0"/>
    <n v="0"/>
    <n v="0"/>
    <n v="1"/>
    <m/>
    <n v="1"/>
    <n v="0"/>
    <n v="0"/>
    <n v="0"/>
    <n v="0"/>
    <n v="0"/>
    <n v="0"/>
    <n v="0"/>
    <n v="0"/>
    <n v="0"/>
    <n v="0"/>
    <n v="0"/>
    <n v="0"/>
    <s v="Ham, Petersham and Richmond Riverside"/>
    <m/>
    <m/>
    <m/>
    <m/>
    <x v="0"/>
  </r>
  <r>
    <s v="15/0736/FUL"/>
    <s v="CON"/>
    <m/>
    <s v="10A Red Lion Street Richmond TW9 1RW"/>
    <s v="Change of use from a single two bedroom flat on first and second floor to two no. one bedroom flats"/>
    <d v="2018-03-29T00:00:00"/>
    <d v="2019-03-30T00:00:00"/>
    <x v="0"/>
    <s v="Open Market"/>
    <n v="517868"/>
    <n v="174750"/>
    <m/>
    <n v="0"/>
    <n v="1"/>
    <n v="0"/>
    <n v="0"/>
    <m/>
    <m/>
    <m/>
    <n v="1"/>
    <m/>
    <n v="2"/>
    <n v="0"/>
    <n v="0"/>
    <n v="0"/>
    <m/>
    <m/>
    <m/>
    <n v="2"/>
    <m/>
    <n v="2"/>
    <n v="-1"/>
    <n v="0"/>
    <n v="0"/>
    <n v="0"/>
    <n v="0"/>
    <n v="0"/>
    <n v="1"/>
    <m/>
    <n v="1"/>
    <n v="0"/>
    <n v="0"/>
    <n v="0"/>
    <n v="0"/>
    <n v="0"/>
    <n v="0"/>
    <n v="0"/>
    <n v="0"/>
    <n v="0"/>
    <n v="0"/>
    <n v="0"/>
    <n v="0"/>
    <s v="South Richmond"/>
    <m/>
    <m/>
    <s v="Richmond"/>
    <m/>
    <x v="0"/>
  </r>
  <r>
    <s v="15/1135/PS192"/>
    <s v="CHU"/>
    <m/>
    <s v="Ground Floor_x000d_18 Water Lane_x000d_Richmond_x000d_TW9 1TJ"/>
    <s v="Change of use from Office (B1) to residential (C3)."/>
    <m/>
    <d v="2018-07-31T00:00:00"/>
    <x v="0"/>
    <s v="Open Market"/>
    <n v="517679"/>
    <n v="174711"/>
    <m/>
    <n v="0"/>
    <n v="0"/>
    <n v="0"/>
    <n v="0"/>
    <m/>
    <m/>
    <m/>
    <n v="0"/>
    <m/>
    <n v="1"/>
    <n v="0"/>
    <n v="0"/>
    <n v="0"/>
    <m/>
    <m/>
    <m/>
    <n v="1"/>
    <m/>
    <n v="1"/>
    <n v="0"/>
    <n v="0"/>
    <n v="0"/>
    <n v="0"/>
    <n v="0"/>
    <n v="0"/>
    <n v="1"/>
    <m/>
    <n v="1"/>
    <n v="0"/>
    <n v="0"/>
    <n v="0"/>
    <n v="0"/>
    <n v="0"/>
    <n v="0"/>
    <n v="0"/>
    <n v="0"/>
    <n v="0"/>
    <n v="0"/>
    <n v="0"/>
    <n v="0"/>
    <s v="South Richmond"/>
    <m/>
    <m/>
    <s v="Richmond"/>
    <s v="Thames Policy Area"/>
    <x v="0"/>
  </r>
  <r>
    <s v="15/1397/P3JPA"/>
    <s v="CHU"/>
    <s v="PA"/>
    <s v="38-42 Hampton Road_x000d_Teddington_x000d_TW11 0JE"/>
    <s v="Change of use from B1 office use to C3 residential use (17 x 1 bed units (2 person), 10 x 2 bed units (3 person), 8 x 2 bed units (4 person) units (totalling 35 residential units)."/>
    <d v="2017-10-02T00:00:00"/>
    <d v="2018-05-25T00:00:00"/>
    <x v="0"/>
    <s v="Open Market"/>
    <n v="515085"/>
    <n v="171148"/>
    <m/>
    <n v="0"/>
    <n v="0"/>
    <n v="0"/>
    <n v="0"/>
    <m/>
    <m/>
    <m/>
    <n v="0"/>
    <m/>
    <n v="17"/>
    <n v="18"/>
    <n v="0"/>
    <n v="0"/>
    <m/>
    <m/>
    <m/>
    <n v="35"/>
    <m/>
    <n v="17"/>
    <n v="18"/>
    <n v="0"/>
    <n v="0"/>
    <n v="0"/>
    <n v="0"/>
    <n v="0"/>
    <n v="35"/>
    <s v="Y"/>
    <n v="35"/>
    <n v="0"/>
    <n v="0"/>
    <n v="0"/>
    <n v="0"/>
    <n v="0"/>
    <n v="0"/>
    <n v="0"/>
    <n v="0"/>
    <n v="0"/>
    <n v="0"/>
    <n v="0"/>
    <n v="0"/>
    <s v="Fulwell and Hampton Hill"/>
    <m/>
    <m/>
    <m/>
    <m/>
    <x v="0"/>
  </r>
  <r>
    <s v="15/1444/FUL"/>
    <s v="CHU"/>
    <m/>
    <s v="3 - 5 Richmond Hill Richmond"/>
    <s v="The reversion of the interconnected Buildings of Townscape Merit from vacant office premises (Use Class B1: Business) to residential use single-family dwelling (Use Class C3: Dwelling Houses) with external alterations and associated works."/>
    <d v="2014-12-01T00:00:00"/>
    <d v="2018-04-02T00:00:00"/>
    <x v="0"/>
    <s v="Open Market"/>
    <n v="517973"/>
    <n v="174455"/>
    <m/>
    <n v="0"/>
    <n v="0"/>
    <n v="0"/>
    <n v="0"/>
    <m/>
    <m/>
    <m/>
    <n v="0"/>
    <m/>
    <n v="0"/>
    <n v="0"/>
    <n v="0"/>
    <n v="1"/>
    <m/>
    <m/>
    <m/>
    <n v="1"/>
    <m/>
    <n v="0"/>
    <n v="0"/>
    <n v="0"/>
    <n v="1"/>
    <n v="0"/>
    <n v="0"/>
    <n v="0"/>
    <n v="1"/>
    <m/>
    <n v="1"/>
    <n v="0"/>
    <n v="0"/>
    <n v="0"/>
    <n v="0"/>
    <n v="0"/>
    <n v="0"/>
    <n v="0"/>
    <n v="0"/>
    <n v="0"/>
    <n v="0"/>
    <n v="0"/>
    <n v="0"/>
    <s v="Ham, Petersham and Richmond Riverside"/>
    <m/>
    <m/>
    <s v="Richmond"/>
    <m/>
    <x v="0"/>
  </r>
  <r>
    <s v="15/1687/FUL"/>
    <s v="CHU"/>
    <m/>
    <s v="186 Castelnau_x000d_Barnes_x000d_London_x000d_SW13 9DH"/>
    <s v="Change of use for part of the ground floor (A1 use) shop to (C3 use) residential and single storey rear extension to create a new 1 bedroom residential dwelling."/>
    <m/>
    <d v="2018-11-20T00:00:00"/>
    <x v="0"/>
    <s v="Open Market"/>
    <n v="522786"/>
    <n v="177761"/>
    <m/>
    <n v="0"/>
    <n v="0"/>
    <n v="0"/>
    <n v="0"/>
    <m/>
    <m/>
    <m/>
    <n v="0"/>
    <m/>
    <n v="1"/>
    <n v="0"/>
    <n v="0"/>
    <n v="0"/>
    <m/>
    <m/>
    <m/>
    <n v="1"/>
    <m/>
    <n v="1"/>
    <n v="0"/>
    <n v="0"/>
    <n v="0"/>
    <n v="0"/>
    <n v="0"/>
    <n v="0"/>
    <n v="1"/>
    <m/>
    <n v="1"/>
    <n v="0"/>
    <n v="0"/>
    <n v="0"/>
    <n v="0"/>
    <n v="0"/>
    <n v="0"/>
    <n v="0"/>
    <n v="0"/>
    <n v="0"/>
    <n v="0"/>
    <n v="0"/>
    <n v="0"/>
    <s v="Barnes"/>
    <m/>
    <s v="Castelnau"/>
    <m/>
    <m/>
    <x v="0"/>
  </r>
  <r>
    <s v="15/2757/FUL"/>
    <s v="NEW"/>
    <m/>
    <s v="Land Adjacent To 32 Bexhill Road East Sheen"/>
    <s v="Erection of a single two-bedroom house and the demolition of three lock-up garages."/>
    <d v="2018-03-01T00:00:00"/>
    <d v="2018-11-30T00:00:00"/>
    <x v="0"/>
    <s v="Open Market"/>
    <n v="520254"/>
    <n v="175724"/>
    <m/>
    <n v="0"/>
    <n v="0"/>
    <n v="0"/>
    <n v="0"/>
    <m/>
    <m/>
    <m/>
    <n v="0"/>
    <m/>
    <n v="0"/>
    <n v="1"/>
    <n v="0"/>
    <n v="0"/>
    <m/>
    <m/>
    <m/>
    <n v="1"/>
    <m/>
    <n v="0"/>
    <n v="1"/>
    <n v="0"/>
    <n v="0"/>
    <n v="0"/>
    <n v="0"/>
    <n v="0"/>
    <n v="1"/>
    <m/>
    <n v="1"/>
    <n v="0"/>
    <n v="0"/>
    <n v="0"/>
    <n v="0"/>
    <n v="0"/>
    <n v="0"/>
    <n v="0"/>
    <n v="0"/>
    <n v="0"/>
    <n v="0"/>
    <n v="0"/>
    <n v="0"/>
    <s v="East Sheen"/>
    <m/>
    <m/>
    <m/>
    <m/>
    <x v="0"/>
  </r>
  <r>
    <s v="15/3256/GPD15"/>
    <s v="CHU"/>
    <s v="PA"/>
    <s v="1D Becketts Place_x000d_Hampton Wick"/>
    <s v="Change of use of B1 office to C3 residential use of ground and mezzanine floors (2 x 1 bed flats at ground floor level, 1 x 1 bed flat at first floor level)"/>
    <d v="2018-04-14T00:00:00"/>
    <d v="2018-09-24T00:00:00"/>
    <x v="0"/>
    <s v="Open Market"/>
    <n v="517622"/>
    <n v="169605"/>
    <m/>
    <n v="0"/>
    <n v="0"/>
    <n v="0"/>
    <n v="0"/>
    <m/>
    <m/>
    <m/>
    <n v="0"/>
    <m/>
    <n v="3"/>
    <n v="0"/>
    <n v="0"/>
    <n v="0"/>
    <m/>
    <m/>
    <m/>
    <n v="3"/>
    <m/>
    <n v="3"/>
    <n v="0"/>
    <n v="0"/>
    <n v="0"/>
    <n v="0"/>
    <n v="0"/>
    <n v="0"/>
    <n v="3"/>
    <m/>
    <n v="3"/>
    <n v="0"/>
    <n v="0"/>
    <n v="0"/>
    <n v="0"/>
    <n v="0"/>
    <n v="0"/>
    <n v="0"/>
    <n v="0"/>
    <n v="0"/>
    <n v="0"/>
    <n v="0"/>
    <n v="0"/>
    <s v="Hampton Wick"/>
    <m/>
    <s v="Hampton Wick"/>
    <m/>
    <s v="Thames Policy Area"/>
    <x v="0"/>
  </r>
  <r>
    <s v="15/4257/FUL"/>
    <s v="CON"/>
    <m/>
    <s v="13 Rectory Road_x000d_Barnes_x000d_London_x000d_SW13 0DU"/>
    <s v="Re-unification of two flats into a single house."/>
    <d v="2016-02-18T00:00:00"/>
    <d v="2018-12-07T00:00:00"/>
    <x v="0"/>
    <s v="Open Market"/>
    <n v="522332"/>
    <n v="176284"/>
    <m/>
    <n v="1"/>
    <n v="0"/>
    <n v="1"/>
    <n v="0"/>
    <m/>
    <m/>
    <m/>
    <n v="2"/>
    <m/>
    <n v="0"/>
    <n v="0"/>
    <n v="0"/>
    <n v="1"/>
    <m/>
    <m/>
    <m/>
    <n v="1"/>
    <m/>
    <n v="-1"/>
    <n v="0"/>
    <n v="-1"/>
    <n v="1"/>
    <n v="0"/>
    <n v="0"/>
    <n v="0"/>
    <n v="-1"/>
    <m/>
    <n v="-1"/>
    <n v="0"/>
    <n v="0"/>
    <n v="0"/>
    <n v="0"/>
    <n v="0"/>
    <n v="0"/>
    <n v="0"/>
    <n v="0"/>
    <n v="0"/>
    <n v="0"/>
    <n v="0"/>
    <n v="0"/>
    <s v="Barnes"/>
    <m/>
    <m/>
    <m/>
    <m/>
    <x v="0"/>
  </r>
  <r>
    <s v="15/4337/FUL"/>
    <s v="NEW"/>
    <m/>
    <s v="27 Grove Terrace_x000d_Teddington_x000d_TW11 8AU"/>
    <s v="Construction of detached house with amenity space and off street car parking following removal of trees &amp; part removal/ replacement of boundary fence."/>
    <m/>
    <d v="2018-08-31T00:00:00"/>
    <x v="0"/>
    <s v="Open Market"/>
    <n v="516231"/>
    <n v="171721"/>
    <m/>
    <n v="0"/>
    <n v="0"/>
    <n v="0"/>
    <n v="0"/>
    <m/>
    <m/>
    <m/>
    <n v="0"/>
    <m/>
    <n v="1"/>
    <n v="0"/>
    <n v="0"/>
    <n v="0"/>
    <m/>
    <m/>
    <m/>
    <n v="1"/>
    <m/>
    <n v="1"/>
    <n v="0"/>
    <n v="0"/>
    <n v="0"/>
    <n v="0"/>
    <n v="0"/>
    <n v="0"/>
    <n v="1"/>
    <m/>
    <n v="1"/>
    <n v="0"/>
    <n v="0"/>
    <n v="0"/>
    <n v="0"/>
    <n v="0"/>
    <n v="0"/>
    <n v="0"/>
    <n v="0"/>
    <n v="0"/>
    <n v="0"/>
    <n v="0"/>
    <n v="0"/>
    <s v="Teddington"/>
    <m/>
    <m/>
    <m/>
    <m/>
    <x v="1"/>
  </r>
  <r>
    <s v="15/4691/FUL"/>
    <s v="NEW"/>
    <m/>
    <s v="26 Runnymede Road_x000d_Twickenham_x000d_TW2 7HF"/>
    <s v="Demolition of existing single storey dwelling and erection of three new three storey houses, with off street parking."/>
    <d v="2017-02-15T00:00:00"/>
    <d v="2018-04-25T00:00:00"/>
    <x v="0"/>
    <s v="Open Market"/>
    <n v="513852"/>
    <n v="174314"/>
    <m/>
    <n v="0"/>
    <n v="0"/>
    <n v="0"/>
    <n v="1"/>
    <m/>
    <m/>
    <m/>
    <n v="1"/>
    <m/>
    <n v="0"/>
    <n v="0"/>
    <n v="0"/>
    <n v="3"/>
    <m/>
    <m/>
    <m/>
    <n v="3"/>
    <m/>
    <n v="0"/>
    <n v="0"/>
    <n v="0"/>
    <n v="2"/>
    <n v="0"/>
    <n v="0"/>
    <n v="0"/>
    <n v="2"/>
    <m/>
    <n v="2"/>
    <n v="0"/>
    <n v="0"/>
    <n v="0"/>
    <n v="0"/>
    <n v="0"/>
    <n v="0"/>
    <n v="0"/>
    <n v="0"/>
    <n v="0"/>
    <n v="0"/>
    <n v="0"/>
    <n v="0"/>
    <s v="Whitton"/>
    <m/>
    <m/>
    <m/>
    <m/>
    <x v="1"/>
  </r>
  <r>
    <s v="15/4822/FUL"/>
    <s v="CON"/>
    <m/>
    <s v="88 Church Road Barnes SW13 0DQ"/>
    <s v="Conversion of first and second floors into two self-contained flats, new external staircase with refuse storage under and conversion of existing out building for cycle storage."/>
    <d v="2018-03-01T00:00:00"/>
    <d v="2018-12-01T00:00:00"/>
    <x v="0"/>
    <s v="Open Market"/>
    <n v="522318"/>
    <n v="176582"/>
    <m/>
    <n v="0"/>
    <n v="0"/>
    <n v="1"/>
    <n v="0"/>
    <m/>
    <m/>
    <m/>
    <n v="1"/>
    <m/>
    <n v="0"/>
    <n v="2"/>
    <n v="0"/>
    <n v="0"/>
    <m/>
    <m/>
    <m/>
    <n v="2"/>
    <m/>
    <n v="0"/>
    <n v="2"/>
    <n v="-1"/>
    <n v="0"/>
    <n v="0"/>
    <n v="0"/>
    <n v="0"/>
    <n v="1"/>
    <m/>
    <n v="1"/>
    <n v="0"/>
    <n v="0"/>
    <n v="0"/>
    <n v="0"/>
    <n v="0"/>
    <n v="0"/>
    <n v="0"/>
    <n v="0"/>
    <n v="0"/>
    <n v="0"/>
    <n v="0"/>
    <n v="0"/>
    <s v="Barnes"/>
    <m/>
    <s v="Church Road/Castelnau"/>
    <m/>
    <m/>
    <x v="0"/>
  </r>
  <r>
    <s v="15/4878/FUL"/>
    <s v="NEW"/>
    <m/>
    <s v="6 Ham Farm Road_x000a_Ham_x000a_Richmond_x000a_TW10 5LZ"/>
    <s v="Demolition of existing dwelling and detached garage and erection of a 2-storey replacement dwellinghouse and detached carport with altered driveway road access."/>
    <d v="2017-05-22T00:00:00"/>
    <d v="2018-05-18T00:00:00"/>
    <x v="0"/>
    <s v="Open Market"/>
    <n v="518127"/>
    <n v="171610"/>
    <m/>
    <n v="0"/>
    <n v="0"/>
    <n v="0"/>
    <n v="1"/>
    <m/>
    <m/>
    <m/>
    <n v="1"/>
    <m/>
    <n v="0"/>
    <n v="0"/>
    <n v="0"/>
    <n v="1"/>
    <m/>
    <m/>
    <m/>
    <n v="1"/>
    <m/>
    <n v="0"/>
    <n v="0"/>
    <n v="0"/>
    <n v="0"/>
    <n v="0"/>
    <n v="0"/>
    <n v="0"/>
    <n v="0"/>
    <m/>
    <n v="0"/>
    <n v="0"/>
    <n v="0"/>
    <n v="0"/>
    <n v="0"/>
    <n v="0"/>
    <n v="0"/>
    <n v="0"/>
    <n v="0"/>
    <n v="0"/>
    <n v="0"/>
    <n v="0"/>
    <n v="0"/>
    <s v="Ham, Petersham and Richmond Riverside"/>
    <m/>
    <m/>
    <m/>
    <m/>
    <x v="0"/>
  </r>
  <r>
    <s v="16/0046/FUL"/>
    <s v="NEW"/>
    <m/>
    <s v="283 Lonsdale Road_x000d_Barnes_x000d_London_x000d_SW13 9QB"/>
    <s v="Demolition of the existing building and the erection of three x 2 bed dwellings with associated parking, landscaping and basement."/>
    <d v="2017-04-01T00:00:00"/>
    <d v="2019-02-19T00:00:00"/>
    <x v="0"/>
    <s v="Open Market"/>
    <n v="521655"/>
    <n v="176613"/>
    <m/>
    <n v="0"/>
    <n v="0"/>
    <n v="1"/>
    <n v="0"/>
    <m/>
    <m/>
    <m/>
    <n v="1"/>
    <m/>
    <n v="0"/>
    <n v="3"/>
    <n v="0"/>
    <n v="0"/>
    <m/>
    <m/>
    <m/>
    <n v="3"/>
    <m/>
    <n v="0"/>
    <n v="3"/>
    <n v="-1"/>
    <n v="0"/>
    <n v="0"/>
    <n v="0"/>
    <n v="0"/>
    <n v="2"/>
    <m/>
    <n v="2"/>
    <n v="0"/>
    <n v="0"/>
    <n v="0"/>
    <n v="0"/>
    <n v="0"/>
    <n v="0"/>
    <n v="0"/>
    <n v="0"/>
    <n v="0"/>
    <n v="0"/>
    <n v="0"/>
    <n v="0"/>
    <s v="Barnes"/>
    <m/>
    <m/>
    <m/>
    <s v="Thames Policy Area"/>
    <x v="0"/>
  </r>
  <r>
    <s v="16/0279/FUL"/>
    <s v="NEW"/>
    <m/>
    <s v="Wild Thyme_x000a_Eel Pie Island_x000a_Twickenham_x000a_TW1 3DY"/>
    <s v="Demolition of existing single-storey dwelling and creation of new single-storey, single family residential dwelling."/>
    <d v="2017-07-01T00:00:00"/>
    <d v="2019-03-01T00:00:00"/>
    <x v="0"/>
    <s v="Open Market"/>
    <n v="516367"/>
    <n v="173082"/>
    <m/>
    <n v="1"/>
    <n v="0"/>
    <n v="0"/>
    <n v="0"/>
    <m/>
    <m/>
    <m/>
    <n v="1"/>
    <m/>
    <n v="0"/>
    <n v="0"/>
    <n v="1"/>
    <n v="0"/>
    <m/>
    <m/>
    <m/>
    <n v="1"/>
    <m/>
    <n v="-1"/>
    <n v="0"/>
    <n v="1"/>
    <n v="0"/>
    <n v="0"/>
    <n v="0"/>
    <n v="0"/>
    <n v="0"/>
    <m/>
    <n v="0"/>
    <n v="0"/>
    <n v="0"/>
    <n v="0"/>
    <n v="0"/>
    <n v="0"/>
    <n v="0"/>
    <n v="0"/>
    <n v="0"/>
    <n v="0"/>
    <n v="0"/>
    <n v="0"/>
    <n v="0"/>
    <s v="Twickenham Riverside"/>
    <m/>
    <m/>
    <m/>
    <s v="Thames Policy Area"/>
    <x v="0"/>
  </r>
  <r>
    <s v="16/0400/FUL"/>
    <s v="CON"/>
    <m/>
    <s v="16A Red Lion Street_x000d_Richmond_x000d_TW9 1RW"/>
    <s v="Subdivision of existing flat to create an additional residential unit. Infill of light well on first and second floors."/>
    <d v="2017-01-19T00:00:00"/>
    <d v="2018-06-29T00:00:00"/>
    <x v="0"/>
    <s v="Open Market"/>
    <n v="517884"/>
    <n v="174754"/>
    <m/>
    <n v="0"/>
    <n v="0"/>
    <n v="1"/>
    <n v="0"/>
    <m/>
    <m/>
    <m/>
    <n v="1"/>
    <m/>
    <n v="2"/>
    <n v="0"/>
    <n v="0"/>
    <n v="0"/>
    <m/>
    <m/>
    <m/>
    <n v="2"/>
    <m/>
    <n v="2"/>
    <n v="0"/>
    <n v="-1"/>
    <n v="0"/>
    <n v="0"/>
    <n v="0"/>
    <n v="0"/>
    <n v="1"/>
    <m/>
    <n v="1"/>
    <n v="0"/>
    <n v="0"/>
    <n v="0"/>
    <n v="0"/>
    <n v="0"/>
    <n v="0"/>
    <n v="0"/>
    <n v="0"/>
    <n v="0"/>
    <n v="0"/>
    <n v="0"/>
    <n v="0"/>
    <s v="South Richmond"/>
    <m/>
    <m/>
    <s v="Richmond"/>
    <m/>
    <x v="0"/>
  </r>
  <r>
    <s v="16/0401/FUL"/>
    <s v="CON"/>
    <m/>
    <s v="18A Red Lion Street_x000d_Richmond"/>
    <s v="Subdivision of existing flat to create an additional unit at same time as filling in the light well on first and second floors."/>
    <d v="2017-01-19T00:00:00"/>
    <d v="2018-06-29T00:00:00"/>
    <x v="0"/>
    <s v="Open Market"/>
    <n v="517889"/>
    <n v="174757"/>
    <m/>
    <n v="0"/>
    <n v="0"/>
    <n v="1"/>
    <n v="0"/>
    <m/>
    <m/>
    <m/>
    <n v="1"/>
    <m/>
    <n v="2"/>
    <n v="0"/>
    <n v="0"/>
    <n v="0"/>
    <m/>
    <m/>
    <m/>
    <n v="2"/>
    <m/>
    <n v="2"/>
    <n v="0"/>
    <n v="-1"/>
    <n v="0"/>
    <n v="0"/>
    <n v="0"/>
    <n v="0"/>
    <n v="1"/>
    <m/>
    <n v="1"/>
    <n v="0"/>
    <n v="0"/>
    <n v="0"/>
    <n v="0"/>
    <n v="0"/>
    <n v="0"/>
    <n v="0"/>
    <n v="0"/>
    <n v="0"/>
    <n v="0"/>
    <n v="0"/>
    <n v="0"/>
    <s v="South Richmond"/>
    <m/>
    <m/>
    <s v="Richmond"/>
    <m/>
    <x v="0"/>
  </r>
  <r>
    <s v="16/0537/FUL"/>
    <s v="NEW"/>
    <m/>
    <s v="51A Third Cross Road_x000d_Twickenham_x000d_TW2 5DY"/>
    <s v="Replacement of existing single storey dwelling house with new two storey dwellinghouse."/>
    <m/>
    <d v="2018-08-31T00:00:00"/>
    <x v="0"/>
    <s v="Open Market"/>
    <n v="514973"/>
    <n v="172813"/>
    <m/>
    <n v="1"/>
    <n v="0"/>
    <n v="0"/>
    <n v="0"/>
    <m/>
    <m/>
    <m/>
    <n v="1"/>
    <m/>
    <n v="1"/>
    <n v="0"/>
    <n v="0"/>
    <n v="0"/>
    <m/>
    <m/>
    <m/>
    <n v="1"/>
    <m/>
    <n v="0"/>
    <n v="0"/>
    <n v="0"/>
    <n v="0"/>
    <n v="0"/>
    <n v="0"/>
    <n v="0"/>
    <n v="0"/>
    <m/>
    <n v="0"/>
    <n v="0"/>
    <n v="0"/>
    <n v="0"/>
    <n v="0"/>
    <n v="0"/>
    <n v="0"/>
    <n v="0"/>
    <n v="0"/>
    <n v="0"/>
    <n v="0"/>
    <n v="0"/>
    <n v="0"/>
    <s v="West Twickenham"/>
    <m/>
    <m/>
    <m/>
    <m/>
    <x v="0"/>
  </r>
  <r>
    <s v="16/0553/FUL"/>
    <s v="CON"/>
    <m/>
    <s v="56A High Street_x000a_Hampton Hill_x000a_TW12 1PD"/>
    <s v="Rear dormer and conversion of existing flat into 2x2 bedroom flats with a roof terrace and 2 roof lights and sun pipes on the outrigger."/>
    <m/>
    <d v="2018-12-01T00:00:00"/>
    <x v="0"/>
    <s v="Open Market"/>
    <n v="514372"/>
    <n v="170959"/>
    <m/>
    <n v="0"/>
    <n v="0"/>
    <n v="0"/>
    <n v="1"/>
    <m/>
    <m/>
    <m/>
    <n v="1"/>
    <m/>
    <n v="0"/>
    <n v="2"/>
    <n v="0"/>
    <n v="0"/>
    <m/>
    <m/>
    <m/>
    <n v="2"/>
    <m/>
    <n v="0"/>
    <n v="2"/>
    <n v="0"/>
    <n v="-1"/>
    <n v="0"/>
    <n v="0"/>
    <n v="0"/>
    <n v="1"/>
    <m/>
    <n v="1"/>
    <n v="0"/>
    <n v="0"/>
    <n v="0"/>
    <n v="0"/>
    <n v="0"/>
    <n v="0"/>
    <n v="0"/>
    <n v="0"/>
    <n v="0"/>
    <n v="0"/>
    <n v="0"/>
    <n v="0"/>
    <s v="Fulwell and Hampton Hill"/>
    <m/>
    <s v="High Street"/>
    <m/>
    <m/>
    <x v="0"/>
  </r>
  <r>
    <s v="16/0602/FUL"/>
    <s v="CHU"/>
    <m/>
    <s v="The Idle Hour _x000d_62 Railway Side_x000d_Barnes_x000d_London_x000d_SW13 0PQ"/>
    <s v="Extension and conversion of existing pub and three-bedroom flat to create a two-bedroom house and two two-bedroom flats."/>
    <d v="2017-05-15T00:00:00"/>
    <d v="2018-05-31T00:00:00"/>
    <x v="0"/>
    <s v="Open Market"/>
    <n v="521683"/>
    <n v="175950"/>
    <m/>
    <n v="0"/>
    <n v="0"/>
    <n v="1"/>
    <n v="0"/>
    <m/>
    <m/>
    <m/>
    <n v="1"/>
    <m/>
    <n v="0"/>
    <n v="3"/>
    <n v="0"/>
    <n v="0"/>
    <m/>
    <m/>
    <m/>
    <n v="3"/>
    <m/>
    <n v="0"/>
    <n v="3"/>
    <n v="-1"/>
    <n v="0"/>
    <n v="0"/>
    <n v="0"/>
    <n v="0"/>
    <n v="2"/>
    <m/>
    <n v="2"/>
    <n v="0"/>
    <n v="0"/>
    <n v="0"/>
    <n v="0"/>
    <n v="0"/>
    <n v="0"/>
    <n v="0"/>
    <n v="0"/>
    <n v="0"/>
    <n v="0"/>
    <n v="0"/>
    <n v="0"/>
    <s v="Mortlake and Barnes Common"/>
    <m/>
    <m/>
    <m/>
    <m/>
    <x v="0"/>
  </r>
  <r>
    <s v="16/0693/FUL"/>
    <s v="CON"/>
    <m/>
    <s v="25 School House Lane_x000d_Teddington_x000d_TW11 9DP"/>
    <s v="Conversion of one dwelling into two new homes. Retention of and alteration to openings in the front façade with an additional front entrance. part single, part two storey extension to the rear. Internal works throughout to create new layout"/>
    <m/>
    <d v="2018-04-18T00:00:00"/>
    <x v="0"/>
    <s v="Open Market"/>
    <n v="517058"/>
    <n v="170060"/>
    <m/>
    <n v="0"/>
    <n v="0"/>
    <n v="0"/>
    <n v="1"/>
    <m/>
    <m/>
    <m/>
    <n v="1"/>
    <m/>
    <n v="0"/>
    <n v="2"/>
    <n v="0"/>
    <n v="0"/>
    <m/>
    <m/>
    <m/>
    <n v="2"/>
    <m/>
    <n v="0"/>
    <n v="2"/>
    <n v="0"/>
    <n v="-1"/>
    <n v="0"/>
    <n v="0"/>
    <n v="0"/>
    <n v="1"/>
    <m/>
    <n v="1"/>
    <n v="0"/>
    <n v="0"/>
    <n v="0"/>
    <n v="0"/>
    <n v="0"/>
    <n v="0"/>
    <n v="0"/>
    <n v="0"/>
    <n v="0"/>
    <n v="0"/>
    <n v="0"/>
    <n v="0"/>
    <s v="Hampton Wick"/>
    <m/>
    <m/>
    <m/>
    <m/>
    <x v="0"/>
  </r>
  <r>
    <s v="16/0726/FUL"/>
    <s v="CON"/>
    <m/>
    <s v="5 St Johns Road_x000d_Richmond_x000d_TW9 2PE"/>
    <s v="Change of use from a basement flat and a maisonette to a single dwelling, with minor alterations."/>
    <m/>
    <d v="2018-06-30T00:00:00"/>
    <x v="0"/>
    <s v="Open Market"/>
    <n v="518202"/>
    <n v="175297"/>
    <m/>
    <n v="1"/>
    <n v="0"/>
    <n v="0"/>
    <n v="1"/>
    <m/>
    <m/>
    <m/>
    <n v="2"/>
    <m/>
    <n v="0"/>
    <n v="0"/>
    <n v="0"/>
    <n v="1"/>
    <m/>
    <m/>
    <m/>
    <n v="1"/>
    <m/>
    <n v="-1"/>
    <n v="0"/>
    <n v="0"/>
    <n v="0"/>
    <n v="0"/>
    <n v="0"/>
    <n v="0"/>
    <n v="-1"/>
    <m/>
    <n v="-1"/>
    <n v="0"/>
    <n v="0"/>
    <n v="0"/>
    <n v="0"/>
    <n v="0"/>
    <n v="0"/>
    <n v="0"/>
    <n v="0"/>
    <n v="0"/>
    <n v="0"/>
    <n v="0"/>
    <n v="0"/>
    <s v="North Richmond"/>
    <m/>
    <m/>
    <s v="Richmond"/>
    <m/>
    <x v="0"/>
  </r>
  <r>
    <s v="16/0775/FUL"/>
    <s v="CON"/>
    <m/>
    <s v="The Chaplains House_x000a_164 Sheen Road_x000a_Richmond_x000a_TW9 1XD"/>
    <s v="Conversion of existing house to 1 x 1 bed and 1 x 3 bed flats."/>
    <m/>
    <d v="2018-04-01T00:00:00"/>
    <x v="0"/>
    <s v="Open Market"/>
    <n v="518893"/>
    <n v="175056"/>
    <m/>
    <n v="0"/>
    <n v="0"/>
    <n v="0"/>
    <n v="1"/>
    <m/>
    <m/>
    <m/>
    <n v="1"/>
    <m/>
    <n v="1"/>
    <n v="0"/>
    <n v="1"/>
    <n v="0"/>
    <m/>
    <m/>
    <m/>
    <n v="2"/>
    <m/>
    <n v="1"/>
    <n v="0"/>
    <n v="1"/>
    <n v="-1"/>
    <n v="0"/>
    <n v="0"/>
    <n v="0"/>
    <n v="1"/>
    <m/>
    <n v="1"/>
    <n v="0"/>
    <n v="0"/>
    <n v="0"/>
    <n v="0"/>
    <n v="0"/>
    <n v="0"/>
    <n v="0"/>
    <n v="0"/>
    <n v="0"/>
    <n v="0"/>
    <n v="0"/>
    <n v="0"/>
    <s v="North Richmond"/>
    <m/>
    <m/>
    <m/>
    <m/>
    <x v="0"/>
  </r>
  <r>
    <s v="16/0966/GPD15"/>
    <s v="CHU"/>
    <s v="PA"/>
    <s v="Sheen Stables Rear Of 119_x000d_Sheen Lane_x000d_East Sheen_x000d_London_x000d_SW14 8AE"/>
    <s v="Change of use from 5 no. offices (B1a use) to 2 no. residential houses (C3 use)."/>
    <d v="2017-10-01T00:00:00"/>
    <d v="2018-10-15T00:00:00"/>
    <x v="0"/>
    <s v="Open Market"/>
    <n v="520522"/>
    <n v="175477"/>
    <m/>
    <n v="0"/>
    <n v="0"/>
    <n v="0"/>
    <n v="0"/>
    <m/>
    <m/>
    <m/>
    <n v="0"/>
    <m/>
    <n v="2"/>
    <n v="0"/>
    <n v="0"/>
    <n v="0"/>
    <m/>
    <m/>
    <m/>
    <n v="2"/>
    <m/>
    <n v="2"/>
    <n v="0"/>
    <n v="0"/>
    <n v="0"/>
    <n v="0"/>
    <n v="0"/>
    <n v="0"/>
    <n v="2"/>
    <m/>
    <n v="2"/>
    <n v="0"/>
    <n v="0"/>
    <n v="0"/>
    <n v="0"/>
    <n v="0"/>
    <n v="0"/>
    <n v="0"/>
    <n v="0"/>
    <n v="0"/>
    <n v="0"/>
    <n v="0"/>
    <n v="0"/>
    <s v="East Sheen"/>
    <m/>
    <m/>
    <s v="East Sheen"/>
    <m/>
    <x v="0"/>
  </r>
  <r>
    <s v="16/1344/FUL"/>
    <s v="CHU"/>
    <m/>
    <s v="208 - 210 Amyand Park Road_x000d_Twickenham_x000d_TW1 3HY"/>
    <s v="Conversion works to lower ground floor to provide 1No 1-bedroom flat and basement storage for use ancillary to upper ground floor minicab offices.  Conversion of first floor to 2No. 1-bedroom flats (including conversion of part upper ground floor to prov"/>
    <d v="2018-01-08T00:00:00"/>
    <d v="2018-05-01T00:00:00"/>
    <x v="0"/>
    <s v="Open Market"/>
    <n v="516815"/>
    <n v="174220"/>
    <m/>
    <n v="0"/>
    <n v="0"/>
    <n v="0"/>
    <n v="0"/>
    <m/>
    <m/>
    <m/>
    <n v="0"/>
    <m/>
    <n v="3"/>
    <n v="0"/>
    <n v="0"/>
    <n v="0"/>
    <m/>
    <m/>
    <m/>
    <n v="3"/>
    <m/>
    <n v="3"/>
    <n v="0"/>
    <n v="0"/>
    <n v="0"/>
    <n v="0"/>
    <n v="0"/>
    <n v="0"/>
    <n v="3"/>
    <m/>
    <n v="3"/>
    <n v="0"/>
    <n v="0"/>
    <n v="0"/>
    <n v="0"/>
    <n v="0"/>
    <n v="0"/>
    <n v="0"/>
    <n v="0"/>
    <n v="0"/>
    <n v="0"/>
    <n v="0"/>
    <n v="0"/>
    <s v="St. Margarets and North Twickenham"/>
    <m/>
    <s v="St Margarets"/>
    <m/>
    <m/>
    <x v="0"/>
  </r>
  <r>
    <s v="16/1537/FUL"/>
    <s v="CON"/>
    <m/>
    <s v="85 Station Road_x000d_Hampton_x000d_TW12 2BJ"/>
    <s v="Convert the house into two family dwellings."/>
    <m/>
    <d v="2018-08-01T00:00:00"/>
    <x v="0"/>
    <s v="Open Market"/>
    <n v="513716"/>
    <n v="169674"/>
    <m/>
    <n v="0"/>
    <n v="0"/>
    <n v="0"/>
    <n v="1"/>
    <m/>
    <m/>
    <m/>
    <n v="1"/>
    <m/>
    <n v="0"/>
    <n v="1"/>
    <n v="1"/>
    <n v="0"/>
    <m/>
    <m/>
    <m/>
    <n v="2"/>
    <m/>
    <n v="0"/>
    <n v="1"/>
    <n v="1"/>
    <n v="-1"/>
    <n v="0"/>
    <n v="0"/>
    <n v="0"/>
    <n v="1"/>
    <m/>
    <n v="1"/>
    <n v="0"/>
    <n v="0"/>
    <n v="0"/>
    <n v="0"/>
    <n v="0"/>
    <n v="0"/>
    <n v="0"/>
    <n v="0"/>
    <n v="0"/>
    <n v="0"/>
    <n v="0"/>
    <n v="0"/>
    <s v="Hampton"/>
    <m/>
    <s v="Station Road"/>
    <m/>
    <m/>
    <x v="0"/>
  </r>
  <r>
    <s v="16/1624/FUL"/>
    <s v="CON"/>
    <m/>
    <s v="18 Cambrian Road_x000d_Richmond_x000d_TW10 6JQ"/>
    <s v="Conversion of the existing house into 2No. self-contained split level maisonettes. Installation of solar photovoltaic panels to the rear roofslope and storage enclosure to front garden."/>
    <d v="2017-05-01T00:00:00"/>
    <d v="2018-04-03T00:00:00"/>
    <x v="0"/>
    <s v="Open Market"/>
    <n v="518724"/>
    <n v="174102"/>
    <m/>
    <n v="0"/>
    <n v="0"/>
    <n v="0"/>
    <n v="1"/>
    <m/>
    <m/>
    <m/>
    <n v="1"/>
    <m/>
    <n v="0"/>
    <n v="2"/>
    <n v="0"/>
    <n v="0"/>
    <m/>
    <m/>
    <m/>
    <n v="2"/>
    <m/>
    <n v="0"/>
    <n v="2"/>
    <n v="0"/>
    <n v="-1"/>
    <n v="0"/>
    <n v="0"/>
    <n v="0"/>
    <n v="1"/>
    <m/>
    <n v="1"/>
    <n v="0"/>
    <n v="0"/>
    <n v="0"/>
    <n v="0"/>
    <n v="0"/>
    <n v="0"/>
    <n v="0"/>
    <n v="0"/>
    <n v="0"/>
    <n v="0"/>
    <n v="0"/>
    <n v="0"/>
    <s v="South Richmond"/>
    <m/>
    <m/>
    <m/>
    <m/>
    <x v="0"/>
  </r>
  <r>
    <s v="16/1891/FUL"/>
    <s v="NEW"/>
    <m/>
    <s v="14A St Peters Road_x000d_Twickenham_x000d_TW1 1QX"/>
    <s v="Demolition of existing dwelling and erection of a two storey replacement dwellinghouse."/>
    <m/>
    <d v="2018-07-02T00:00:00"/>
    <x v="0"/>
    <s v="Open Market"/>
    <n v="516971"/>
    <n v="174886"/>
    <m/>
    <n v="0"/>
    <n v="0"/>
    <n v="0"/>
    <n v="0"/>
    <n v="1"/>
    <m/>
    <m/>
    <n v="1"/>
    <m/>
    <n v="0"/>
    <n v="0"/>
    <n v="1"/>
    <n v="0"/>
    <m/>
    <m/>
    <m/>
    <n v="1"/>
    <m/>
    <n v="0"/>
    <n v="0"/>
    <n v="1"/>
    <n v="0"/>
    <n v="-1"/>
    <n v="0"/>
    <n v="0"/>
    <n v="0"/>
    <m/>
    <n v="0"/>
    <n v="0"/>
    <n v="0"/>
    <n v="0"/>
    <n v="0"/>
    <n v="0"/>
    <n v="0"/>
    <n v="0"/>
    <n v="0"/>
    <n v="0"/>
    <n v="0"/>
    <n v="0"/>
    <n v="0"/>
    <s v="St. Margarets and North Twickenham"/>
    <m/>
    <m/>
    <m/>
    <s v="Thames Policy Area"/>
    <x v="0"/>
  </r>
  <r>
    <s v="16/1900/FUL"/>
    <s v="CHU"/>
    <m/>
    <s v="Former St Johns Hospital Amyand Park Road And Newland House Oak Lane Twickenham"/>
    <s v="Formation of two 2-bed flats through a change of use at first floor level; together with alterations to the elevations comprising the provision of two conservation-style roof lights and one inset roof terrace; and the provision of four cycle spaces and r"/>
    <d v="2018-09-03T00:00:00"/>
    <d v="2018-12-03T00:00:00"/>
    <x v="0"/>
    <s v="Open Market"/>
    <n v="516408"/>
    <n v="173636"/>
    <m/>
    <n v="0"/>
    <n v="0"/>
    <n v="0"/>
    <n v="0"/>
    <m/>
    <m/>
    <m/>
    <n v="0"/>
    <m/>
    <n v="0"/>
    <n v="2"/>
    <n v="0"/>
    <n v="0"/>
    <m/>
    <m/>
    <m/>
    <n v="2"/>
    <m/>
    <n v="0"/>
    <n v="2"/>
    <n v="0"/>
    <n v="0"/>
    <n v="0"/>
    <n v="0"/>
    <n v="0"/>
    <n v="2"/>
    <m/>
    <n v="2"/>
    <n v="0"/>
    <n v="0"/>
    <n v="0"/>
    <n v="0"/>
    <n v="0"/>
    <n v="0"/>
    <n v="0"/>
    <n v="0"/>
    <n v="0"/>
    <n v="0"/>
    <n v="0"/>
    <n v="0"/>
    <s v="Twickenham Riverside"/>
    <m/>
    <m/>
    <m/>
    <m/>
    <x v="0"/>
  </r>
  <r>
    <s v="16/2006/FUL"/>
    <s v="NEW"/>
    <m/>
    <s v="15 High Street Hampton Hill TW12 1NB"/>
    <s v="Erection of 3 No. 3 bedroom terraced houses with associated parking and landscaping."/>
    <d v="2018-05-01T00:00:00"/>
    <d v="2019-03-30T00:00:00"/>
    <x v="0"/>
    <s v="Open Market"/>
    <n v="514188"/>
    <n v="170597"/>
    <m/>
    <n v="0"/>
    <n v="0"/>
    <n v="0"/>
    <n v="0"/>
    <m/>
    <m/>
    <m/>
    <n v="0"/>
    <m/>
    <n v="0"/>
    <n v="0"/>
    <n v="3"/>
    <n v="0"/>
    <m/>
    <m/>
    <m/>
    <n v="3"/>
    <m/>
    <n v="0"/>
    <n v="0"/>
    <n v="3"/>
    <n v="0"/>
    <n v="0"/>
    <n v="0"/>
    <n v="0"/>
    <n v="3"/>
    <m/>
    <n v="3"/>
    <n v="0"/>
    <n v="0"/>
    <n v="0"/>
    <n v="0"/>
    <n v="0"/>
    <n v="0"/>
    <n v="0"/>
    <n v="0"/>
    <n v="0"/>
    <n v="0"/>
    <n v="0"/>
    <n v="0"/>
    <s v="Fulwell and Hampton Hill"/>
    <m/>
    <s v="High Street"/>
    <m/>
    <m/>
    <x v="0"/>
  </r>
  <r>
    <s v="16/2032/FUL"/>
    <s v="NEW"/>
    <m/>
    <s v="188 Amyand Park Road_x000d_Twickenham_x000d_TW1 3HY"/>
    <s v="Demolition of existing building. Erection of 2x terraced town houses (1 x 3 bed and 1 x 5 bed) with associated bin store and rear car parking area with 2x turntables. Demolition of the garage to the rear of property on Bridle Lane and the construction of"/>
    <d v="2016-06-15T00:00:00"/>
    <d v="2018-08-01T00:00:00"/>
    <x v="0"/>
    <s v="Open Market"/>
    <n v="516738"/>
    <n v="174132"/>
    <m/>
    <n v="0"/>
    <n v="0"/>
    <n v="0"/>
    <n v="1"/>
    <m/>
    <m/>
    <m/>
    <n v="1"/>
    <m/>
    <n v="0"/>
    <n v="0"/>
    <n v="1"/>
    <n v="1"/>
    <m/>
    <m/>
    <m/>
    <n v="2"/>
    <m/>
    <n v="0"/>
    <n v="0"/>
    <n v="1"/>
    <n v="0"/>
    <n v="0"/>
    <n v="0"/>
    <n v="0"/>
    <n v="1"/>
    <m/>
    <n v="1"/>
    <n v="0"/>
    <n v="0"/>
    <n v="0"/>
    <n v="0"/>
    <n v="0"/>
    <n v="0"/>
    <n v="0"/>
    <n v="0"/>
    <n v="0"/>
    <n v="0"/>
    <n v="0"/>
    <n v="0"/>
    <s v="St. Margarets and North Twickenham"/>
    <m/>
    <m/>
    <m/>
    <m/>
    <x v="0"/>
  </r>
  <r>
    <s v="16/2151/FUL"/>
    <s v="CHU"/>
    <m/>
    <s v="Basement Flat_x000d_57 Church Road_x000d_Richmond_x000d_TW10 6LX"/>
    <s v="Change of use from current use by the Labour Party (D2) to use as a residential dwelling (C3) and rear extension."/>
    <d v="2018-02-01T00:00:00"/>
    <d v="2019-03-27T00:00:00"/>
    <x v="0"/>
    <s v="Open Market"/>
    <n v="518356"/>
    <n v="174881"/>
    <m/>
    <n v="0"/>
    <n v="0"/>
    <n v="0"/>
    <n v="0"/>
    <m/>
    <m/>
    <m/>
    <n v="0"/>
    <m/>
    <n v="0"/>
    <n v="0"/>
    <n v="1"/>
    <n v="0"/>
    <m/>
    <m/>
    <m/>
    <n v="1"/>
    <m/>
    <n v="0"/>
    <n v="0"/>
    <n v="1"/>
    <n v="0"/>
    <n v="0"/>
    <n v="0"/>
    <n v="0"/>
    <n v="1"/>
    <m/>
    <n v="1"/>
    <n v="0"/>
    <n v="0"/>
    <n v="0"/>
    <n v="0"/>
    <n v="0"/>
    <n v="0"/>
    <n v="0"/>
    <n v="0"/>
    <n v="0"/>
    <n v="0"/>
    <n v="0"/>
    <n v="0"/>
    <s v="South Richmond"/>
    <m/>
    <m/>
    <m/>
    <m/>
    <x v="0"/>
  </r>
  <r>
    <s v="16/2259/FUL"/>
    <s v="CHU"/>
    <m/>
    <s v="1 Hill Rise Richmond"/>
    <s v="Application for change of use from C4 Residential to B1 (a) office."/>
    <m/>
    <d v="2019-02-01T00:00:00"/>
    <x v="0"/>
    <s v="Open Market"/>
    <n v="517817"/>
    <n v="174592"/>
    <m/>
    <n v="1"/>
    <n v="0"/>
    <n v="0"/>
    <n v="0"/>
    <m/>
    <m/>
    <m/>
    <n v="1"/>
    <m/>
    <n v="0"/>
    <n v="0"/>
    <n v="0"/>
    <n v="0"/>
    <m/>
    <m/>
    <m/>
    <n v="0"/>
    <m/>
    <n v="-1"/>
    <n v="0"/>
    <n v="0"/>
    <n v="0"/>
    <n v="0"/>
    <n v="0"/>
    <n v="0"/>
    <n v="-1"/>
    <m/>
    <n v="-1"/>
    <n v="0"/>
    <n v="0"/>
    <n v="0"/>
    <n v="0"/>
    <n v="0"/>
    <n v="0"/>
    <n v="0"/>
    <n v="0"/>
    <n v="0"/>
    <n v="0"/>
    <n v="0"/>
    <n v="0"/>
    <s v="South Richmond"/>
    <m/>
    <m/>
    <s v="Richmond"/>
    <s v="Thames Policy Area"/>
    <x v="0"/>
  </r>
  <r>
    <s v="16/2489/FUL"/>
    <s v="EXT"/>
    <m/>
    <s v="34 - 40 The Quadrant_x000d_Richmond"/>
    <s v="Erection of an extension to the third storey of an existing residential building to provide 2 no. (2 x one-bedroom) flats including roof terrace."/>
    <d v="2017-11-01T00:00:00"/>
    <d v="2018-08-31T00:00:00"/>
    <x v="0"/>
    <s v="Open Market"/>
    <n v="518013"/>
    <n v="175053"/>
    <m/>
    <n v="0"/>
    <n v="0"/>
    <n v="0"/>
    <n v="0"/>
    <m/>
    <m/>
    <m/>
    <n v="0"/>
    <m/>
    <n v="2"/>
    <n v="0"/>
    <n v="0"/>
    <n v="0"/>
    <m/>
    <m/>
    <m/>
    <n v="2"/>
    <m/>
    <n v="2"/>
    <n v="0"/>
    <n v="0"/>
    <n v="0"/>
    <n v="0"/>
    <n v="0"/>
    <n v="0"/>
    <n v="2"/>
    <m/>
    <n v="2"/>
    <n v="0"/>
    <n v="0"/>
    <n v="0"/>
    <n v="0"/>
    <n v="0"/>
    <n v="0"/>
    <n v="0"/>
    <n v="0"/>
    <n v="0"/>
    <n v="0"/>
    <n v="0"/>
    <n v="0"/>
    <s v="South Richmond"/>
    <m/>
    <m/>
    <s v="Richmond"/>
    <m/>
    <x v="0"/>
  </r>
  <r>
    <s v="16/2642/FUL"/>
    <s v="NEW"/>
    <m/>
    <s v="Garages Rear Of Salliesfield_x000d_Kneller Road_x000d_Twickenham"/>
    <s v="Demolition of existing garages for development of 4 no. residential units (3 no. 1 bed and 1 no. 2 bed units) and associated parking, cycle and refuse store, hard and soft landscaping.  Resiting of existing refuse store/area serving Salliesfield developm"/>
    <m/>
    <d v="2018-06-30T00:00:00"/>
    <x v="0"/>
    <s v="Open Market"/>
    <n v="514815"/>
    <n v="173985"/>
    <m/>
    <n v="0"/>
    <n v="0"/>
    <n v="0"/>
    <n v="0"/>
    <m/>
    <m/>
    <m/>
    <n v="0"/>
    <m/>
    <n v="3"/>
    <n v="1"/>
    <n v="0"/>
    <n v="0"/>
    <m/>
    <m/>
    <m/>
    <n v="4"/>
    <m/>
    <n v="3"/>
    <n v="1"/>
    <n v="0"/>
    <n v="0"/>
    <n v="0"/>
    <n v="0"/>
    <n v="0"/>
    <n v="4"/>
    <m/>
    <n v="4"/>
    <n v="0"/>
    <n v="0"/>
    <n v="0"/>
    <n v="0"/>
    <n v="0"/>
    <n v="0"/>
    <n v="0"/>
    <n v="0"/>
    <n v="0"/>
    <n v="0"/>
    <n v="0"/>
    <n v="0"/>
    <s v="Whitton"/>
    <m/>
    <m/>
    <m/>
    <m/>
    <x v="0"/>
  </r>
  <r>
    <s v="16/2959/FUL"/>
    <s v="NEW"/>
    <m/>
    <s v="Prince House_x000d_116 High Street_x000d_Hampton Hill"/>
    <s v="Erection of a single storey two bedroom house, with associated parking and amenity space."/>
    <d v="2017-11-01T00:00:00"/>
    <d v="2019-02-15T00:00:00"/>
    <x v="0"/>
    <s v="Open Market"/>
    <n v="514512"/>
    <n v="171251"/>
    <m/>
    <n v="0"/>
    <n v="0"/>
    <n v="0"/>
    <n v="0"/>
    <m/>
    <m/>
    <m/>
    <n v="0"/>
    <m/>
    <n v="0"/>
    <n v="1"/>
    <n v="0"/>
    <n v="0"/>
    <m/>
    <m/>
    <m/>
    <n v="1"/>
    <m/>
    <n v="0"/>
    <n v="1"/>
    <n v="0"/>
    <n v="0"/>
    <n v="0"/>
    <n v="0"/>
    <n v="0"/>
    <n v="1"/>
    <m/>
    <n v="1"/>
    <n v="0"/>
    <n v="0"/>
    <n v="0"/>
    <n v="0"/>
    <n v="0"/>
    <n v="0"/>
    <n v="0"/>
    <n v="0"/>
    <n v="0"/>
    <n v="0"/>
    <n v="0"/>
    <n v="0"/>
    <s v="Fulwell and Hampton Hill"/>
    <m/>
    <s v="High Street"/>
    <m/>
    <m/>
    <x v="0"/>
  </r>
  <r>
    <s v="16/3019/FUL"/>
    <s v="NEW"/>
    <m/>
    <s v="9 Tudor Road And_x000d_27 Milton Road_x000d_Hampton"/>
    <s v="Redevelopment of the site to provide seven houses, associated landscaping and parking following the demolition of all existing buildings."/>
    <d v="2017-10-02T00:00:00"/>
    <d v="2018-09-28T00:00:00"/>
    <x v="0"/>
    <s v="Open Market"/>
    <n v="513405"/>
    <n v="170033"/>
    <m/>
    <n v="0"/>
    <n v="0"/>
    <n v="1"/>
    <n v="0"/>
    <m/>
    <m/>
    <m/>
    <n v="1"/>
    <m/>
    <n v="0"/>
    <n v="0"/>
    <n v="1"/>
    <n v="6"/>
    <m/>
    <m/>
    <m/>
    <n v="7"/>
    <m/>
    <n v="0"/>
    <n v="0"/>
    <n v="0"/>
    <n v="6"/>
    <n v="0"/>
    <n v="0"/>
    <n v="0"/>
    <n v="6"/>
    <m/>
    <n v="6"/>
    <n v="0"/>
    <n v="0"/>
    <n v="0"/>
    <n v="0"/>
    <n v="0"/>
    <n v="0"/>
    <n v="0"/>
    <n v="0"/>
    <n v="0"/>
    <n v="0"/>
    <n v="0"/>
    <n v="0"/>
    <s v="Hampton"/>
    <m/>
    <m/>
    <m/>
    <m/>
    <x v="0"/>
  </r>
  <r>
    <s v="16/3206/FUL"/>
    <s v="EXT"/>
    <m/>
    <s v="349 - 351 Upper Richmond Road West_x000d_East Sheen_x000d_London"/>
    <s v="Construction of two self contained flats at second floor level and accompanying interior alterations at first floor level to allow access to the new units [revised description]."/>
    <d v="2017-11-01T00:00:00"/>
    <d v="2018-09-01T00:00:00"/>
    <x v="0"/>
    <s v="Open Market"/>
    <n v="520568"/>
    <n v="175399"/>
    <m/>
    <n v="0"/>
    <n v="0"/>
    <n v="0"/>
    <n v="0"/>
    <m/>
    <m/>
    <m/>
    <n v="0"/>
    <m/>
    <n v="2"/>
    <n v="0"/>
    <n v="0"/>
    <n v="0"/>
    <m/>
    <m/>
    <m/>
    <n v="2"/>
    <m/>
    <n v="2"/>
    <n v="0"/>
    <n v="0"/>
    <n v="0"/>
    <n v="0"/>
    <n v="0"/>
    <n v="0"/>
    <n v="2"/>
    <m/>
    <n v="2"/>
    <n v="0"/>
    <n v="0"/>
    <n v="0"/>
    <n v="0"/>
    <n v="0"/>
    <n v="0"/>
    <n v="0"/>
    <n v="0"/>
    <n v="0"/>
    <n v="0"/>
    <n v="0"/>
    <n v="0"/>
    <s v="East Sheen"/>
    <m/>
    <m/>
    <s v="East Sheen"/>
    <m/>
    <x v="0"/>
  </r>
  <r>
    <s v="16/3297/FUL"/>
    <s v="CHU"/>
    <m/>
    <s v="36 Hampton Road Twickenham TW2 5QB"/>
    <s v="Change of use of ground floor retail unit (A1) and ground, first and second floor residential unit (C3) to create a single live/work unity (sui generis) with dedicated work area (B1a)."/>
    <m/>
    <d v="2018-04-02T00:00:00"/>
    <x v="0"/>
    <s v="Open Market"/>
    <n v="515150"/>
    <n v="172741"/>
    <m/>
    <n v="1"/>
    <n v="0"/>
    <n v="0"/>
    <n v="0"/>
    <m/>
    <m/>
    <m/>
    <n v="1"/>
    <m/>
    <n v="0"/>
    <n v="1"/>
    <n v="0"/>
    <n v="0"/>
    <m/>
    <m/>
    <m/>
    <n v="1"/>
    <m/>
    <n v="-1"/>
    <n v="1"/>
    <n v="0"/>
    <n v="0"/>
    <n v="0"/>
    <n v="0"/>
    <n v="0"/>
    <n v="0"/>
    <m/>
    <n v="0"/>
    <n v="0"/>
    <n v="0"/>
    <n v="0"/>
    <n v="0"/>
    <n v="0"/>
    <n v="0"/>
    <n v="0"/>
    <n v="0"/>
    <n v="0"/>
    <n v="0"/>
    <n v="0"/>
    <n v="0"/>
    <s v="West Twickenham"/>
    <m/>
    <s v="Hampton Road"/>
    <m/>
    <m/>
    <x v="0"/>
  </r>
  <r>
    <s v="16/3460/FUL"/>
    <s v="CON"/>
    <m/>
    <s v="19 The Hermitage Richmond"/>
    <s v="Conversion of existing building from four flats to single family dwelling. Replace existing conservatory to lower ground floor with new single storey rear extension, rear extension at upper ground floor level. All materials to match existing."/>
    <d v="2017-05-01T00:00:00"/>
    <d v="2019-02-01T00:00:00"/>
    <x v="0"/>
    <s v="Open Market"/>
    <n v="518019"/>
    <n v="174650"/>
    <m/>
    <n v="4"/>
    <n v="0"/>
    <n v="0"/>
    <n v="0"/>
    <m/>
    <m/>
    <m/>
    <n v="4"/>
    <m/>
    <n v="0"/>
    <n v="0"/>
    <n v="1"/>
    <n v="0"/>
    <m/>
    <m/>
    <m/>
    <n v="1"/>
    <m/>
    <n v="-4"/>
    <n v="0"/>
    <n v="1"/>
    <n v="0"/>
    <n v="0"/>
    <n v="0"/>
    <n v="0"/>
    <n v="-3"/>
    <m/>
    <n v="-3"/>
    <n v="0"/>
    <n v="0"/>
    <n v="0"/>
    <n v="0"/>
    <n v="0"/>
    <n v="0"/>
    <n v="0"/>
    <n v="0"/>
    <n v="0"/>
    <n v="0"/>
    <n v="0"/>
    <n v="0"/>
    <s v="South Richmond"/>
    <m/>
    <m/>
    <m/>
    <m/>
    <x v="0"/>
  </r>
  <r>
    <s v="16/3605/PS192"/>
    <s v="CHU"/>
    <m/>
    <s v="57 - 58 George Street_x000d_Richmond_x000d_TW9 1HE"/>
    <s v="Proposed change of use from retail to mixed use. Alterations to configuration of internal walls."/>
    <m/>
    <d v="2018-11-30T00:00:00"/>
    <x v="0"/>
    <s v="Open Market"/>
    <n v="517850"/>
    <n v="174885"/>
    <m/>
    <n v="0"/>
    <n v="0"/>
    <n v="0"/>
    <n v="0"/>
    <m/>
    <m/>
    <m/>
    <n v="0"/>
    <m/>
    <n v="2"/>
    <n v="1"/>
    <n v="0"/>
    <n v="0"/>
    <m/>
    <m/>
    <m/>
    <n v="3"/>
    <m/>
    <n v="2"/>
    <n v="1"/>
    <n v="0"/>
    <n v="0"/>
    <n v="0"/>
    <n v="0"/>
    <n v="0"/>
    <n v="3"/>
    <m/>
    <n v="3"/>
    <n v="0"/>
    <n v="0"/>
    <n v="0"/>
    <n v="0"/>
    <n v="0"/>
    <n v="0"/>
    <n v="0"/>
    <n v="0"/>
    <n v="0"/>
    <n v="0"/>
    <n v="0"/>
    <n v="0"/>
    <s v="South Richmond"/>
    <m/>
    <m/>
    <s v="Richmond"/>
    <m/>
    <x v="0"/>
  </r>
  <r>
    <s v="16/3670/FUL"/>
    <s v="NEW"/>
    <m/>
    <s v="36 Denbigh Gardens_x000d_Richmond_x000d_TW10 6EL"/>
    <s v="Demolition of existing two storey detached four bedroom house and construction of new detached two storey five bedroom house."/>
    <d v="2017-09-01T00:00:00"/>
    <d v="2018-11-23T00:00:00"/>
    <x v="0"/>
    <s v="Open Market"/>
    <n v="518841"/>
    <n v="174738"/>
    <m/>
    <n v="0"/>
    <n v="0"/>
    <n v="0"/>
    <n v="1"/>
    <m/>
    <m/>
    <m/>
    <n v="1"/>
    <m/>
    <n v="0"/>
    <n v="0"/>
    <n v="0"/>
    <n v="1"/>
    <m/>
    <m/>
    <m/>
    <n v="1"/>
    <m/>
    <n v="0"/>
    <n v="0"/>
    <n v="0"/>
    <n v="0"/>
    <n v="0"/>
    <n v="0"/>
    <n v="0"/>
    <n v="0"/>
    <m/>
    <n v="0"/>
    <n v="0"/>
    <n v="0"/>
    <n v="0"/>
    <n v="0"/>
    <n v="0"/>
    <n v="0"/>
    <n v="0"/>
    <n v="0"/>
    <n v="0"/>
    <n v="0"/>
    <n v="0"/>
    <n v="0"/>
    <s v="South Richmond"/>
    <m/>
    <m/>
    <m/>
    <m/>
    <x v="0"/>
  </r>
  <r>
    <s v="16/3791/FUL"/>
    <s v="NEW"/>
    <m/>
    <s v="92 - 94 Station Road_x000d_Hampton_x000d_TW12 2AX"/>
    <s v="Erection of a single-storey, two-bedroom house with accommodation at roof level and associated car parking, cycle and refuse store."/>
    <m/>
    <d v="2018-08-31T00:00:00"/>
    <x v="0"/>
    <s v="Open Market"/>
    <n v="513648"/>
    <n v="169737"/>
    <m/>
    <n v="0"/>
    <n v="0"/>
    <n v="0"/>
    <n v="0"/>
    <m/>
    <m/>
    <m/>
    <n v="0"/>
    <m/>
    <n v="0"/>
    <n v="1"/>
    <n v="0"/>
    <n v="0"/>
    <m/>
    <m/>
    <m/>
    <n v="1"/>
    <m/>
    <n v="0"/>
    <n v="1"/>
    <n v="0"/>
    <n v="0"/>
    <n v="0"/>
    <n v="0"/>
    <n v="0"/>
    <n v="1"/>
    <m/>
    <n v="1"/>
    <n v="0"/>
    <n v="0"/>
    <n v="0"/>
    <n v="0"/>
    <n v="0"/>
    <n v="0"/>
    <n v="0"/>
    <n v="0"/>
    <n v="0"/>
    <n v="0"/>
    <n v="0"/>
    <n v="0"/>
    <s v="Hampton"/>
    <m/>
    <s v="Station Road"/>
    <m/>
    <m/>
    <x v="0"/>
  </r>
  <r>
    <s v="16/3876/FUL"/>
    <s v="NEW"/>
    <m/>
    <s v="26 The Terrace_x000a_Barnes_x000a_London_x000a_SW13 0NR"/>
    <s v="Demolition of remaining damaged ground floor structure and stairwell, following the collapse of the original building and subsequent demolition by the Council, and erection of a new house to be built over existing basement from ground to third floor leve"/>
    <d v="2018-03-01T00:00:00"/>
    <d v="2018-12-01T00:00:00"/>
    <x v="0"/>
    <s v="Open Market"/>
    <n v="521327"/>
    <n v="176153"/>
    <m/>
    <n v="0"/>
    <n v="0"/>
    <n v="0"/>
    <n v="0"/>
    <m/>
    <n v="1"/>
    <m/>
    <n v="1"/>
    <m/>
    <n v="0"/>
    <n v="0"/>
    <n v="0"/>
    <n v="0"/>
    <n v="1"/>
    <m/>
    <m/>
    <n v="1"/>
    <m/>
    <n v="0"/>
    <n v="0"/>
    <n v="0"/>
    <n v="0"/>
    <n v="1"/>
    <n v="-1"/>
    <n v="0"/>
    <n v="0"/>
    <m/>
    <n v="0"/>
    <n v="0"/>
    <n v="0"/>
    <n v="0"/>
    <n v="0"/>
    <n v="0"/>
    <n v="0"/>
    <n v="0"/>
    <n v="0"/>
    <n v="0"/>
    <n v="0"/>
    <n v="0"/>
    <n v="0"/>
    <s v="Mortlake and Barnes Common"/>
    <m/>
    <m/>
    <m/>
    <s v="Thames Policy Area"/>
    <x v="0"/>
  </r>
  <r>
    <s v="16/4000/FUL"/>
    <s v="CON"/>
    <m/>
    <s v="10 Stretton Road_x000d_Ham_x000d_Richmond_x000d_TW10 7QQ"/>
    <s v="Conversion of an end-of-terrace 3-bed house into 2 no. flats."/>
    <m/>
    <d v="2018-11-07T00:00:00"/>
    <x v="0"/>
    <s v="Open Market"/>
    <n v="517154"/>
    <n v="172520"/>
    <m/>
    <n v="0"/>
    <n v="0"/>
    <n v="1"/>
    <n v="0"/>
    <m/>
    <m/>
    <m/>
    <n v="1"/>
    <m/>
    <n v="1"/>
    <n v="1"/>
    <n v="0"/>
    <n v="0"/>
    <m/>
    <m/>
    <m/>
    <n v="2"/>
    <m/>
    <n v="1"/>
    <n v="1"/>
    <n v="-1"/>
    <n v="0"/>
    <n v="0"/>
    <n v="0"/>
    <n v="0"/>
    <n v="1"/>
    <m/>
    <n v="1"/>
    <n v="0"/>
    <n v="0"/>
    <n v="0"/>
    <n v="0"/>
    <n v="0"/>
    <n v="0"/>
    <n v="0"/>
    <n v="0"/>
    <n v="0"/>
    <n v="0"/>
    <n v="0"/>
    <n v="0"/>
    <s v="Ham, Petersham and Richmond Riverside"/>
    <m/>
    <m/>
    <m/>
    <m/>
    <x v="0"/>
  </r>
  <r>
    <s v="16/4058/FUL"/>
    <s v="CHU"/>
    <m/>
    <s v="59 - 61 High Street_x000a_Hampton Wick_x000a_Kingston Upon Thames_x000a_KT1 4DG"/>
    <s v="Internal configuration of existing ancillary accommodation to create 4 self-contained flats; removal of external first floor fire escape, removal, repositioning and replacement of rear windows at first and second floor level including (including the installation one new window at each level totalling 5); replacement rooftiles to the front and rear roofslope; removal of defective chimney to the rear and raising and pitching of the front roofslope (retrospective)."/>
    <m/>
    <d v="2019-03-01T00:00:00"/>
    <x v="0"/>
    <s v="Open Market"/>
    <n v="517463"/>
    <n v="169661"/>
    <m/>
    <n v="0"/>
    <n v="0"/>
    <n v="0"/>
    <n v="0"/>
    <n v="1"/>
    <m/>
    <m/>
    <n v="1"/>
    <m/>
    <n v="2"/>
    <n v="2"/>
    <n v="0"/>
    <n v="0"/>
    <m/>
    <m/>
    <m/>
    <n v="4"/>
    <m/>
    <n v="2"/>
    <n v="2"/>
    <n v="0"/>
    <n v="0"/>
    <n v="-1"/>
    <n v="0"/>
    <n v="0"/>
    <n v="3"/>
    <m/>
    <n v="3"/>
    <n v="0"/>
    <n v="0"/>
    <n v="0"/>
    <n v="0"/>
    <n v="0"/>
    <n v="0"/>
    <n v="0"/>
    <n v="0"/>
    <n v="0"/>
    <n v="0"/>
    <n v="0"/>
    <n v="0"/>
    <s v="Hampton Wick"/>
    <m/>
    <s v="Hampton Wick"/>
    <m/>
    <m/>
    <x v="0"/>
  </r>
  <r>
    <s v="16/4231/FUL"/>
    <s v="CON"/>
    <m/>
    <s v="202 Upper Richmond Road West_x000d_East Sheen_x000d_London_x000d_SW14 8AN"/>
    <s v="Alterations with dormer extensions to existing first floor dwelling, conversion into 3 no. apartments incorporating a loft conversion."/>
    <m/>
    <d v="2018-07-14T00:00:00"/>
    <x v="0"/>
    <s v="Open Market"/>
    <n v="520691"/>
    <n v="175442"/>
    <m/>
    <n v="0"/>
    <n v="1"/>
    <n v="0"/>
    <n v="0"/>
    <m/>
    <m/>
    <m/>
    <n v="1"/>
    <m/>
    <n v="1"/>
    <n v="2"/>
    <n v="0"/>
    <n v="0"/>
    <m/>
    <m/>
    <m/>
    <n v="3"/>
    <m/>
    <n v="1"/>
    <n v="1"/>
    <n v="0"/>
    <n v="0"/>
    <n v="0"/>
    <n v="0"/>
    <n v="0"/>
    <n v="2"/>
    <m/>
    <n v="2"/>
    <n v="0"/>
    <n v="0"/>
    <n v="0"/>
    <n v="0"/>
    <n v="0"/>
    <n v="0"/>
    <n v="0"/>
    <n v="0"/>
    <n v="0"/>
    <n v="0"/>
    <n v="0"/>
    <n v="0"/>
    <s v="East Sheen"/>
    <m/>
    <m/>
    <s v="East Sheen"/>
    <m/>
    <x v="0"/>
  </r>
  <r>
    <s v="16/4590/FUL"/>
    <s v="NEW"/>
    <m/>
    <s v="2A Suffolk Road_x000d_Barnes_x000d_London_x000d_SW13 9PH"/>
    <s v="Demolition of existing property and the construction of a new 4 bed house with basement with associated landscaping (bin and bike store)."/>
    <d v="2017-05-15T00:00:00"/>
    <d v="2018-07-02T00:00:00"/>
    <x v="0"/>
    <s v="Open Market"/>
    <n v="522330"/>
    <n v="177038"/>
    <m/>
    <n v="0"/>
    <n v="2"/>
    <n v="0"/>
    <n v="0"/>
    <m/>
    <m/>
    <m/>
    <n v="2"/>
    <m/>
    <n v="0"/>
    <n v="0"/>
    <n v="0"/>
    <n v="1"/>
    <m/>
    <m/>
    <m/>
    <n v="1"/>
    <m/>
    <n v="0"/>
    <n v="-2"/>
    <n v="0"/>
    <n v="1"/>
    <n v="0"/>
    <n v="0"/>
    <n v="0"/>
    <n v="-1"/>
    <m/>
    <n v="-1"/>
    <n v="0"/>
    <n v="0"/>
    <n v="0"/>
    <n v="0"/>
    <n v="0"/>
    <n v="0"/>
    <n v="0"/>
    <n v="0"/>
    <n v="0"/>
    <n v="0"/>
    <n v="0"/>
    <n v="0"/>
    <s v="Barnes"/>
    <m/>
    <m/>
    <m/>
    <m/>
    <x v="0"/>
  </r>
  <r>
    <s v="16/4669/FUL"/>
    <s v="CHU"/>
    <m/>
    <s v="42 George Street_x000d_Richmond_x000d_TW9 1HJ"/>
    <s v="Change of use of first and second floors from A1 ancillary to C3 residential to create 1 No. Studio apartment and 1 No. 2-bedroom apartment. First floor rear extension and alterations to fenestration."/>
    <m/>
    <d v="2018-04-18T00:00:00"/>
    <x v="0"/>
    <s v="Open Market"/>
    <n v="517929"/>
    <n v="174954"/>
    <m/>
    <n v="0"/>
    <n v="0"/>
    <n v="0"/>
    <n v="0"/>
    <m/>
    <m/>
    <m/>
    <n v="0"/>
    <n v="1"/>
    <n v="0"/>
    <n v="1"/>
    <n v="0"/>
    <n v="0"/>
    <m/>
    <m/>
    <m/>
    <n v="2"/>
    <n v="1"/>
    <n v="0"/>
    <n v="1"/>
    <n v="0"/>
    <n v="0"/>
    <n v="0"/>
    <n v="0"/>
    <n v="0"/>
    <n v="2"/>
    <m/>
    <n v="2"/>
    <n v="0"/>
    <n v="0"/>
    <n v="0"/>
    <n v="0"/>
    <n v="0"/>
    <n v="0"/>
    <n v="0"/>
    <n v="0"/>
    <n v="0"/>
    <n v="0"/>
    <n v="0"/>
    <n v="0"/>
    <s v="South Richmond"/>
    <m/>
    <m/>
    <s v="Richmond"/>
    <m/>
    <x v="0"/>
  </r>
  <r>
    <s v="16/4794/FUL"/>
    <s v="EXT"/>
    <m/>
    <s v="Boatrace House_x000a_63 Mortlake High Street_x000a_Mortlake_x000a_London"/>
    <s v="Erection of one additional storey to provide two residential units and alterations to the elevations of the building"/>
    <d v="2018-03-01T00:00:00"/>
    <d v="2019-03-01T00:00:00"/>
    <x v="0"/>
    <s v="Open Market"/>
    <n v="520696"/>
    <n v="175985"/>
    <m/>
    <n v="0"/>
    <n v="0"/>
    <n v="0"/>
    <n v="0"/>
    <m/>
    <m/>
    <m/>
    <n v="0"/>
    <m/>
    <n v="0"/>
    <n v="2"/>
    <n v="0"/>
    <n v="0"/>
    <m/>
    <m/>
    <m/>
    <n v="2"/>
    <m/>
    <n v="0"/>
    <n v="2"/>
    <n v="0"/>
    <n v="0"/>
    <n v="0"/>
    <n v="0"/>
    <n v="0"/>
    <n v="2"/>
    <m/>
    <n v="2"/>
    <n v="0"/>
    <n v="0"/>
    <n v="0"/>
    <n v="0"/>
    <n v="0"/>
    <n v="0"/>
    <n v="0"/>
    <n v="0"/>
    <n v="0"/>
    <n v="0"/>
    <n v="0"/>
    <n v="0"/>
    <s v="Mortlake and Barnes Common"/>
    <m/>
    <s v="Mortlake"/>
    <m/>
    <m/>
    <x v="0"/>
  </r>
  <r>
    <s v="16/4798/FUL"/>
    <s v="NEW"/>
    <m/>
    <s v="19 Stanley Road East Sheen SW14 7EB"/>
    <s v="Demolition of existing dwelling and the construction of a 2.5/3-storey dwelling with basement including front and rear light well with walk-over covering. Additional construction of car port/storage building to rear of site including vehicular footway cr"/>
    <d v="2017-11-01T00:00:00"/>
    <d v="2019-02-01T00:00:00"/>
    <x v="0"/>
    <s v="Open Market"/>
    <n v="519759"/>
    <n v="175240"/>
    <m/>
    <n v="0"/>
    <n v="0"/>
    <n v="0"/>
    <n v="1"/>
    <m/>
    <m/>
    <m/>
    <n v="1"/>
    <m/>
    <n v="0"/>
    <n v="0"/>
    <n v="0"/>
    <n v="1"/>
    <m/>
    <m/>
    <m/>
    <n v="1"/>
    <m/>
    <n v="0"/>
    <n v="0"/>
    <n v="0"/>
    <n v="0"/>
    <n v="0"/>
    <n v="0"/>
    <n v="0"/>
    <n v="0"/>
    <m/>
    <n v="0"/>
    <n v="0"/>
    <n v="0"/>
    <n v="0"/>
    <n v="0"/>
    <n v="0"/>
    <n v="0"/>
    <n v="0"/>
    <n v="0"/>
    <n v="0"/>
    <n v="0"/>
    <n v="0"/>
    <n v="0"/>
    <s v="East Sheen"/>
    <m/>
    <m/>
    <m/>
    <m/>
    <x v="0"/>
  </r>
  <r>
    <s v="17/0259/FUL"/>
    <s v="CHU"/>
    <m/>
    <s v="2 Queens Road_x000d_East Sheen_x000d_London_x000d_SW14 8PJ"/>
    <s v="Demolition of building and erection of new dwelling with basement."/>
    <d v="2018-04-01T00:00:00"/>
    <d v="2019-02-15T00:00:00"/>
    <x v="0"/>
    <s v="Open Market"/>
    <n v="520956"/>
    <n v="175694"/>
    <m/>
    <n v="1"/>
    <n v="0"/>
    <n v="0"/>
    <n v="0"/>
    <m/>
    <m/>
    <m/>
    <n v="1"/>
    <m/>
    <n v="0"/>
    <n v="0"/>
    <n v="0"/>
    <n v="1"/>
    <m/>
    <m/>
    <m/>
    <n v="1"/>
    <m/>
    <n v="-1"/>
    <n v="0"/>
    <n v="0"/>
    <n v="1"/>
    <n v="0"/>
    <n v="0"/>
    <n v="0"/>
    <n v="0"/>
    <m/>
    <n v="0"/>
    <n v="0"/>
    <n v="0"/>
    <n v="0"/>
    <n v="0"/>
    <n v="0"/>
    <n v="0"/>
    <n v="0"/>
    <n v="0"/>
    <n v="0"/>
    <n v="0"/>
    <n v="0"/>
    <n v="0"/>
    <s v="East Sheen"/>
    <m/>
    <m/>
    <m/>
    <m/>
    <x v="0"/>
  </r>
  <r>
    <s v="17/0908/FUL"/>
    <s v="EXT"/>
    <m/>
    <s v="224 - 226 Hampton Road_x000d_Twickenham"/>
    <s v="Proposed two storey side/rear extension, single storey front and rear extensions and basement level to facilitate the provision of 137.5sqm additional A1(retail) floorspace to existing ground floor A1 retail store (no. 226) and internal reconfiguration o"/>
    <d v="2018-01-15T00:00:00"/>
    <d v="2018-09-20T00:00:00"/>
    <x v="0"/>
    <s v="Open Market"/>
    <n v="514717"/>
    <n v="172101"/>
    <m/>
    <n v="0"/>
    <n v="2"/>
    <n v="0"/>
    <n v="0"/>
    <m/>
    <m/>
    <m/>
    <n v="2"/>
    <m/>
    <n v="0"/>
    <n v="3"/>
    <n v="0"/>
    <n v="0"/>
    <m/>
    <m/>
    <m/>
    <n v="3"/>
    <m/>
    <n v="0"/>
    <n v="1"/>
    <n v="0"/>
    <n v="0"/>
    <n v="0"/>
    <n v="0"/>
    <n v="0"/>
    <n v="1"/>
    <m/>
    <n v="1"/>
    <n v="0"/>
    <n v="0"/>
    <n v="0"/>
    <n v="0"/>
    <n v="0"/>
    <n v="0"/>
    <n v="0"/>
    <n v="0"/>
    <n v="0"/>
    <n v="0"/>
    <n v="0"/>
    <n v="0"/>
    <s v="West Twickenham"/>
    <m/>
    <m/>
    <m/>
    <m/>
    <x v="0"/>
  </r>
  <r>
    <s v="17/0968/FUL"/>
    <s v="CHU"/>
    <m/>
    <s v="1 Palace Gate_x000d_Hampton Court Road_x000d_Hampton_x000d_East Molesey_x000d_KT8 9BN"/>
    <s v="Change of use of part ground floor (stair access) and first floor from B1a(Office) to C3 (residential) use and change of use of part ground floor from A1(retail) to C3(residential).  Replacement door and window on ground floor side elevatio and installat"/>
    <d v="2017-11-01T00:00:00"/>
    <d v="2018-06-30T00:00:00"/>
    <x v="0"/>
    <s v="Open Market"/>
    <n v="515409"/>
    <n v="168615"/>
    <m/>
    <n v="0"/>
    <n v="0"/>
    <n v="0"/>
    <n v="0"/>
    <m/>
    <m/>
    <m/>
    <n v="0"/>
    <m/>
    <n v="0"/>
    <n v="0"/>
    <n v="1"/>
    <n v="0"/>
    <m/>
    <m/>
    <m/>
    <n v="1"/>
    <m/>
    <n v="0"/>
    <n v="0"/>
    <n v="1"/>
    <n v="0"/>
    <n v="0"/>
    <n v="0"/>
    <n v="0"/>
    <n v="1"/>
    <m/>
    <n v="1"/>
    <n v="0"/>
    <n v="0"/>
    <n v="0"/>
    <n v="0"/>
    <n v="0"/>
    <n v="0"/>
    <n v="0"/>
    <n v="0"/>
    <n v="0"/>
    <n v="0"/>
    <n v="0"/>
    <n v="0"/>
    <s v="Hampton"/>
    <m/>
    <m/>
    <m/>
    <s v="Thames Policy Area"/>
    <x v="0"/>
  </r>
  <r>
    <s v="17/1286/VRC"/>
    <s v="NEW"/>
    <m/>
    <s v="Teddington Studios Broom Road Teddington"/>
    <s v="Variation of approved drawing nos attached to 14/0914/FUL to allow for the development of Block B as two blocks and an increase in the overall number of units from 220 to 238 and minor changes to the riverside walkway._x000d_To allow changes to the internal la"/>
    <d v="2017-10-05T00:00:00"/>
    <d v="2018-12-01T00:00:00"/>
    <x v="0"/>
    <s v="Open Market"/>
    <n v="516802"/>
    <n v="171333"/>
    <m/>
    <n v="0"/>
    <n v="0"/>
    <n v="0"/>
    <n v="0"/>
    <m/>
    <m/>
    <m/>
    <n v="0"/>
    <m/>
    <n v="29"/>
    <n v="14"/>
    <n v="33"/>
    <n v="0"/>
    <m/>
    <m/>
    <m/>
    <n v="76"/>
    <m/>
    <n v="29"/>
    <n v="14"/>
    <n v="33"/>
    <n v="0"/>
    <n v="0"/>
    <n v="0"/>
    <n v="0"/>
    <n v="76"/>
    <s v="Y"/>
    <n v="76"/>
    <n v="0"/>
    <n v="0"/>
    <n v="0"/>
    <n v="0"/>
    <n v="0"/>
    <n v="0"/>
    <n v="0"/>
    <n v="0"/>
    <n v="0"/>
    <n v="0"/>
    <n v="0"/>
    <n v="0"/>
    <s v="Teddington"/>
    <m/>
    <m/>
    <m/>
    <s v="Thames Policy Area"/>
    <x v="0"/>
  </r>
  <r>
    <s v="17/1331/FUL"/>
    <s v="NEW"/>
    <m/>
    <s v="56 Coval Road_x000d_East Sheen_x000d_London_x000d_SW14 7RL"/>
    <s v="Application for the creation of a new single three storey family dwelling."/>
    <d v="2018-04-09T00:00:00"/>
    <d v="2018-08-31T00:00:00"/>
    <x v="0"/>
    <s v="Open Market"/>
    <n v="520049"/>
    <n v="175295"/>
    <m/>
    <n v="0"/>
    <n v="0"/>
    <n v="0"/>
    <n v="0"/>
    <m/>
    <m/>
    <m/>
    <n v="0"/>
    <m/>
    <n v="0"/>
    <n v="0"/>
    <n v="1"/>
    <n v="0"/>
    <m/>
    <m/>
    <m/>
    <n v="1"/>
    <m/>
    <n v="0"/>
    <n v="0"/>
    <n v="1"/>
    <n v="0"/>
    <n v="0"/>
    <n v="0"/>
    <n v="0"/>
    <n v="1"/>
    <m/>
    <n v="1"/>
    <n v="0"/>
    <n v="0"/>
    <n v="0"/>
    <n v="0"/>
    <n v="0"/>
    <n v="0"/>
    <n v="0"/>
    <n v="0"/>
    <n v="0"/>
    <n v="0"/>
    <n v="0"/>
    <n v="0"/>
    <s v="East Sheen"/>
    <m/>
    <m/>
    <s v="East Sheen"/>
    <m/>
    <x v="0"/>
  </r>
  <r>
    <s v="17/1971/FUL"/>
    <s v="NEW"/>
    <m/>
    <s v="59 Ham Street Ham TW10 7HR"/>
    <s v="Demolition of the existing bungalow (C3) and the erection of a pair of semi-detached dwellings with associated landscaping and off-street parking."/>
    <d v="2018-03-01T00:00:00"/>
    <s v="31/11/2018"/>
    <x v="0"/>
    <s v="Open Market"/>
    <n v="517346"/>
    <n v="172308"/>
    <m/>
    <n v="0"/>
    <n v="1"/>
    <n v="0"/>
    <n v="0"/>
    <m/>
    <m/>
    <m/>
    <n v="1"/>
    <m/>
    <n v="0"/>
    <n v="0"/>
    <n v="0"/>
    <n v="2"/>
    <m/>
    <m/>
    <m/>
    <n v="2"/>
    <m/>
    <n v="0"/>
    <n v="-1"/>
    <n v="0"/>
    <n v="2"/>
    <n v="0"/>
    <n v="0"/>
    <n v="0"/>
    <n v="1"/>
    <m/>
    <n v="1"/>
    <n v="0"/>
    <n v="0"/>
    <n v="0"/>
    <n v="0"/>
    <n v="0"/>
    <n v="0"/>
    <n v="0"/>
    <n v="0"/>
    <n v="0"/>
    <n v="0"/>
    <n v="0"/>
    <n v="0"/>
    <s v="Ham, Petersham and Richmond Riverside"/>
    <m/>
    <m/>
    <m/>
    <m/>
    <x v="1"/>
  </r>
  <r>
    <s v="17/2181/GPD15"/>
    <s v="CHU"/>
    <s v="PA"/>
    <s v="Claridge House 29 Barnes High Street Barnes SW13 9LW"/>
    <s v="Change from B1 office use into C3 residential use comprising 2 no. 2 bedroom flats."/>
    <m/>
    <d v="2018-09-27T00:00:00"/>
    <x v="0"/>
    <s v="Open Market"/>
    <n v="521610"/>
    <n v="176396"/>
    <m/>
    <n v="0"/>
    <n v="0"/>
    <n v="0"/>
    <n v="0"/>
    <m/>
    <m/>
    <m/>
    <n v="0"/>
    <m/>
    <n v="0"/>
    <n v="2"/>
    <n v="0"/>
    <n v="0"/>
    <m/>
    <m/>
    <m/>
    <n v="2"/>
    <m/>
    <n v="0"/>
    <n v="2"/>
    <n v="0"/>
    <n v="0"/>
    <n v="0"/>
    <n v="0"/>
    <n v="0"/>
    <n v="2"/>
    <m/>
    <n v="2"/>
    <n v="0"/>
    <n v="0"/>
    <n v="0"/>
    <n v="0"/>
    <n v="0"/>
    <n v="0"/>
    <n v="0"/>
    <n v="0"/>
    <n v="0"/>
    <n v="0"/>
    <n v="0"/>
    <n v="0"/>
    <s v="Mortlake and Barnes Common"/>
    <m/>
    <s v="High Street"/>
    <m/>
    <m/>
    <x v="0"/>
  </r>
  <r>
    <s v="17/2507/FUL"/>
    <s v="NEW"/>
    <m/>
    <s v="31 Conway Road Whitton TW4 5LW"/>
    <s v="Construction of a new 1No. 2-bedroom dwelling house (following demolition of the existing side extension); subdivision of the rear of no.31 Conway Road; and associated refuse, recycling, cycle storage and car parking facilities."/>
    <m/>
    <d v="2019-02-01T00:00:00"/>
    <x v="0"/>
    <s v="Open Market"/>
    <n v="513080"/>
    <n v="173974"/>
    <m/>
    <n v="0"/>
    <n v="0"/>
    <n v="0"/>
    <n v="0"/>
    <m/>
    <m/>
    <m/>
    <n v="0"/>
    <m/>
    <n v="0"/>
    <n v="1"/>
    <n v="0"/>
    <n v="0"/>
    <m/>
    <m/>
    <m/>
    <n v="1"/>
    <m/>
    <n v="0"/>
    <n v="1"/>
    <n v="0"/>
    <n v="0"/>
    <n v="0"/>
    <n v="0"/>
    <n v="0"/>
    <n v="1"/>
    <m/>
    <n v="1"/>
    <n v="0"/>
    <n v="0"/>
    <n v="0"/>
    <n v="0"/>
    <n v="0"/>
    <n v="0"/>
    <n v="0"/>
    <n v="0"/>
    <n v="0"/>
    <n v="0"/>
    <n v="0"/>
    <n v="0"/>
    <s v="Heathfield"/>
    <m/>
    <m/>
    <m/>
    <m/>
    <x v="0"/>
  </r>
  <r>
    <s v="17/2523/FUL"/>
    <s v="CON"/>
    <m/>
    <s v="Railway Cottage _x000d_White Hart Lane_x000d_Barnes_x000d_London_x000d_SW13 0PZ"/>
    <s v="Conversion of existing dwelling house to 5 no. self-contained flats, comprising 3no. 1 bedroom units, 1no. 2 bedroom unit and 1no. 3 bedroom unit, and external alterations to existing fenestration."/>
    <d v="2018-02-01T00:00:00"/>
    <d v="2019-01-18T00:00:00"/>
    <x v="0"/>
    <s v="Open Market"/>
    <n v="521341"/>
    <n v="175789"/>
    <m/>
    <n v="0"/>
    <n v="0"/>
    <n v="0"/>
    <n v="0"/>
    <m/>
    <m/>
    <n v="1"/>
    <n v="1"/>
    <m/>
    <n v="3"/>
    <n v="1"/>
    <n v="1"/>
    <n v="0"/>
    <m/>
    <m/>
    <m/>
    <n v="5"/>
    <m/>
    <n v="3"/>
    <n v="1"/>
    <n v="1"/>
    <n v="0"/>
    <n v="0"/>
    <n v="0"/>
    <n v="-1"/>
    <n v="4"/>
    <m/>
    <n v="4"/>
    <n v="0"/>
    <n v="0"/>
    <n v="0"/>
    <n v="0"/>
    <n v="0"/>
    <n v="0"/>
    <n v="0"/>
    <n v="0"/>
    <n v="0"/>
    <n v="0"/>
    <n v="0"/>
    <n v="0"/>
    <s v="Mortlake and Barnes Common"/>
    <m/>
    <m/>
    <m/>
    <m/>
    <x v="0"/>
  </r>
  <r>
    <s v="17/2656/FUL"/>
    <s v="CHU"/>
    <m/>
    <s v="15 - 17 Paved Court_x000d_Richmond_x000d_TW9 1LZ"/>
    <s v="Conversion of upper floors and part ground floor of property from A1 retail use (ground floor level) and storage ancillary to the retail use (first and second floors) to C3 residential comprising 1 no. 1 bedroom flat, incorporating associated internal al"/>
    <d v="2017-12-01T00:00:00"/>
    <d v="2019-02-19T00:00:00"/>
    <x v="0"/>
    <s v="Open Market"/>
    <n v="517721"/>
    <n v="174827"/>
    <m/>
    <n v="0"/>
    <n v="0"/>
    <n v="0"/>
    <n v="0"/>
    <m/>
    <m/>
    <m/>
    <n v="0"/>
    <m/>
    <n v="1"/>
    <n v="0"/>
    <n v="0"/>
    <n v="0"/>
    <m/>
    <m/>
    <m/>
    <n v="1"/>
    <m/>
    <n v="1"/>
    <n v="0"/>
    <n v="0"/>
    <n v="0"/>
    <n v="0"/>
    <n v="0"/>
    <n v="0"/>
    <n v="1"/>
    <m/>
    <n v="1"/>
    <n v="0"/>
    <n v="0"/>
    <n v="0"/>
    <n v="0"/>
    <n v="0"/>
    <n v="0"/>
    <n v="0"/>
    <n v="0"/>
    <n v="0"/>
    <n v="0"/>
    <n v="0"/>
    <n v="0"/>
    <s v="South Richmond"/>
    <m/>
    <m/>
    <s v="Richmond"/>
    <m/>
    <x v="0"/>
  </r>
  <r>
    <s v="17/2779/NMA"/>
    <s v="NEW"/>
    <m/>
    <s v="HMP Latchmere House Church Road Ham TW10 5HH"/>
    <s v="Non Material Amendment to Planning Permission 17/2779/VRC  (Removal of condition U05665 - NS09 (Formally condition 9 - Lifetime Homes Standards) of Planning Permission 16/0523/VRC) Amendments to include internal amendments to revise housing mix in Latchm"/>
    <d v="2016-05-02T00:00:00"/>
    <d v="2019-03-01T00:00:00"/>
    <x v="0"/>
    <s v="Open Market"/>
    <n v="518534"/>
    <n v="171320"/>
    <m/>
    <n v="0"/>
    <n v="0"/>
    <n v="0"/>
    <n v="0"/>
    <m/>
    <m/>
    <m/>
    <n v="0"/>
    <m/>
    <n v="0"/>
    <n v="0"/>
    <n v="5"/>
    <n v="5"/>
    <n v="2"/>
    <m/>
    <m/>
    <n v="12"/>
    <m/>
    <n v="0"/>
    <n v="0"/>
    <n v="5"/>
    <n v="5"/>
    <n v="2"/>
    <n v="0"/>
    <n v="0"/>
    <n v="12"/>
    <s v="Y"/>
    <n v="12"/>
    <n v="0"/>
    <n v="0"/>
    <n v="0"/>
    <n v="0"/>
    <n v="0"/>
    <n v="0"/>
    <n v="0"/>
    <n v="0"/>
    <n v="0"/>
    <n v="0"/>
    <n v="0"/>
    <n v="0"/>
    <s v="Ham, Petersham and Richmond Riverside"/>
    <m/>
    <m/>
    <m/>
    <m/>
    <x v="0"/>
  </r>
  <r>
    <s v="17/2919/FUL"/>
    <s v="CON"/>
    <m/>
    <s v="2 Brookwood Avenue_x000a_Barnes_x000a_London_x000a_SW13 0LR"/>
    <s v="Reversion from 2 no. self-contained flats to a single dwelling house."/>
    <m/>
    <d v="2018-09-01T00:00:00"/>
    <x v="0"/>
    <s v="Open Market"/>
    <n v="521888"/>
    <n v="176163"/>
    <m/>
    <n v="1"/>
    <n v="0"/>
    <n v="0"/>
    <n v="1"/>
    <m/>
    <m/>
    <m/>
    <n v="2"/>
    <m/>
    <n v="0"/>
    <n v="0"/>
    <n v="0"/>
    <n v="0"/>
    <m/>
    <n v="1"/>
    <m/>
    <n v="1"/>
    <m/>
    <n v="-1"/>
    <n v="0"/>
    <n v="0"/>
    <n v="-1"/>
    <n v="0"/>
    <n v="1"/>
    <n v="0"/>
    <n v="-1"/>
    <m/>
    <n v="-1"/>
    <n v="0"/>
    <n v="0"/>
    <n v="0"/>
    <n v="0"/>
    <n v="0"/>
    <n v="0"/>
    <n v="0"/>
    <n v="0"/>
    <n v="0"/>
    <n v="0"/>
    <n v="0"/>
    <n v="0"/>
    <s v="Mortlake and Barnes Common"/>
    <m/>
    <m/>
    <m/>
    <m/>
    <x v="0"/>
  </r>
  <r>
    <s v="17/3061/FUL"/>
    <s v="CON"/>
    <m/>
    <s v="19 - 19A Warwick Road_x000a_Hampton Wick"/>
    <s v="Conversion of flats 19 and 19a Warwick Road into a single family dwelling. Replacement window on ground floor front elevation."/>
    <d v="2018-08-03T00:00:00"/>
    <d v="2018-11-01T00:00:00"/>
    <x v="0"/>
    <s v="Open Market"/>
    <n v="517294"/>
    <n v="169887"/>
    <m/>
    <n v="0"/>
    <n v="1"/>
    <n v="1"/>
    <n v="0"/>
    <m/>
    <m/>
    <m/>
    <n v="2"/>
    <m/>
    <n v="0"/>
    <n v="0"/>
    <n v="0"/>
    <n v="0"/>
    <n v="1"/>
    <m/>
    <m/>
    <n v="1"/>
    <m/>
    <n v="0"/>
    <n v="-1"/>
    <n v="-1"/>
    <n v="0"/>
    <n v="1"/>
    <n v="0"/>
    <n v="0"/>
    <n v="-1"/>
    <m/>
    <n v="-1"/>
    <n v="0"/>
    <n v="0"/>
    <n v="0"/>
    <n v="0"/>
    <n v="0"/>
    <n v="0"/>
    <n v="0"/>
    <n v="0"/>
    <n v="0"/>
    <n v="0"/>
    <n v="0"/>
    <n v="0"/>
    <s v="Hampton Wick"/>
    <m/>
    <s v="Hampton Wick"/>
    <m/>
    <m/>
    <x v="0"/>
  </r>
  <r>
    <s v="17/3504/FUL"/>
    <s v="MIX"/>
    <m/>
    <s v="Second Floor_x000d_57 - 58 George Street_x000d_Richmond"/>
    <s v="Erection of second floor rear extension to create a 2 bedroom, 3 person residential unit (use class C3)."/>
    <d v="2018-02-01T00:00:00"/>
    <d v="2018-11-09T00:00:00"/>
    <x v="0"/>
    <s v="Open Market"/>
    <n v="517851"/>
    <n v="174887"/>
    <m/>
    <n v="0"/>
    <n v="0"/>
    <n v="0"/>
    <n v="0"/>
    <m/>
    <m/>
    <m/>
    <n v="0"/>
    <m/>
    <n v="0"/>
    <n v="1"/>
    <n v="0"/>
    <n v="0"/>
    <m/>
    <m/>
    <m/>
    <n v="1"/>
    <m/>
    <n v="0"/>
    <n v="1"/>
    <n v="0"/>
    <n v="0"/>
    <n v="0"/>
    <n v="0"/>
    <n v="0"/>
    <n v="1"/>
    <m/>
    <n v="1"/>
    <n v="0"/>
    <n v="0"/>
    <n v="0"/>
    <n v="0"/>
    <n v="0"/>
    <n v="0"/>
    <n v="0"/>
    <n v="0"/>
    <n v="0"/>
    <n v="0"/>
    <n v="0"/>
    <n v="0"/>
    <s v="South Richmond"/>
    <m/>
    <m/>
    <s v="Richmond"/>
    <m/>
    <x v="0"/>
  </r>
  <r>
    <s v="17/3531/FUL"/>
    <s v="NEW"/>
    <m/>
    <s v="8 Sutherland Grove_x000a_Teddington_x000a_TW11 8RW"/>
    <s v="Alterations and extensions to no. 8 comprising hip to gable roof extension, demolition of existing shed/workshop to rear and erection of cycle and refuse stores to front garden.  _x000d_Erection of a two storey, three bedroom dwellinghouse. with associated har"/>
    <m/>
    <d v="2018-11-01T00:00:00"/>
    <x v="0"/>
    <s v="Open Market"/>
    <n v="515465"/>
    <n v="171212"/>
    <m/>
    <n v="0"/>
    <n v="0"/>
    <n v="0"/>
    <n v="0"/>
    <m/>
    <m/>
    <m/>
    <n v="0"/>
    <m/>
    <n v="0"/>
    <n v="0"/>
    <n v="1"/>
    <n v="0"/>
    <m/>
    <m/>
    <m/>
    <n v="1"/>
    <m/>
    <n v="0"/>
    <n v="0"/>
    <n v="1"/>
    <n v="0"/>
    <n v="0"/>
    <n v="0"/>
    <n v="0"/>
    <n v="1"/>
    <m/>
    <n v="1"/>
    <n v="0"/>
    <n v="0"/>
    <n v="0"/>
    <n v="0"/>
    <n v="0"/>
    <n v="0"/>
    <n v="0"/>
    <n v="0"/>
    <n v="0"/>
    <n v="0"/>
    <n v="0"/>
    <n v="0"/>
    <s v="Teddington"/>
    <m/>
    <m/>
    <m/>
    <m/>
    <x v="1"/>
  </r>
  <r>
    <s v="17/3651/ES191"/>
    <s v="CHU"/>
    <m/>
    <s v="11A St Johns Road_x000d_Hampton Wick_x000d_Kingston Upon Thames_x000d_KT1 4AN"/>
    <s v="Application to establish the use as C3."/>
    <m/>
    <d v="2018-08-01T00:00:00"/>
    <x v="0"/>
    <s v="Open Market"/>
    <n v="517496"/>
    <n v="169480"/>
    <m/>
    <n v="0"/>
    <n v="1"/>
    <n v="0"/>
    <n v="0"/>
    <m/>
    <m/>
    <m/>
    <n v="1"/>
    <m/>
    <n v="0"/>
    <n v="1"/>
    <n v="0"/>
    <n v="0"/>
    <m/>
    <m/>
    <m/>
    <n v="1"/>
    <m/>
    <n v="0"/>
    <n v="0"/>
    <n v="0"/>
    <n v="0"/>
    <n v="0"/>
    <n v="0"/>
    <n v="0"/>
    <n v="0"/>
    <m/>
    <n v="0"/>
    <n v="0"/>
    <n v="0"/>
    <n v="0"/>
    <n v="0"/>
    <n v="0"/>
    <n v="0"/>
    <n v="0"/>
    <n v="0"/>
    <n v="0"/>
    <n v="0"/>
    <n v="0"/>
    <n v="0"/>
    <s v="Hampton Wick"/>
    <m/>
    <s v="Hampton Wick"/>
    <m/>
    <m/>
    <x v="0"/>
  </r>
  <r>
    <s v="17/3748/FUL"/>
    <s v="EXT"/>
    <m/>
    <s v="101 Forsyth House_x000d_211 - 217 Lower Richmond Road_x000d_Richmond_x000d_TW9 4LN"/>
    <s v="Creation of 2 No. x 1 bedroom residential flats through a third floor extension and alterations to fenestration [revised description]."/>
    <d v="2018-04-17T00:00:00"/>
    <d v="2018-04-17T00:00:00"/>
    <x v="0"/>
    <s v="Open Market"/>
    <n v="519626"/>
    <n v="175791"/>
    <m/>
    <n v="0"/>
    <n v="0"/>
    <n v="0"/>
    <n v="0"/>
    <m/>
    <m/>
    <m/>
    <n v="0"/>
    <m/>
    <n v="2"/>
    <n v="0"/>
    <n v="0"/>
    <n v="0"/>
    <m/>
    <m/>
    <m/>
    <n v="2"/>
    <m/>
    <n v="2"/>
    <n v="0"/>
    <n v="0"/>
    <n v="0"/>
    <n v="0"/>
    <n v="0"/>
    <n v="0"/>
    <n v="2"/>
    <m/>
    <n v="2"/>
    <n v="0"/>
    <n v="0"/>
    <n v="0"/>
    <n v="0"/>
    <n v="0"/>
    <n v="0"/>
    <n v="0"/>
    <n v="0"/>
    <n v="0"/>
    <n v="0"/>
    <n v="0"/>
    <n v="0"/>
    <s v="North Richmond"/>
    <m/>
    <m/>
    <m/>
    <m/>
    <x v="0"/>
  </r>
  <r>
    <s v="17/4002/FUL"/>
    <s v="CON"/>
    <m/>
    <s v="228 Kingston Road_x000d_Teddington"/>
    <s v="Reversion of the existing premises (2 flats) back into a single family dwelling house involving construction of a new two storey rear extension, rear loft extension and alterations to the existing front dormer."/>
    <d v="2018-04-30T00:00:00"/>
    <d v="2018-10-01T00:00:00"/>
    <x v="0"/>
    <s v="Open Market"/>
    <n v="517027"/>
    <n v="170370"/>
    <m/>
    <n v="1"/>
    <n v="1"/>
    <n v="0"/>
    <n v="0"/>
    <m/>
    <m/>
    <m/>
    <n v="2"/>
    <m/>
    <n v="0"/>
    <n v="0"/>
    <n v="0"/>
    <n v="1"/>
    <m/>
    <m/>
    <m/>
    <n v="1"/>
    <m/>
    <n v="-1"/>
    <n v="-1"/>
    <n v="0"/>
    <n v="1"/>
    <n v="0"/>
    <n v="0"/>
    <n v="0"/>
    <n v="-1"/>
    <m/>
    <n v="-1"/>
    <n v="0"/>
    <n v="0"/>
    <n v="0"/>
    <n v="0"/>
    <n v="0"/>
    <n v="0"/>
    <n v="0"/>
    <n v="0"/>
    <n v="0"/>
    <n v="0"/>
    <n v="0"/>
    <n v="0"/>
    <s v="Hampton Wick"/>
    <m/>
    <m/>
    <m/>
    <m/>
    <x v="0"/>
  </r>
  <r>
    <s v="17/4166/FUL"/>
    <s v="NEW"/>
    <m/>
    <s v="37 Ferry Road_x000d_Barnes_x000d_London_x000d_SW13 9PP"/>
    <s v="Retrospective application for the retention of the dwelling in situ comprising a new single family dwelling including a basement level."/>
    <m/>
    <d v="2018-05-16T00:00:00"/>
    <x v="0"/>
    <s v="Open Market"/>
    <n v="522177"/>
    <n v="177100"/>
    <m/>
    <n v="0"/>
    <n v="0"/>
    <n v="0"/>
    <n v="0"/>
    <n v="1"/>
    <m/>
    <m/>
    <n v="1"/>
    <m/>
    <n v="0"/>
    <n v="0"/>
    <n v="0"/>
    <n v="0"/>
    <n v="1"/>
    <m/>
    <m/>
    <n v="1"/>
    <m/>
    <n v="0"/>
    <n v="0"/>
    <n v="0"/>
    <n v="0"/>
    <n v="0"/>
    <n v="0"/>
    <n v="0"/>
    <n v="0"/>
    <m/>
    <n v="0"/>
    <n v="0"/>
    <n v="0"/>
    <n v="0"/>
    <n v="0"/>
    <n v="0"/>
    <n v="0"/>
    <n v="0"/>
    <n v="0"/>
    <n v="0"/>
    <n v="0"/>
    <n v="0"/>
    <n v="0"/>
    <s v="Barnes"/>
    <m/>
    <m/>
    <m/>
    <m/>
    <x v="0"/>
  </r>
  <r>
    <s v="17/4605/GPD15"/>
    <s v="CHU"/>
    <s v="PA"/>
    <s v="10 Church Lane_x000d_Teddington_x000d_TW11 8PA"/>
    <s v="Change of use from offices (B1a) to residential (C3) to provide 1 x 3 bed dwellinghouse."/>
    <m/>
    <d v="2018-08-22T00:00:00"/>
    <x v="0"/>
    <s v="Open Market"/>
    <n v="515785"/>
    <n v="171101"/>
    <m/>
    <n v="0"/>
    <n v="0"/>
    <n v="0"/>
    <n v="0"/>
    <m/>
    <m/>
    <m/>
    <n v="0"/>
    <m/>
    <n v="0"/>
    <n v="0"/>
    <n v="1"/>
    <n v="0"/>
    <m/>
    <m/>
    <m/>
    <n v="1"/>
    <m/>
    <n v="0"/>
    <n v="0"/>
    <n v="1"/>
    <n v="0"/>
    <n v="0"/>
    <n v="0"/>
    <n v="0"/>
    <n v="1"/>
    <m/>
    <n v="1"/>
    <n v="0"/>
    <n v="0"/>
    <n v="0"/>
    <n v="0"/>
    <n v="0"/>
    <n v="0"/>
    <n v="0"/>
    <n v="0"/>
    <n v="0"/>
    <n v="0"/>
    <n v="0"/>
    <n v="0"/>
    <s v="Teddington"/>
    <m/>
    <m/>
    <s v="Teddington"/>
    <m/>
    <x v="0"/>
  </r>
  <r>
    <s v="18/0049/FUL"/>
    <s v="CHU"/>
    <m/>
    <s v="269 - 271 Sandycombe Road_x000d_Richmond"/>
    <s v="Change of use to Bed and Breakfast accommodation (use class C1 - Hotel/Guesthouse)."/>
    <m/>
    <d v="2018-05-01T00:00:00"/>
    <x v="0"/>
    <s v="Open Market"/>
    <n v="519113"/>
    <n v="176398"/>
    <m/>
    <n v="0"/>
    <n v="0"/>
    <n v="0"/>
    <n v="0"/>
    <m/>
    <n v="1"/>
    <m/>
    <n v="1"/>
    <m/>
    <n v="0"/>
    <n v="0"/>
    <n v="0"/>
    <n v="0"/>
    <m/>
    <m/>
    <m/>
    <n v="0"/>
    <m/>
    <n v="0"/>
    <n v="0"/>
    <n v="0"/>
    <n v="0"/>
    <n v="0"/>
    <n v="-1"/>
    <n v="0"/>
    <n v="-1"/>
    <m/>
    <n v="-1"/>
    <n v="0"/>
    <n v="0"/>
    <n v="0"/>
    <n v="0"/>
    <n v="0"/>
    <n v="0"/>
    <n v="0"/>
    <n v="0"/>
    <n v="0"/>
    <n v="0"/>
    <n v="0"/>
    <n v="0"/>
    <s v="Kew"/>
    <m/>
    <m/>
    <m/>
    <m/>
    <x v="0"/>
  </r>
  <r>
    <s v="18/0197/FUL"/>
    <s v="CON"/>
    <m/>
    <s v="32 Curtis Road_x000a_Whitton_x000a_TW4 5PT"/>
    <s v="Reversion of the property from 2 no. flats back into one single 3 bed residential dwelling."/>
    <m/>
    <d v="2019-02-20T00:00:00"/>
    <x v="0"/>
    <s v="Open Market"/>
    <n v="512524"/>
    <n v="173600"/>
    <m/>
    <n v="2"/>
    <n v="0"/>
    <n v="0"/>
    <n v="0"/>
    <m/>
    <m/>
    <m/>
    <n v="2"/>
    <m/>
    <n v="0"/>
    <n v="0"/>
    <n v="1"/>
    <n v="0"/>
    <m/>
    <m/>
    <m/>
    <n v="1"/>
    <m/>
    <n v="-2"/>
    <n v="0"/>
    <n v="1"/>
    <n v="0"/>
    <n v="0"/>
    <n v="0"/>
    <n v="0"/>
    <n v="-1"/>
    <m/>
    <n v="-1"/>
    <n v="0"/>
    <n v="0"/>
    <n v="0"/>
    <n v="0"/>
    <n v="0"/>
    <n v="0"/>
    <n v="0"/>
    <n v="0"/>
    <n v="0"/>
    <n v="0"/>
    <n v="0"/>
    <n v="0"/>
    <s v="Heathfield"/>
    <m/>
    <m/>
    <m/>
    <m/>
    <x v="0"/>
  </r>
  <r>
    <s v="18/0420/FUL"/>
    <s v="CON"/>
    <m/>
    <s v="43 - 43A Lonsdale Road Barnes"/>
    <s v="Demolition of a single storey side extension, erection of a single-storey link extension between main dwelling (43) and detached coach house (43A) to facilitate the creation of one single family dwelling (Use Class C3)."/>
    <m/>
    <d v="2018-11-01T00:00:00"/>
    <x v="0"/>
    <s v="Open Market"/>
    <n v="522363"/>
    <n v="177795"/>
    <m/>
    <n v="1"/>
    <n v="0"/>
    <n v="0"/>
    <n v="0"/>
    <n v="1"/>
    <m/>
    <m/>
    <n v="2"/>
    <m/>
    <n v="0"/>
    <n v="0"/>
    <n v="0"/>
    <n v="0"/>
    <m/>
    <n v="1"/>
    <m/>
    <n v="1"/>
    <m/>
    <n v="-1"/>
    <n v="0"/>
    <n v="0"/>
    <n v="0"/>
    <n v="-1"/>
    <n v="1"/>
    <n v="0"/>
    <n v="-1"/>
    <m/>
    <n v="-1"/>
    <n v="0"/>
    <n v="0"/>
    <n v="0"/>
    <n v="0"/>
    <n v="0"/>
    <n v="0"/>
    <n v="0"/>
    <n v="0"/>
    <n v="0"/>
    <n v="0"/>
    <n v="0"/>
    <n v="0"/>
    <s v="Barnes"/>
    <m/>
    <m/>
    <m/>
    <m/>
    <x v="0"/>
  </r>
  <r>
    <s v="18/0774/ES191"/>
    <s v="CON"/>
    <m/>
    <s v="7A Kneller Road_x000d_Twickenham_x000d_TW2 7DF"/>
    <s v="Application to establish the use of No.7A Kneller Road as a separate self-contained dwelling unit."/>
    <d v="2018-05-14T00:00:00"/>
    <d v="2018-05-14T00:00:00"/>
    <x v="0"/>
    <s v="Open Market"/>
    <n v="515074"/>
    <n v="174033"/>
    <m/>
    <n v="0"/>
    <n v="0"/>
    <n v="0"/>
    <n v="1"/>
    <m/>
    <m/>
    <m/>
    <n v="1"/>
    <m/>
    <n v="1"/>
    <n v="0"/>
    <n v="1"/>
    <n v="0"/>
    <m/>
    <m/>
    <m/>
    <n v="2"/>
    <m/>
    <n v="1"/>
    <n v="0"/>
    <n v="1"/>
    <n v="-1"/>
    <n v="0"/>
    <n v="0"/>
    <n v="0"/>
    <n v="1"/>
    <m/>
    <n v="1"/>
    <n v="0"/>
    <n v="0"/>
    <n v="0"/>
    <n v="0"/>
    <n v="0"/>
    <n v="0"/>
    <n v="0"/>
    <n v="0"/>
    <n v="0"/>
    <n v="0"/>
    <n v="0"/>
    <n v="0"/>
    <s v="Whitton"/>
    <m/>
    <m/>
    <m/>
    <m/>
    <x v="0"/>
  </r>
  <r>
    <s v="18/1174/FUL"/>
    <s v="EXT"/>
    <m/>
    <s v="139 Waldegrave Road_x000a_Teddington_x000a_TW11 8LL"/>
    <s v="Enlargement of existing basement level and new windows and doors to facilitate the conversion of the basement to form an independent 1 x 1B2P self-contained flat."/>
    <m/>
    <d v="2019-03-30T00:00:00"/>
    <x v="0"/>
    <s v="Open Market"/>
    <n v="515678"/>
    <n v="171479"/>
    <m/>
    <n v="0"/>
    <n v="0"/>
    <n v="0"/>
    <n v="0"/>
    <m/>
    <m/>
    <m/>
    <n v="0"/>
    <m/>
    <n v="1"/>
    <n v="0"/>
    <n v="0"/>
    <n v="0"/>
    <m/>
    <m/>
    <m/>
    <n v="1"/>
    <m/>
    <n v="1"/>
    <n v="0"/>
    <n v="0"/>
    <n v="0"/>
    <n v="0"/>
    <n v="0"/>
    <n v="0"/>
    <n v="1"/>
    <m/>
    <n v="1"/>
    <n v="0"/>
    <n v="0"/>
    <n v="0"/>
    <n v="0"/>
    <n v="0"/>
    <n v="0"/>
    <n v="0"/>
    <n v="0"/>
    <n v="0"/>
    <n v="0"/>
    <n v="0"/>
    <n v="0"/>
    <s v="Teddington"/>
    <m/>
    <m/>
    <m/>
    <m/>
    <x v="0"/>
  </r>
  <r>
    <s v="18/1301/FUL"/>
    <s v="CON"/>
    <m/>
    <s v="9 Gloucester Road Teddington TW11 0NS"/>
    <s v="Conversion of existing basement 1no. 3 bedroom flat to 2no. one bedroom flats. Demolition of existing garage. associated hard and soft landscaping, parking and cycle parking. Alterations to fenestration including the installation of roof lights. Raising"/>
    <m/>
    <d v="2019-03-30T00:00:00"/>
    <x v="0"/>
    <s v="Open Market"/>
    <n v="515214"/>
    <n v="171265"/>
    <m/>
    <n v="0"/>
    <n v="0"/>
    <n v="1"/>
    <n v="0"/>
    <m/>
    <m/>
    <m/>
    <n v="1"/>
    <m/>
    <n v="2"/>
    <n v="0"/>
    <n v="0"/>
    <n v="0"/>
    <m/>
    <m/>
    <m/>
    <n v="2"/>
    <m/>
    <n v="2"/>
    <n v="0"/>
    <n v="-1"/>
    <n v="0"/>
    <n v="0"/>
    <n v="0"/>
    <n v="0"/>
    <n v="1"/>
    <m/>
    <n v="1"/>
    <n v="0"/>
    <n v="0"/>
    <n v="0"/>
    <n v="0"/>
    <n v="0"/>
    <n v="0"/>
    <n v="0"/>
    <n v="0"/>
    <n v="0"/>
    <n v="0"/>
    <n v="0"/>
    <n v="0"/>
    <s v="Fulwell and Hampton Hill"/>
    <m/>
    <m/>
    <m/>
    <m/>
    <x v="0"/>
  </r>
  <r>
    <s v="18/1374/FUL"/>
    <s v="CON"/>
    <m/>
    <s v="19 - 20 Courtlands Avenue_x000d_Kew"/>
    <s v="Conversion of 2 maisonettes into 1 family dwellinghouse including associated external and internal alterations."/>
    <m/>
    <d v="2019-03-01T00:00:00"/>
    <x v="0"/>
    <s v="Open Market"/>
    <n v="512853"/>
    <n v="170579"/>
    <m/>
    <n v="0"/>
    <n v="2"/>
    <n v="0"/>
    <n v="0"/>
    <m/>
    <m/>
    <m/>
    <n v="2"/>
    <m/>
    <n v="0"/>
    <n v="0"/>
    <n v="1"/>
    <n v="0"/>
    <m/>
    <m/>
    <m/>
    <n v="1"/>
    <m/>
    <n v="0"/>
    <n v="-2"/>
    <n v="1"/>
    <n v="0"/>
    <n v="0"/>
    <n v="0"/>
    <n v="0"/>
    <n v="-1"/>
    <m/>
    <n v="-1"/>
    <n v="0"/>
    <n v="0"/>
    <n v="0"/>
    <n v="0"/>
    <n v="0"/>
    <n v="0"/>
    <n v="0"/>
    <n v="0"/>
    <n v="0"/>
    <n v="0"/>
    <n v="0"/>
    <n v="0"/>
    <s v="Hampton North"/>
    <m/>
    <m/>
    <m/>
    <m/>
    <x v="0"/>
  </r>
  <r>
    <s v="18/1549/FUL"/>
    <s v="CHU"/>
    <m/>
    <s v="102 Oldfield Road_x000d_Hampton_x000d_TW12 2HR"/>
    <s v="Part change of use and part reversion from 1x2 bed ground floor flat and 1x3 bed (HMO) on first floor flat to a 1x4 bed (6 persons) dwellinghouse (retrospective). Proposed works would include the removal of 3 parking spaces to the front with 2 parking sp"/>
    <m/>
    <d v="2018-11-14T00:00:00"/>
    <x v="0"/>
    <s v="Open Market"/>
    <n v="512973"/>
    <n v="169743"/>
    <m/>
    <n v="0"/>
    <n v="1"/>
    <n v="1"/>
    <n v="0"/>
    <m/>
    <m/>
    <m/>
    <n v="2"/>
    <m/>
    <n v="0"/>
    <n v="0"/>
    <n v="0"/>
    <n v="1"/>
    <m/>
    <m/>
    <m/>
    <n v="1"/>
    <m/>
    <n v="0"/>
    <n v="-1"/>
    <n v="-1"/>
    <n v="1"/>
    <n v="0"/>
    <n v="0"/>
    <n v="0"/>
    <n v="-1"/>
    <m/>
    <n v="-1"/>
    <n v="0"/>
    <n v="0"/>
    <n v="0"/>
    <n v="0"/>
    <n v="0"/>
    <n v="0"/>
    <n v="0"/>
    <n v="0"/>
    <n v="0"/>
    <n v="0"/>
    <n v="0"/>
    <n v="0"/>
    <s v="Hampton"/>
    <m/>
    <m/>
    <m/>
    <m/>
    <x v="0"/>
  </r>
  <r>
    <s v="18/2847/ES191"/>
    <s v="CHU"/>
    <m/>
    <s v="4 Waldeck Road_x000d_Mortlake_x000d_London_x000d_SW14 7HF"/>
    <s v="Establish use as single dwellinghouse (C3 residential use)"/>
    <m/>
    <d v="2018-10-02T00:00:00"/>
    <x v="0"/>
    <s v="Open Market"/>
    <n v="520298"/>
    <n v="175843"/>
    <m/>
    <n v="0"/>
    <n v="0"/>
    <n v="0"/>
    <n v="0"/>
    <m/>
    <m/>
    <m/>
    <n v="0"/>
    <m/>
    <n v="0"/>
    <n v="1"/>
    <n v="0"/>
    <n v="0"/>
    <m/>
    <m/>
    <m/>
    <n v="1"/>
    <m/>
    <n v="0"/>
    <n v="1"/>
    <n v="0"/>
    <n v="0"/>
    <n v="0"/>
    <n v="0"/>
    <n v="0"/>
    <n v="1"/>
    <m/>
    <n v="1"/>
    <n v="0"/>
    <n v="0"/>
    <n v="0"/>
    <n v="0"/>
    <n v="0"/>
    <n v="0"/>
    <n v="0"/>
    <n v="0"/>
    <n v="0"/>
    <n v="0"/>
    <n v="0"/>
    <n v="0"/>
    <s v="Mortlake and Barnes Common"/>
    <m/>
    <s v="Mortlake"/>
    <m/>
    <m/>
    <x v="0"/>
  </r>
  <r>
    <s v="18/3117/FUL"/>
    <s v="CHU"/>
    <m/>
    <s v="Courtview House_x000d_Hampton Court Road_x000d_Hampton"/>
    <s v="Change of use of the basement and second floor from office (Use Class B1) to two two-bedroom residential dwellings (Use Class C3)."/>
    <m/>
    <d v="2019-01-24T00:00:00"/>
    <x v="0"/>
    <s v="Open Market"/>
    <n v="515641"/>
    <n v="168852"/>
    <m/>
    <n v="0"/>
    <n v="0"/>
    <n v="0"/>
    <n v="0"/>
    <m/>
    <m/>
    <m/>
    <n v="0"/>
    <m/>
    <n v="0"/>
    <n v="2"/>
    <n v="0"/>
    <n v="0"/>
    <m/>
    <m/>
    <m/>
    <n v="2"/>
    <m/>
    <n v="0"/>
    <n v="2"/>
    <n v="0"/>
    <n v="0"/>
    <n v="0"/>
    <n v="0"/>
    <n v="0"/>
    <n v="2"/>
    <m/>
    <n v="2"/>
    <n v="0"/>
    <n v="0"/>
    <n v="0"/>
    <n v="0"/>
    <n v="0"/>
    <n v="0"/>
    <n v="0"/>
    <n v="0"/>
    <n v="0"/>
    <n v="0"/>
    <n v="0"/>
    <n v="0"/>
    <s v="Hampton"/>
    <m/>
    <m/>
    <m/>
    <m/>
    <x v="0"/>
  </r>
  <r>
    <s v="18/3940/GPD13"/>
    <s v="CHU"/>
    <s v="PA"/>
    <s v="138 Kneller Road_x000d_Twickenham_x000d_TW2 7DX"/>
    <s v="Change of use from betting shop (sui generis) to C3 (residential) use to provide 2 x 1 bedroom flats."/>
    <m/>
    <d v="2019-02-22T00:00:00"/>
    <x v="0"/>
    <s v="Open Market"/>
    <n v="514454"/>
    <n v="174275"/>
    <m/>
    <n v="0"/>
    <n v="0"/>
    <n v="0"/>
    <n v="0"/>
    <m/>
    <m/>
    <m/>
    <n v="0"/>
    <m/>
    <n v="2"/>
    <n v="0"/>
    <n v="0"/>
    <n v="0"/>
    <m/>
    <m/>
    <m/>
    <n v="2"/>
    <m/>
    <n v="2"/>
    <n v="0"/>
    <n v="0"/>
    <n v="0"/>
    <n v="0"/>
    <n v="0"/>
    <n v="0"/>
    <n v="2"/>
    <m/>
    <n v="2"/>
    <n v="0"/>
    <n v="0"/>
    <n v="0"/>
    <n v="0"/>
    <n v="0"/>
    <n v="0"/>
    <n v="0"/>
    <n v="0"/>
    <n v="0"/>
    <n v="0"/>
    <n v="0"/>
    <n v="0"/>
    <s v="Whitton"/>
    <m/>
    <m/>
    <m/>
    <m/>
    <x v="0"/>
  </r>
  <r>
    <s v="18/4092/FUL"/>
    <s v="CHU"/>
    <m/>
    <s v="Third Floor_x000d_49 - 53 York Street_x000d_Twickenham_x000d_TW1 3LP"/>
    <s v="Change of use of the third floor from residential (use class C3) to office (B1a), the provision of cycle parking, car parking alterations and associated works."/>
    <m/>
    <d v="2019-03-29T00:00:00"/>
    <x v="0"/>
    <s v="Open Market"/>
    <n v="516416"/>
    <n v="173450"/>
    <m/>
    <n v="1"/>
    <n v="1"/>
    <n v="0"/>
    <n v="0"/>
    <m/>
    <m/>
    <m/>
    <n v="2"/>
    <m/>
    <n v="0"/>
    <n v="0"/>
    <n v="0"/>
    <n v="0"/>
    <m/>
    <m/>
    <m/>
    <n v="0"/>
    <m/>
    <n v="-1"/>
    <n v="-1"/>
    <n v="0"/>
    <n v="0"/>
    <n v="0"/>
    <n v="0"/>
    <n v="0"/>
    <n v="-2"/>
    <m/>
    <n v="-2"/>
    <n v="0"/>
    <n v="0"/>
    <n v="0"/>
    <n v="0"/>
    <n v="0"/>
    <n v="0"/>
    <n v="0"/>
    <n v="0"/>
    <n v="0"/>
    <n v="0"/>
    <n v="0"/>
    <n v="0"/>
    <s v="Twickenham Riverside"/>
    <m/>
    <m/>
    <s v="Twickenham"/>
    <m/>
    <x v="0"/>
  </r>
  <r>
    <s v="19/0079/FUL"/>
    <s v="CHU"/>
    <m/>
    <s v="35A Westmoreland Road_x000d_Barnes_x000d_London_x000d_SW13 9RZ"/>
    <s v="Retrospective change of use from dwellinghouse (C3 use) to mixed dwellinghouse (C3 use) and children's day care (D1 use)."/>
    <m/>
    <d v="2019-03-07T00:00:00"/>
    <x v="0"/>
    <s v="Open Market"/>
    <n v="522111"/>
    <n v="176797"/>
    <m/>
    <n v="0"/>
    <n v="0"/>
    <n v="0"/>
    <n v="0"/>
    <n v="1"/>
    <m/>
    <m/>
    <n v="1"/>
    <m/>
    <n v="1"/>
    <n v="0"/>
    <n v="0"/>
    <n v="0"/>
    <m/>
    <m/>
    <m/>
    <n v="1"/>
    <m/>
    <n v="1"/>
    <n v="0"/>
    <n v="0"/>
    <n v="0"/>
    <n v="-1"/>
    <n v="0"/>
    <n v="0"/>
    <n v="0"/>
    <m/>
    <n v="0"/>
    <n v="0"/>
    <n v="0"/>
    <n v="0"/>
    <n v="0"/>
    <n v="0"/>
    <n v="0"/>
    <n v="0"/>
    <n v="0"/>
    <n v="0"/>
    <n v="0"/>
    <n v="0"/>
    <n v="0"/>
    <s v="Barnes"/>
    <m/>
    <m/>
    <m/>
    <m/>
    <x v="0"/>
  </r>
  <r>
    <s v="07/3348/FUL"/>
    <s v="NEW"/>
    <m/>
    <s v="289 Petersham Road_x000a_Richmond_x000a_Surrey_x000a_TW10 7DA"/>
    <s v="Demolition of existing house and outbuildings, construction of 3 houses."/>
    <d v="2012-08-17T00:00:00"/>
    <m/>
    <x v="1"/>
    <s v="Open Market"/>
    <n v="517856"/>
    <n v="172364"/>
    <m/>
    <n v="0"/>
    <n v="0"/>
    <n v="0"/>
    <n v="1"/>
    <m/>
    <m/>
    <m/>
    <n v="1"/>
    <m/>
    <n v="1"/>
    <n v="0"/>
    <n v="0"/>
    <n v="2"/>
    <m/>
    <m/>
    <m/>
    <n v="3"/>
    <m/>
    <n v="1"/>
    <n v="0"/>
    <n v="0"/>
    <n v="1"/>
    <n v="0"/>
    <n v="0"/>
    <n v="0"/>
    <n v="2"/>
    <m/>
    <n v="0"/>
    <n v="0"/>
    <n v="0"/>
    <n v="0"/>
    <n v="0"/>
    <n v="0"/>
    <n v="0"/>
    <n v="0"/>
    <n v="0"/>
    <n v="0"/>
    <n v="0"/>
    <n v="0"/>
    <n v="0"/>
    <s v="Ham, Petersham and Richmond Riverside"/>
    <m/>
    <m/>
    <m/>
    <m/>
    <x v="0"/>
  </r>
  <r>
    <s v="07/3512/FUL"/>
    <s v="NEW"/>
    <m/>
    <s v="64 Ormond Avenue Hampton TW12 2RX"/>
    <s v="Demolition of an existing bungalow and construction of two new residential units. Separate entrance will be provided to both dwellings. The developments two main levels: above lower ground and a built out roof area underneath a pitch roof."/>
    <d v="2011-01-25T00:00:00"/>
    <m/>
    <x v="1"/>
    <s v="Open Market"/>
    <n v="513713"/>
    <n v="169858"/>
    <m/>
    <n v="0"/>
    <n v="0"/>
    <n v="1"/>
    <n v="0"/>
    <m/>
    <m/>
    <m/>
    <n v="1"/>
    <m/>
    <n v="1"/>
    <n v="0"/>
    <n v="0"/>
    <n v="1"/>
    <m/>
    <m/>
    <m/>
    <n v="2"/>
    <m/>
    <n v="1"/>
    <n v="0"/>
    <n v="-1"/>
    <n v="1"/>
    <n v="0"/>
    <n v="0"/>
    <n v="0"/>
    <n v="1"/>
    <m/>
    <n v="0"/>
    <n v="0"/>
    <n v="0"/>
    <n v="0"/>
    <n v="0"/>
    <n v="0"/>
    <n v="0"/>
    <n v="0"/>
    <n v="0"/>
    <n v="0"/>
    <n v="0"/>
    <n v="0"/>
    <n v="0"/>
    <s v="Hampton"/>
    <m/>
    <m/>
    <m/>
    <m/>
    <x v="0"/>
  </r>
  <r>
    <s v="08/1760/EXT"/>
    <s v="NEW"/>
    <m/>
    <s v="St Pauls School_x000a_Lonsdale Road_x000a_Barnes_x000a_London_x000a_SW13 9JT"/>
    <s v="Application for a new planning permission to replace the extant planning permission 08/1760/OUT: 'Demolition of most of existing School buildings. Outline permission for the refurbishment of the sports hall and construction of a maximum of 36,090m2 floor"/>
    <d v="2011-10-01T00:00:00"/>
    <m/>
    <x v="1"/>
    <s v="Open Market"/>
    <n v="522437"/>
    <n v="178040"/>
    <n v="2"/>
    <n v="6"/>
    <n v="2"/>
    <n v="4"/>
    <n v="2"/>
    <m/>
    <m/>
    <m/>
    <n v="16"/>
    <n v="4"/>
    <n v="3"/>
    <n v="5"/>
    <n v="6"/>
    <n v="0"/>
    <m/>
    <m/>
    <m/>
    <n v="18"/>
    <n v="2"/>
    <n v="-3"/>
    <n v="3"/>
    <n v="2"/>
    <n v="-2"/>
    <n v="0"/>
    <n v="0"/>
    <n v="0"/>
    <n v="2"/>
    <m/>
    <n v="0"/>
    <n v="2"/>
    <n v="0"/>
    <n v="0"/>
    <n v="0"/>
    <n v="0"/>
    <n v="0"/>
    <n v="0"/>
    <n v="0"/>
    <n v="0"/>
    <n v="0"/>
    <n v="0"/>
    <n v="0"/>
    <s v="Barnes"/>
    <m/>
    <m/>
    <m/>
    <s v="Thames Policy Area"/>
    <x v="0"/>
  </r>
  <r>
    <s v="10/0312/FUL"/>
    <s v="NEW"/>
    <m/>
    <s v="72 Stanley Road_x000d_Teddington"/>
    <s v="Construction of three bedroom house and associated landscaping"/>
    <d v="2013-06-15T00:00:00"/>
    <m/>
    <x v="1"/>
    <s v="Open Market"/>
    <n v="515372"/>
    <n v="171266"/>
    <m/>
    <n v="0"/>
    <n v="0"/>
    <n v="0"/>
    <n v="0"/>
    <m/>
    <m/>
    <m/>
    <n v="0"/>
    <m/>
    <n v="0"/>
    <n v="0"/>
    <n v="1"/>
    <n v="0"/>
    <m/>
    <m/>
    <m/>
    <n v="1"/>
    <m/>
    <n v="0"/>
    <n v="0"/>
    <n v="1"/>
    <n v="0"/>
    <n v="0"/>
    <n v="0"/>
    <n v="0"/>
    <n v="1"/>
    <m/>
    <n v="0"/>
    <n v="1"/>
    <n v="0"/>
    <n v="0"/>
    <n v="0"/>
    <n v="0"/>
    <n v="0"/>
    <n v="0"/>
    <n v="0"/>
    <n v="0"/>
    <n v="0"/>
    <n v="0"/>
    <n v="0"/>
    <s v="Teddington"/>
    <m/>
    <m/>
    <m/>
    <m/>
    <x v="0"/>
  </r>
  <r>
    <s v="11/0468/PS192"/>
    <s v="NEW"/>
    <m/>
    <s v="Becketts Wharf And Osbourne House_x000a_Becketts Place_x000a_Hampton Wick"/>
    <s v="Continuing construction of block of 11 flats on site of Osbourne House under permission 07/2991/FUL after 28/02/2011 (when the permission would otherwise have expired) will be lawful."/>
    <d v="2011-03-07T00:00:00"/>
    <m/>
    <x v="1"/>
    <s v="Open Market"/>
    <n v="517650"/>
    <n v="169624"/>
    <m/>
    <n v="0"/>
    <n v="0"/>
    <n v="0"/>
    <n v="0"/>
    <m/>
    <m/>
    <m/>
    <n v="0"/>
    <m/>
    <n v="4"/>
    <n v="7"/>
    <n v="0"/>
    <n v="0"/>
    <m/>
    <m/>
    <m/>
    <n v="11"/>
    <m/>
    <n v="4"/>
    <n v="7"/>
    <n v="0"/>
    <n v="0"/>
    <n v="0"/>
    <n v="0"/>
    <n v="0"/>
    <n v="11"/>
    <m/>
    <n v="0"/>
    <n v="0"/>
    <n v="11"/>
    <n v="0"/>
    <n v="0"/>
    <n v="0"/>
    <n v="0"/>
    <s v="Y"/>
    <n v="0"/>
    <n v="0"/>
    <n v="0"/>
    <n v="0"/>
    <n v="0"/>
    <s v="Hampton Wick"/>
    <m/>
    <s v="Hampton Wick"/>
    <m/>
    <s v="Thames Policy Area"/>
    <x v="0"/>
  </r>
  <r>
    <s v="11/1443/FUL"/>
    <s v="NEW"/>
    <m/>
    <s v="Twickenham Railway Station London Road Twickenham TW1 1BD"/>
    <s v="Demolition of existing station building and access gantries to the platforms and a phased redevelopment to provide; _x000d_1. Removal of existing footbridge structures, adjustment of existing platform canopies and rebuilding of a section of the London Road wal"/>
    <d v="2015-03-14T00:00:00"/>
    <m/>
    <x v="1"/>
    <s v="Open Market"/>
    <n v="516095"/>
    <n v="173690"/>
    <m/>
    <n v="0"/>
    <n v="0"/>
    <n v="0"/>
    <n v="0"/>
    <m/>
    <m/>
    <m/>
    <n v="0"/>
    <m/>
    <n v="24"/>
    <n v="79"/>
    <n v="12"/>
    <n v="0"/>
    <m/>
    <m/>
    <m/>
    <n v="115"/>
    <m/>
    <n v="24"/>
    <n v="79"/>
    <n v="12"/>
    <n v="0"/>
    <n v="0"/>
    <n v="0"/>
    <n v="0"/>
    <n v="115"/>
    <m/>
    <n v="0"/>
    <n v="101"/>
    <n v="24"/>
    <n v="0"/>
    <n v="0"/>
    <n v="0"/>
    <n v="0"/>
    <s v="Y"/>
    <n v="0"/>
    <n v="0"/>
    <n v="0"/>
    <n v="0"/>
    <n v="0"/>
    <s v="St. Margarets and North Twickenham"/>
    <m/>
    <m/>
    <s v="Twickenham"/>
    <m/>
    <x v="0"/>
  </r>
  <r>
    <s v="13/1327/FUL"/>
    <s v="CHU"/>
    <m/>
    <s v="Doughty House And Doughty Cottage_x000a_142 - 142A Richmond Hill_x000a_Richmond"/>
    <s v="Reversion of Doughty House and Doughty Cottage, change of use from D1 gallery to a single family dwelling. New conservatory with basement below; underground car parking beneath the upper garden and linked to Doughty House; part re-construction of rear el"/>
    <d v="2016-08-19T00:00:00"/>
    <m/>
    <x v="1"/>
    <s v="Open Market"/>
    <n v="518397"/>
    <n v="173968"/>
    <m/>
    <n v="0"/>
    <n v="0"/>
    <n v="0"/>
    <n v="2"/>
    <m/>
    <m/>
    <m/>
    <n v="2"/>
    <m/>
    <n v="0"/>
    <n v="0"/>
    <n v="0"/>
    <n v="1"/>
    <m/>
    <m/>
    <m/>
    <n v="1"/>
    <m/>
    <n v="0"/>
    <n v="0"/>
    <n v="0"/>
    <n v="-1"/>
    <n v="0"/>
    <n v="0"/>
    <n v="0"/>
    <n v="-1"/>
    <m/>
    <n v="0"/>
    <n v="0"/>
    <n v="0"/>
    <n v="0"/>
    <n v="0"/>
    <n v="0"/>
    <n v="0"/>
    <n v="0"/>
    <n v="0"/>
    <n v="0"/>
    <n v="0"/>
    <n v="0"/>
    <n v="0"/>
    <s v="Ham, Petersham and Richmond Riverside"/>
    <m/>
    <m/>
    <m/>
    <s v="Thames Policy Area"/>
    <x v="0"/>
  </r>
  <r>
    <s v="13/3913/P3JPA"/>
    <s v="CHU"/>
    <s v="PA"/>
    <s v="28 Barnes Avenue Barnes SW13 9AB"/>
    <s v="Change of use from B1(a) office to C3 residential."/>
    <d v="2015-07-01T00:00:00"/>
    <m/>
    <x v="1"/>
    <s v="Open Market"/>
    <n v="522336"/>
    <n v="177503"/>
    <m/>
    <n v="0"/>
    <n v="0"/>
    <n v="0"/>
    <n v="0"/>
    <m/>
    <m/>
    <m/>
    <n v="0"/>
    <m/>
    <n v="0"/>
    <n v="0"/>
    <n v="1"/>
    <n v="0"/>
    <m/>
    <m/>
    <m/>
    <n v="1"/>
    <m/>
    <n v="0"/>
    <n v="0"/>
    <n v="1"/>
    <n v="0"/>
    <n v="0"/>
    <n v="0"/>
    <n v="0"/>
    <n v="1"/>
    <m/>
    <n v="0"/>
    <n v="1"/>
    <n v="0"/>
    <n v="0"/>
    <n v="0"/>
    <n v="0"/>
    <n v="0"/>
    <n v="0"/>
    <n v="0"/>
    <n v="0"/>
    <n v="0"/>
    <n v="0"/>
    <n v="0"/>
    <s v="Barnes"/>
    <m/>
    <m/>
    <m/>
    <m/>
    <x v="0"/>
  </r>
  <r>
    <s v="14/1683/FUL"/>
    <s v="NEW"/>
    <m/>
    <s v="14 St Leonards Road East Sheen SW14 7LY"/>
    <s v="Demolition of mechanic workshop and construction of a new two storey building comprising a two bedroom maisonette at first floor and roof level and ground floor office (revised description)."/>
    <d v="2018-09-01T00:00:00"/>
    <m/>
    <x v="1"/>
    <s v="Open Market"/>
    <n v="520452"/>
    <n v="175621"/>
    <m/>
    <n v="0"/>
    <n v="0"/>
    <n v="0"/>
    <n v="0"/>
    <m/>
    <m/>
    <m/>
    <n v="0"/>
    <m/>
    <n v="0"/>
    <n v="1"/>
    <n v="0"/>
    <n v="0"/>
    <m/>
    <m/>
    <m/>
    <n v="1"/>
    <m/>
    <n v="0"/>
    <n v="1"/>
    <n v="0"/>
    <n v="0"/>
    <n v="0"/>
    <n v="0"/>
    <n v="0"/>
    <n v="1"/>
    <m/>
    <n v="0"/>
    <n v="0"/>
    <n v="1"/>
    <n v="0"/>
    <n v="0"/>
    <n v="0"/>
    <n v="0"/>
    <s v="Y"/>
    <n v="0"/>
    <n v="0"/>
    <n v="0"/>
    <n v="0"/>
    <n v="0"/>
    <s v="East Sheen"/>
    <m/>
    <m/>
    <m/>
    <m/>
    <x v="0"/>
  </r>
  <r>
    <s v="14/2118/FUL"/>
    <s v="CON"/>
    <m/>
    <s v="14 Sheen Gate Gardens_x000d_East Sheen_x000d_London"/>
    <s v="Conversion of existing block of 3 flats, back into onedwellinghouse. Demolition of existing part 2 storey, part single storey rear addition and erection of part 2 storey and part single storey rear extension. Erection of basement extension, part under ex"/>
    <d v="2017-10-01T00:00:00"/>
    <m/>
    <x v="1"/>
    <s v="Open Market"/>
    <n v="520243"/>
    <n v="175216"/>
    <m/>
    <n v="1"/>
    <n v="1"/>
    <n v="1"/>
    <n v="0"/>
    <m/>
    <m/>
    <m/>
    <n v="3"/>
    <m/>
    <n v="0"/>
    <n v="0"/>
    <n v="0"/>
    <n v="1"/>
    <m/>
    <m/>
    <m/>
    <n v="1"/>
    <m/>
    <n v="-1"/>
    <n v="-1"/>
    <n v="-1"/>
    <n v="1"/>
    <n v="0"/>
    <n v="0"/>
    <n v="0"/>
    <n v="-2"/>
    <m/>
    <n v="0"/>
    <n v="-2"/>
    <n v="0"/>
    <n v="0"/>
    <n v="0"/>
    <n v="0"/>
    <n v="0"/>
    <n v="0"/>
    <n v="0"/>
    <n v="0"/>
    <n v="0"/>
    <n v="0"/>
    <n v="0"/>
    <s v="East Sheen"/>
    <m/>
    <m/>
    <m/>
    <m/>
    <x v="0"/>
  </r>
  <r>
    <s v="14/2257/FUL"/>
    <s v="MIX"/>
    <m/>
    <s v="310 Nelson Road Twickenham TW2 7AJ"/>
    <s v="Partial rebuild and refurbishment of existing building and erection of two-storey side / rear extension with 3No. rear dormers to facilitate the formation of a mixed use building comprising a ground floor retail shop unit (A1 Use Class) and 4 No. 1-bedro"/>
    <d v="2016-06-01T00:00:00"/>
    <m/>
    <x v="1"/>
    <s v="Open Market"/>
    <n v="513482"/>
    <n v="173963"/>
    <m/>
    <n v="0"/>
    <n v="1"/>
    <n v="0"/>
    <n v="0"/>
    <m/>
    <m/>
    <m/>
    <n v="1"/>
    <m/>
    <n v="4"/>
    <n v="0"/>
    <n v="0"/>
    <n v="0"/>
    <m/>
    <m/>
    <m/>
    <n v="4"/>
    <m/>
    <n v="4"/>
    <n v="-1"/>
    <n v="0"/>
    <n v="0"/>
    <n v="0"/>
    <n v="0"/>
    <n v="0"/>
    <n v="3"/>
    <m/>
    <n v="0"/>
    <n v="3"/>
    <n v="0"/>
    <n v="0"/>
    <n v="0"/>
    <n v="0"/>
    <n v="0"/>
    <n v="0"/>
    <n v="0"/>
    <n v="0"/>
    <n v="0"/>
    <n v="0"/>
    <n v="0"/>
    <s v="Heathfield"/>
    <m/>
    <m/>
    <m/>
    <m/>
    <x v="0"/>
  </r>
  <r>
    <s v="14/2797/P3JPA"/>
    <s v="CHU"/>
    <s v="PA"/>
    <s v="Crane Mews 32 Gould Road Twickenham"/>
    <s v="Proposed change of use of part of an existing two storey office block (B1a Use Class) to Residential (C3 Use Class) creating 6 No.flats (comprising 1 x 1-bed unit and 5 x 2-bed units)."/>
    <d v="2017-06-30T00:00:00"/>
    <m/>
    <x v="1"/>
    <s v="Open Market"/>
    <n v="515206"/>
    <n v="173341"/>
    <m/>
    <n v="0"/>
    <n v="0"/>
    <n v="0"/>
    <n v="0"/>
    <m/>
    <m/>
    <m/>
    <n v="0"/>
    <m/>
    <n v="1"/>
    <n v="5"/>
    <n v="0"/>
    <n v="0"/>
    <m/>
    <m/>
    <m/>
    <n v="6"/>
    <m/>
    <n v="1"/>
    <n v="5"/>
    <n v="0"/>
    <n v="0"/>
    <n v="0"/>
    <n v="0"/>
    <n v="0"/>
    <n v="6"/>
    <m/>
    <n v="0"/>
    <n v="6"/>
    <n v="0"/>
    <n v="0"/>
    <n v="0"/>
    <n v="0"/>
    <n v="0"/>
    <n v="0"/>
    <n v="0"/>
    <n v="0"/>
    <n v="0"/>
    <n v="0"/>
    <n v="0"/>
    <s v="South Twickenham"/>
    <m/>
    <m/>
    <m/>
    <m/>
    <x v="0"/>
  </r>
  <r>
    <s v="14/3011/FUL"/>
    <s v="CHU"/>
    <m/>
    <s v="2 Broad Street_x000a_Teddington_x000a_TW11 8RF"/>
    <s v="Refurbishment and remodelling of the existing dry cleaners (Use Class A1: Shops)  and workshop (Use Class B1c: light industrial) including infill extensions and alterations, conversion of seven x one self-contained flats to six residential flats (compris"/>
    <d v="2018-04-04T00:00:00"/>
    <m/>
    <x v="1"/>
    <s v="Open Market"/>
    <n v="515537"/>
    <n v="170973"/>
    <m/>
    <n v="1"/>
    <n v="0"/>
    <n v="0"/>
    <n v="0"/>
    <m/>
    <m/>
    <m/>
    <n v="1"/>
    <m/>
    <n v="2"/>
    <n v="4"/>
    <n v="0"/>
    <n v="0"/>
    <m/>
    <m/>
    <m/>
    <n v="6"/>
    <m/>
    <n v="1"/>
    <n v="4"/>
    <n v="0"/>
    <n v="0"/>
    <n v="0"/>
    <n v="0"/>
    <n v="0"/>
    <n v="5"/>
    <m/>
    <n v="0"/>
    <n v="0"/>
    <n v="5"/>
    <n v="0"/>
    <n v="0"/>
    <n v="0"/>
    <n v="0"/>
    <s v="Y"/>
    <n v="0"/>
    <n v="0"/>
    <n v="0"/>
    <n v="0"/>
    <n v="0"/>
    <s v="Teddington"/>
    <m/>
    <m/>
    <s v="Teddington"/>
    <m/>
    <x v="0"/>
  </r>
  <r>
    <s v="14/3780/FUL"/>
    <s v="MIX"/>
    <m/>
    <s v="Richmond Film Services_x000d_Park Lane_x000d_Richmond_x000d_TW9 2RA"/>
    <s v="The conversion and restoration of the Old School building to form 5 no. residential apartments, and 90 square metres of B1a Office space, and the erection of 3no. terraced townhouses with basement accommodation at the rear, with car parking, landscaping,"/>
    <d v="2016-07-01T00:00:00"/>
    <m/>
    <x v="1"/>
    <s v="Open Market"/>
    <n v="517917"/>
    <n v="175196"/>
    <m/>
    <n v="0"/>
    <n v="0"/>
    <n v="0"/>
    <n v="0"/>
    <m/>
    <m/>
    <m/>
    <n v="0"/>
    <m/>
    <n v="0"/>
    <n v="5"/>
    <n v="3"/>
    <n v="0"/>
    <m/>
    <m/>
    <m/>
    <n v="8"/>
    <m/>
    <n v="0"/>
    <n v="5"/>
    <n v="3"/>
    <n v="0"/>
    <n v="0"/>
    <n v="0"/>
    <n v="0"/>
    <n v="8"/>
    <m/>
    <n v="0"/>
    <n v="8"/>
    <n v="0"/>
    <n v="0"/>
    <n v="0"/>
    <n v="0"/>
    <n v="0"/>
    <n v="0"/>
    <n v="0"/>
    <n v="0"/>
    <n v="0"/>
    <n v="0"/>
    <n v="0"/>
    <s v="South Richmond"/>
    <m/>
    <m/>
    <s v="Richmond"/>
    <m/>
    <x v="0"/>
  </r>
  <r>
    <s v="14/3983/FUL"/>
    <s v="NEW"/>
    <m/>
    <s v="Kings Road Garage Kings Road Richmond TW10 6EG"/>
    <s v="Demolition of existing buildings and erection of 2 pairs of two storey four bedroom townhouses, with basements, roofspace accomodation, associated landscaping and 4 car parking spaces."/>
    <d v="2017-04-14T00:00:00"/>
    <m/>
    <x v="1"/>
    <s v="Open Market"/>
    <n v="518627"/>
    <n v="175012"/>
    <m/>
    <n v="0"/>
    <n v="0"/>
    <n v="0"/>
    <n v="0"/>
    <m/>
    <m/>
    <m/>
    <n v="0"/>
    <m/>
    <n v="0"/>
    <n v="0"/>
    <n v="0"/>
    <n v="4"/>
    <m/>
    <m/>
    <m/>
    <n v="4"/>
    <m/>
    <n v="0"/>
    <n v="0"/>
    <n v="0"/>
    <n v="4"/>
    <n v="0"/>
    <n v="0"/>
    <n v="0"/>
    <n v="4"/>
    <m/>
    <n v="0"/>
    <n v="4"/>
    <n v="0"/>
    <n v="0"/>
    <n v="0"/>
    <n v="0"/>
    <n v="0"/>
    <n v="0"/>
    <n v="0"/>
    <n v="0"/>
    <n v="0"/>
    <n v="0"/>
    <n v="0"/>
    <s v="South Richmond"/>
    <m/>
    <m/>
    <m/>
    <m/>
    <x v="0"/>
  </r>
  <r>
    <s v="14/4464/P3JPA"/>
    <s v="CHU"/>
    <s v="PA"/>
    <s v="111 Heath Road Twickenham TW1 4AH"/>
    <s v="Change of use of part of the ground floor and first floor offices (B1a) to residential (C3) comprising 6 one bed  residential units."/>
    <d v="2018-02-01T00:00:00"/>
    <m/>
    <x v="1"/>
    <s v="Open Market"/>
    <n v="515764"/>
    <n v="173105"/>
    <m/>
    <n v="0"/>
    <n v="0"/>
    <n v="0"/>
    <n v="0"/>
    <m/>
    <m/>
    <m/>
    <n v="0"/>
    <m/>
    <n v="6"/>
    <n v="0"/>
    <n v="0"/>
    <n v="0"/>
    <m/>
    <m/>
    <m/>
    <n v="6"/>
    <m/>
    <n v="6"/>
    <n v="0"/>
    <n v="0"/>
    <n v="0"/>
    <n v="0"/>
    <n v="0"/>
    <n v="0"/>
    <n v="6"/>
    <m/>
    <n v="0"/>
    <n v="6"/>
    <n v="0"/>
    <n v="0"/>
    <n v="0"/>
    <n v="0"/>
    <n v="0"/>
    <n v="0"/>
    <n v="0"/>
    <n v="0"/>
    <n v="0"/>
    <n v="0"/>
    <n v="0"/>
    <s v="South Twickenham"/>
    <m/>
    <m/>
    <s v="Twickenham"/>
    <m/>
    <x v="0"/>
  </r>
  <r>
    <s v="14/4721/FUL"/>
    <s v="NEW"/>
    <m/>
    <s v="97A White Hart Lane Barnes SW13 0JL"/>
    <s v="Demolition of the existing buildings and erection of a mixed-use residential-led redevelopment of two storeys over basement with roof accommodation and balconies and roof terraces comprising eight apartments; 401m2 of B1(a) floorspace; twelve car parking"/>
    <d v="2018-06-25T00:00:00"/>
    <m/>
    <x v="1"/>
    <s v="Open Market"/>
    <n v="521414"/>
    <n v="175749"/>
    <m/>
    <n v="0"/>
    <n v="0"/>
    <n v="0"/>
    <n v="0"/>
    <m/>
    <m/>
    <m/>
    <n v="0"/>
    <m/>
    <n v="2"/>
    <n v="6"/>
    <n v="0"/>
    <n v="0"/>
    <m/>
    <m/>
    <m/>
    <n v="8"/>
    <m/>
    <n v="2"/>
    <n v="6"/>
    <n v="0"/>
    <n v="0"/>
    <n v="0"/>
    <n v="0"/>
    <n v="0"/>
    <n v="8"/>
    <m/>
    <n v="0"/>
    <n v="0"/>
    <n v="8"/>
    <n v="0"/>
    <n v="0"/>
    <n v="0"/>
    <n v="0"/>
    <s v="Y"/>
    <n v="0"/>
    <n v="0"/>
    <n v="0"/>
    <n v="0"/>
    <n v="0"/>
    <s v="Mortlake and Barnes Common"/>
    <m/>
    <s v="White Hart lane"/>
    <m/>
    <m/>
    <x v="0"/>
  </r>
  <r>
    <s v="14/4793/FUL"/>
    <s v="MIX"/>
    <m/>
    <s v="42 Sheen Lane East Sheen SW14 8LP"/>
    <s v="Refurbishment of existing shop and refurbishment and part extension of existing 1st floor flat to provide 2 new 1 and 2 bed flats. Refurbishment and part demolition of existing 2 storey barn to provide new 2 bed 2 storey dwelling."/>
    <d v="2018-01-14T00:00:00"/>
    <d v="2019-08-31T00:00:00"/>
    <x v="1"/>
    <s v="Open Market"/>
    <n v="520471"/>
    <n v="175586"/>
    <m/>
    <n v="0"/>
    <n v="0"/>
    <n v="0"/>
    <n v="1"/>
    <m/>
    <m/>
    <m/>
    <n v="1"/>
    <m/>
    <n v="1"/>
    <n v="2"/>
    <n v="0"/>
    <n v="0"/>
    <m/>
    <m/>
    <m/>
    <n v="3"/>
    <m/>
    <n v="1"/>
    <n v="2"/>
    <n v="0"/>
    <n v="-1"/>
    <n v="0"/>
    <n v="0"/>
    <n v="0"/>
    <n v="2"/>
    <m/>
    <n v="0"/>
    <n v="2"/>
    <n v="0"/>
    <n v="0"/>
    <n v="0"/>
    <n v="0"/>
    <n v="0"/>
    <n v="0"/>
    <n v="0"/>
    <n v="0"/>
    <n v="0"/>
    <n v="0"/>
    <n v="0"/>
    <s v="East Sheen"/>
    <m/>
    <m/>
    <s v="East Sheen"/>
    <m/>
    <x v="0"/>
  </r>
  <r>
    <s v="14/5306/FUL"/>
    <s v="CHU"/>
    <m/>
    <s v="21 - 21A St Johns Road Richmond"/>
    <s v="Change of use from B1 to residential (Number 21) and demolition of existing 2-storey dwelling (21A) with erection of back extension with basement"/>
    <d v="2017-05-01T00:00:00"/>
    <m/>
    <x v="1"/>
    <s v="Open Market"/>
    <n v="518248"/>
    <n v="175334"/>
    <m/>
    <n v="0"/>
    <n v="1"/>
    <n v="0"/>
    <n v="0"/>
    <m/>
    <m/>
    <m/>
    <n v="1"/>
    <m/>
    <n v="0"/>
    <n v="0"/>
    <n v="0"/>
    <n v="1"/>
    <m/>
    <m/>
    <m/>
    <n v="1"/>
    <m/>
    <n v="0"/>
    <n v="-1"/>
    <n v="0"/>
    <n v="1"/>
    <n v="0"/>
    <n v="0"/>
    <n v="0"/>
    <n v="0"/>
    <m/>
    <n v="0"/>
    <n v="0"/>
    <n v="0"/>
    <n v="0"/>
    <n v="0"/>
    <n v="0"/>
    <n v="0"/>
    <n v="0"/>
    <n v="0"/>
    <n v="0"/>
    <n v="0"/>
    <n v="0"/>
    <n v="0"/>
    <s v="North Richmond"/>
    <m/>
    <m/>
    <s v="Richmond"/>
    <m/>
    <x v="0"/>
  </r>
  <r>
    <s v="14/5364/P3JPA"/>
    <s v="CHU"/>
    <s v="PA"/>
    <s v="22 Linden Road Hampton TW12 2JB"/>
    <s v="change of use from B1 office use to C3 residential use"/>
    <d v="2016-03-01T00:00:00"/>
    <m/>
    <x v="1"/>
    <s v="Open Market"/>
    <n v="513125"/>
    <n v="169836"/>
    <m/>
    <n v="0"/>
    <n v="0"/>
    <n v="0"/>
    <n v="0"/>
    <m/>
    <m/>
    <m/>
    <n v="0"/>
    <m/>
    <n v="0"/>
    <n v="0"/>
    <n v="1"/>
    <n v="0"/>
    <m/>
    <m/>
    <m/>
    <n v="1"/>
    <m/>
    <n v="0"/>
    <n v="0"/>
    <n v="1"/>
    <n v="0"/>
    <n v="0"/>
    <n v="0"/>
    <n v="0"/>
    <n v="1"/>
    <m/>
    <n v="0"/>
    <n v="1"/>
    <n v="0"/>
    <n v="0"/>
    <n v="0"/>
    <n v="0"/>
    <n v="0"/>
    <n v="0"/>
    <n v="0"/>
    <n v="0"/>
    <n v="0"/>
    <n v="0"/>
    <n v="0"/>
    <s v="Hampton"/>
    <m/>
    <m/>
    <m/>
    <m/>
    <x v="0"/>
  </r>
  <r>
    <s v="15/0160/FUL"/>
    <s v="NEW"/>
    <m/>
    <s v="1 Latimer Road_x000a_Teddington_x000a_TW11 8QA"/>
    <s v="Demolition of existing dwelling and erection of two buildings containing  1No. two bedroom house, 1No. two bedroom apartment and 1No. three bedroom apartment."/>
    <d v="2017-10-02T00:00:00"/>
    <m/>
    <x v="1"/>
    <s v="Open Market"/>
    <n v="515646"/>
    <n v="171303"/>
    <m/>
    <n v="0"/>
    <n v="0"/>
    <n v="1"/>
    <n v="0"/>
    <m/>
    <m/>
    <m/>
    <n v="1"/>
    <m/>
    <n v="0"/>
    <n v="2"/>
    <n v="1"/>
    <n v="0"/>
    <m/>
    <m/>
    <m/>
    <n v="3"/>
    <m/>
    <n v="0"/>
    <n v="2"/>
    <n v="0"/>
    <n v="0"/>
    <n v="0"/>
    <n v="0"/>
    <n v="0"/>
    <n v="2"/>
    <m/>
    <n v="0"/>
    <n v="0"/>
    <n v="2"/>
    <n v="0"/>
    <n v="0"/>
    <n v="0"/>
    <n v="0"/>
    <s v="Y"/>
    <n v="0"/>
    <n v="0"/>
    <n v="0"/>
    <n v="0"/>
    <n v="0"/>
    <s v="Teddington"/>
    <m/>
    <m/>
    <m/>
    <m/>
    <x v="0"/>
  </r>
  <r>
    <s v="15/0421/FUL"/>
    <s v="CON"/>
    <m/>
    <s v="17 Kings Road_x000a_Richmond"/>
    <s v="Reversion of a Building of Townscape Merit from four self-contained flats (3x2 and 1x1 beds) to a single-family dwelling (Use Class C3: Dwelling Houses) with lower and upper ground rear extensions, external alterations to dormers, fenestration, and stair"/>
    <d v="2018-03-01T00:00:00"/>
    <d v="2019-11-30T00:00:00"/>
    <x v="1"/>
    <s v="Open Market"/>
    <n v="518586"/>
    <n v="174575"/>
    <m/>
    <n v="1"/>
    <n v="3"/>
    <n v="0"/>
    <n v="0"/>
    <m/>
    <m/>
    <m/>
    <n v="4"/>
    <m/>
    <n v="0"/>
    <n v="0"/>
    <n v="0"/>
    <n v="1"/>
    <m/>
    <m/>
    <m/>
    <n v="1"/>
    <m/>
    <n v="-1"/>
    <n v="-3"/>
    <n v="0"/>
    <n v="1"/>
    <n v="0"/>
    <n v="0"/>
    <n v="0"/>
    <n v="-3"/>
    <m/>
    <n v="0"/>
    <n v="-3"/>
    <n v="0"/>
    <n v="0"/>
    <n v="0"/>
    <n v="0"/>
    <n v="0"/>
    <n v="0"/>
    <n v="0"/>
    <n v="0"/>
    <n v="0"/>
    <n v="0"/>
    <n v="0"/>
    <s v="South Richmond"/>
    <m/>
    <m/>
    <m/>
    <m/>
    <x v="0"/>
  </r>
  <r>
    <s v="15/1440/FUL"/>
    <s v="NEW"/>
    <m/>
    <s v="6 Second Cross Road Twickenham TW2 5RF"/>
    <s v="Demolition of existing single storey structure to allow the construction of a two-storey (1x1bed 2person) dwellinghouse including a study room; provision of one off-street parking space; hard and soft landscaping; boundary treatment and associated refuse"/>
    <d v="2019-02-01T00:00:00"/>
    <m/>
    <x v="1"/>
    <s v="Open Market"/>
    <n v="515114"/>
    <n v="172749"/>
    <m/>
    <n v="0"/>
    <n v="0"/>
    <n v="0"/>
    <n v="0"/>
    <m/>
    <m/>
    <m/>
    <n v="0"/>
    <m/>
    <n v="1"/>
    <n v="0"/>
    <n v="0"/>
    <n v="0"/>
    <m/>
    <m/>
    <m/>
    <n v="1"/>
    <m/>
    <n v="1"/>
    <n v="0"/>
    <n v="0"/>
    <n v="0"/>
    <n v="0"/>
    <n v="0"/>
    <n v="0"/>
    <n v="1"/>
    <m/>
    <n v="0"/>
    <n v="1"/>
    <n v="0"/>
    <n v="0"/>
    <n v="0"/>
    <n v="0"/>
    <n v="0"/>
    <n v="0"/>
    <n v="0"/>
    <n v="0"/>
    <n v="0"/>
    <n v="0"/>
    <n v="0"/>
    <s v="West Twickenham"/>
    <m/>
    <s v="Hampton Road"/>
    <m/>
    <m/>
    <x v="0"/>
  </r>
  <r>
    <s v="15/1486/FUL"/>
    <s v="NEW"/>
    <m/>
    <s v="8 Heathside_x000a_Whitton_x000a_Hounslow_x000a_TW4 5NN"/>
    <s v="Demolition of existing dwelling and erection of 2 No.4 bed semi-detached dwellings with associated parking and landscaping."/>
    <d v="2018-06-04T00:00:00"/>
    <m/>
    <x v="1"/>
    <s v="Open Market"/>
    <n v="512819"/>
    <n v="173657"/>
    <m/>
    <n v="0"/>
    <n v="1"/>
    <n v="0"/>
    <n v="0"/>
    <m/>
    <m/>
    <m/>
    <n v="1"/>
    <m/>
    <n v="0"/>
    <n v="0"/>
    <n v="0"/>
    <n v="2"/>
    <m/>
    <m/>
    <m/>
    <n v="2"/>
    <m/>
    <n v="0"/>
    <n v="-1"/>
    <n v="0"/>
    <n v="2"/>
    <n v="0"/>
    <n v="0"/>
    <n v="0"/>
    <n v="1"/>
    <m/>
    <n v="0"/>
    <n v="0"/>
    <n v="1"/>
    <n v="0"/>
    <n v="0"/>
    <n v="0"/>
    <n v="0"/>
    <s v="Y"/>
    <n v="0"/>
    <n v="0"/>
    <n v="0"/>
    <n v="0"/>
    <n v="0"/>
    <s v="Heathfield"/>
    <m/>
    <m/>
    <m/>
    <m/>
    <x v="0"/>
  </r>
  <r>
    <s v="15/1638/FUL"/>
    <s v="NEW"/>
    <m/>
    <s v="53 Cole Park Road Twickenham TW1 1HT"/>
    <s v="Demolition of the existing dwelling and erection of 2 No.semi-detached dwellings and associated hard and soft landscaping."/>
    <d v="2018-02-01T00:00:00"/>
    <m/>
    <x v="1"/>
    <s v="Open Market"/>
    <n v="516222"/>
    <n v="174079"/>
    <m/>
    <n v="0"/>
    <n v="0"/>
    <n v="0"/>
    <n v="0"/>
    <n v="1"/>
    <m/>
    <m/>
    <n v="1"/>
    <m/>
    <n v="0"/>
    <n v="0"/>
    <n v="0"/>
    <n v="0"/>
    <n v="2"/>
    <m/>
    <m/>
    <n v="2"/>
    <m/>
    <n v="0"/>
    <n v="0"/>
    <n v="0"/>
    <n v="0"/>
    <n v="1"/>
    <n v="0"/>
    <n v="0"/>
    <n v="1"/>
    <m/>
    <n v="0"/>
    <n v="1"/>
    <n v="0"/>
    <n v="0"/>
    <n v="0"/>
    <n v="0"/>
    <n v="0"/>
    <n v="0"/>
    <n v="0"/>
    <n v="0"/>
    <n v="0"/>
    <n v="0"/>
    <n v="0"/>
    <s v="St. Margarets and North Twickenham"/>
    <m/>
    <m/>
    <m/>
    <m/>
    <x v="0"/>
  </r>
  <r>
    <s v="15/2440/VRC"/>
    <s v="NEW"/>
    <m/>
    <s v="11 Sandycombe Road Richmond TW9 2EP"/>
    <s v="Variation of condition 2 of application 08/4792/FUL to allow for amendments including: - Introduction of clerestory windows to eastern elevation of office building; - 2 Conservation rooflights added to front (western) elevation of residential building;"/>
    <d v="2018-04-01T00:00:00"/>
    <m/>
    <x v="1"/>
    <s v="Open Market"/>
    <n v="519022"/>
    <n v="175824"/>
    <m/>
    <n v="0"/>
    <n v="0"/>
    <n v="0"/>
    <n v="0"/>
    <m/>
    <m/>
    <m/>
    <n v="0"/>
    <m/>
    <n v="0"/>
    <n v="4"/>
    <n v="0"/>
    <n v="0"/>
    <m/>
    <m/>
    <m/>
    <n v="4"/>
    <m/>
    <n v="0"/>
    <n v="4"/>
    <n v="0"/>
    <n v="0"/>
    <n v="0"/>
    <n v="0"/>
    <n v="0"/>
    <n v="4"/>
    <m/>
    <n v="0"/>
    <n v="4"/>
    <n v="0"/>
    <n v="0"/>
    <n v="0"/>
    <n v="0"/>
    <n v="0"/>
    <n v="0"/>
    <n v="0"/>
    <n v="0"/>
    <n v="0"/>
    <n v="0"/>
    <n v="0"/>
    <s v="Kew"/>
    <m/>
    <m/>
    <m/>
    <m/>
    <x v="0"/>
  </r>
  <r>
    <s v="15/2452/FUL"/>
    <s v="NEW"/>
    <m/>
    <s v="77 - 79 Richmond Road Twickenham"/>
    <s v="Refurbishment and Extension of existing dwelling - No 79 Richmond Road; Demolition of existing shop and associated office, storage - No 77 Richmond Road; Erection of new single storey B1/D1 employment unit; Erection of new detached 3 Bed Family Unit."/>
    <d v="2016-05-12T00:00:00"/>
    <m/>
    <x v="1"/>
    <s v="Open Market"/>
    <n v="516657"/>
    <n v="173659"/>
    <m/>
    <n v="0"/>
    <n v="0"/>
    <n v="0"/>
    <n v="0"/>
    <m/>
    <m/>
    <m/>
    <n v="0"/>
    <m/>
    <n v="0"/>
    <n v="0"/>
    <n v="1"/>
    <n v="0"/>
    <m/>
    <m/>
    <m/>
    <n v="1"/>
    <m/>
    <n v="0"/>
    <n v="0"/>
    <n v="1"/>
    <n v="0"/>
    <n v="0"/>
    <n v="0"/>
    <n v="0"/>
    <n v="1"/>
    <m/>
    <n v="0"/>
    <n v="0"/>
    <n v="1"/>
    <n v="0"/>
    <n v="0"/>
    <n v="0"/>
    <n v="0"/>
    <s v="Y"/>
    <n v="0"/>
    <n v="0"/>
    <n v="0"/>
    <n v="0"/>
    <n v="0"/>
    <s v="Twickenham Riverside"/>
    <m/>
    <m/>
    <m/>
    <m/>
    <x v="0"/>
  </r>
  <r>
    <s v="15/3072/FUL"/>
    <s v="CHU"/>
    <m/>
    <s v="Christ Church_x000a_Station Road_x000a_Teddington"/>
    <s v="Conversion, extension and alteration of the existing church building to provide for 6 x 2 bedroom flats over four levels together with 6 off-street car parking spaces, motorcycle parking, garden amenity areas and refuse, recycling and cycle parking areas"/>
    <d v="2018-03-01T00:00:00"/>
    <m/>
    <x v="1"/>
    <s v="Open Market"/>
    <n v="516013"/>
    <n v="171023"/>
    <m/>
    <n v="0"/>
    <n v="0"/>
    <n v="0"/>
    <n v="0"/>
    <m/>
    <m/>
    <m/>
    <n v="0"/>
    <m/>
    <n v="0"/>
    <n v="6"/>
    <n v="0"/>
    <n v="0"/>
    <m/>
    <m/>
    <m/>
    <n v="6"/>
    <m/>
    <n v="0"/>
    <n v="6"/>
    <n v="0"/>
    <n v="0"/>
    <n v="0"/>
    <n v="0"/>
    <n v="0"/>
    <n v="6"/>
    <m/>
    <n v="0"/>
    <n v="0"/>
    <n v="6"/>
    <n v="0"/>
    <n v="0"/>
    <n v="0"/>
    <n v="0"/>
    <s v="Y"/>
    <n v="0"/>
    <n v="0"/>
    <n v="0"/>
    <n v="0"/>
    <n v="0"/>
    <s v="Teddington"/>
    <m/>
    <m/>
    <m/>
    <m/>
    <x v="0"/>
  </r>
  <r>
    <s v="15/3183/FUL"/>
    <s v="CON"/>
    <m/>
    <s v="5A And 5B Upper Lodge Mews Bushy Park Hampton Hill"/>
    <s v="Conversion of existing lower ground floor property and existing upper first floor property (5a and 5b) into one dwelling space and single storey rear extension"/>
    <m/>
    <m/>
    <x v="1"/>
    <s v="Open Market"/>
    <n v="514482"/>
    <n v="170638"/>
    <m/>
    <n v="1"/>
    <n v="0"/>
    <n v="1"/>
    <n v="0"/>
    <m/>
    <m/>
    <m/>
    <n v="2"/>
    <m/>
    <n v="0"/>
    <n v="0"/>
    <n v="0"/>
    <n v="1"/>
    <m/>
    <m/>
    <m/>
    <n v="1"/>
    <m/>
    <n v="-1"/>
    <n v="0"/>
    <n v="-1"/>
    <n v="1"/>
    <n v="0"/>
    <n v="0"/>
    <n v="0"/>
    <n v="-1"/>
    <m/>
    <n v="0"/>
    <n v="0"/>
    <n v="0"/>
    <n v="0"/>
    <n v="0"/>
    <n v="0"/>
    <n v="0"/>
    <n v="0"/>
    <n v="0"/>
    <n v="0"/>
    <n v="0"/>
    <n v="0"/>
    <n v="0"/>
    <s v="Fulwell and Hampton Hill"/>
    <m/>
    <m/>
    <m/>
    <m/>
    <x v="0"/>
  </r>
  <r>
    <s v="15/3522/FUL"/>
    <s v="NEW"/>
    <m/>
    <s v="20 Sixth Cross Road_x000a_Twickenham_x000a_TW2 5PB"/>
    <s v="Demolition of existing garage and conservatory to rear of No. 20.  Erection of a part 2 storey, part single storey 2 bedroom dwelling house adjoining No. 20 . Construction of a single storey rear extension, roof alterations and installation of 2 dormer w"/>
    <d v="2018-10-01T00:00:00"/>
    <m/>
    <x v="1"/>
    <s v="Affordable Rent"/>
    <n v="514619"/>
    <n v="172123"/>
    <m/>
    <n v="0"/>
    <n v="0"/>
    <n v="0"/>
    <n v="0"/>
    <m/>
    <m/>
    <m/>
    <n v="0"/>
    <m/>
    <n v="0"/>
    <n v="1"/>
    <n v="0"/>
    <n v="0"/>
    <m/>
    <m/>
    <m/>
    <n v="1"/>
    <m/>
    <n v="0"/>
    <n v="1"/>
    <n v="0"/>
    <n v="0"/>
    <n v="0"/>
    <n v="0"/>
    <n v="0"/>
    <n v="1"/>
    <m/>
    <n v="0"/>
    <n v="1"/>
    <n v="0"/>
    <n v="0"/>
    <n v="0"/>
    <n v="0"/>
    <n v="0"/>
    <n v="0"/>
    <n v="0"/>
    <n v="0"/>
    <n v="0"/>
    <n v="0"/>
    <n v="0"/>
    <s v="West Twickenham"/>
    <m/>
    <m/>
    <m/>
    <m/>
    <x v="1"/>
  </r>
  <r>
    <s v="15/4230/FUL"/>
    <s v="EXT"/>
    <m/>
    <s v="The Bungalow Beresford Court Park Road Twickenham TW1 2PU"/>
    <s v="Extension to existing Bungalow to convert into 1No. Studio Flat &amp; 1No. 1 Bedroom Flat."/>
    <d v="2017-06-05T00:00:00"/>
    <m/>
    <x v="1"/>
    <s v="Open Market"/>
    <n v="517353"/>
    <n v="174325"/>
    <m/>
    <n v="0"/>
    <n v="1"/>
    <n v="0"/>
    <n v="0"/>
    <m/>
    <m/>
    <m/>
    <n v="1"/>
    <n v="1"/>
    <n v="1"/>
    <n v="0"/>
    <n v="0"/>
    <n v="0"/>
    <m/>
    <m/>
    <m/>
    <n v="2"/>
    <n v="1"/>
    <n v="1"/>
    <n v="-1"/>
    <n v="0"/>
    <n v="0"/>
    <n v="0"/>
    <n v="0"/>
    <n v="0"/>
    <n v="1"/>
    <m/>
    <n v="0"/>
    <n v="1"/>
    <n v="0"/>
    <n v="0"/>
    <n v="0"/>
    <n v="0"/>
    <n v="0"/>
    <n v="0"/>
    <n v="0"/>
    <n v="0"/>
    <n v="0"/>
    <n v="0"/>
    <n v="0"/>
    <s v="Twickenham Riverside"/>
    <m/>
    <m/>
    <m/>
    <m/>
    <x v="0"/>
  </r>
  <r>
    <s v="15/4835/FUL"/>
    <s v="NEW"/>
    <m/>
    <s v="9 Gloucester Road Teddington TW11 0NS"/>
    <s v="Erection of a three bedroom chalet bungalow on land to the rear of 9 Gloucester Road."/>
    <m/>
    <m/>
    <x v="1"/>
    <s v="Open Market"/>
    <n v="515214"/>
    <n v="171265"/>
    <m/>
    <n v="0"/>
    <n v="0"/>
    <n v="0"/>
    <n v="0"/>
    <m/>
    <m/>
    <m/>
    <n v="0"/>
    <m/>
    <n v="0"/>
    <n v="0"/>
    <n v="1"/>
    <n v="0"/>
    <m/>
    <m/>
    <m/>
    <n v="1"/>
    <m/>
    <n v="0"/>
    <n v="0"/>
    <n v="1"/>
    <n v="0"/>
    <n v="0"/>
    <n v="0"/>
    <n v="0"/>
    <n v="1"/>
    <m/>
    <n v="0"/>
    <n v="1"/>
    <n v="0"/>
    <n v="0"/>
    <n v="0"/>
    <n v="0"/>
    <n v="0"/>
    <n v="0"/>
    <n v="0"/>
    <n v="0"/>
    <n v="0"/>
    <n v="0"/>
    <n v="0"/>
    <s v="Fulwell and Hampton Hill"/>
    <m/>
    <m/>
    <m/>
    <m/>
    <x v="1"/>
  </r>
  <r>
    <s v="15/5216/FUL"/>
    <s v="NEW"/>
    <m/>
    <s v="The Avenue Centre 1 Normansfield Avenue Hampton Wick Teddington TW11 9RP"/>
    <s v="Redevelopment of the site to provide a care home, 4 supported living units and 15 affordable housing units, with associated onsite parking and external works. (This scheme is linked to application 15/5217/FUL - whereby the existing care home at Silver Bi"/>
    <d v="2017-11-01T00:00:00"/>
    <d v="2019-06-30T00:00:00"/>
    <x v="1"/>
    <s v="Affordable Rent"/>
    <n v="517536"/>
    <n v="170257"/>
    <m/>
    <n v="0"/>
    <n v="0"/>
    <n v="0"/>
    <n v="0"/>
    <m/>
    <m/>
    <m/>
    <n v="0"/>
    <m/>
    <n v="2"/>
    <n v="8"/>
    <n v="5"/>
    <n v="0"/>
    <m/>
    <m/>
    <m/>
    <n v="15"/>
    <m/>
    <n v="2"/>
    <n v="8"/>
    <n v="5"/>
    <n v="0"/>
    <n v="0"/>
    <n v="0"/>
    <n v="0"/>
    <n v="15"/>
    <m/>
    <n v="0"/>
    <n v="15"/>
    <n v="0"/>
    <n v="0"/>
    <n v="0"/>
    <n v="0"/>
    <n v="0"/>
    <n v="0"/>
    <n v="0"/>
    <n v="0"/>
    <n v="0"/>
    <n v="0"/>
    <n v="0"/>
    <s v="Hampton Wick"/>
    <m/>
    <m/>
    <m/>
    <m/>
    <x v="0"/>
  </r>
  <r>
    <s v="15/5369/FUL"/>
    <s v="NEW"/>
    <m/>
    <s v="65 Wensleydale Road Hampton TW12 2LP"/>
    <s v="Demolition of existing bungalow and replacement dwelling house (Class C3) comprising ground and lower ground floor."/>
    <m/>
    <m/>
    <x v="1"/>
    <s v="Open Market"/>
    <n v="513492"/>
    <n v="170250"/>
    <m/>
    <n v="0"/>
    <n v="0"/>
    <n v="1"/>
    <n v="0"/>
    <m/>
    <m/>
    <m/>
    <n v="1"/>
    <m/>
    <n v="0"/>
    <n v="0"/>
    <n v="1"/>
    <n v="0"/>
    <m/>
    <m/>
    <m/>
    <n v="1"/>
    <m/>
    <n v="0"/>
    <n v="0"/>
    <n v="0"/>
    <n v="0"/>
    <n v="0"/>
    <n v="0"/>
    <n v="0"/>
    <n v="0"/>
    <m/>
    <n v="0"/>
    <n v="0"/>
    <n v="0"/>
    <n v="0"/>
    <n v="0"/>
    <n v="0"/>
    <n v="0"/>
    <n v="0"/>
    <n v="0"/>
    <n v="0"/>
    <n v="0"/>
    <n v="0"/>
    <n v="0"/>
    <s v="Hampton"/>
    <m/>
    <m/>
    <m/>
    <m/>
    <x v="0"/>
  </r>
  <r>
    <s v="15/5376/FUL"/>
    <s v="NEW"/>
    <m/>
    <s v="1 - 9 Sandycombe Road Richmond"/>
    <s v="Redevelopment of site to provide for a mixed use development of 535m2 of commercial space (B1(a) offices, B1(b) research and development, B1(c) light industrial and B8 storage Use Class) and 20 residential units, together with car parking and landscaping"/>
    <d v="2019-03-30T00:00:00"/>
    <m/>
    <x v="1"/>
    <s v="Open Market"/>
    <n v="519012"/>
    <n v="175761"/>
    <m/>
    <n v="0"/>
    <n v="0"/>
    <n v="0"/>
    <n v="0"/>
    <m/>
    <m/>
    <m/>
    <n v="0"/>
    <n v="2"/>
    <n v="7"/>
    <n v="7"/>
    <n v="4"/>
    <n v="0"/>
    <m/>
    <m/>
    <m/>
    <n v="20"/>
    <n v="2"/>
    <n v="7"/>
    <n v="7"/>
    <n v="4"/>
    <n v="0"/>
    <n v="0"/>
    <n v="0"/>
    <n v="0"/>
    <n v="20"/>
    <m/>
    <n v="0"/>
    <n v="0"/>
    <n v="10"/>
    <n v="10"/>
    <n v="0"/>
    <n v="0"/>
    <n v="0"/>
    <s v="Y"/>
    <n v="0"/>
    <n v="0"/>
    <n v="0"/>
    <n v="0"/>
    <n v="0"/>
    <s v="Kew"/>
    <m/>
    <m/>
    <m/>
    <m/>
    <x v="0"/>
  </r>
  <r>
    <s v="16/0234/FUL"/>
    <s v="NEW"/>
    <m/>
    <s v="31 Poulett Gardens Twickenham TW1 4QS"/>
    <s v="Demolition of existing garage and construction of a two storey terraced house with associated landscaping, cycle store, rear car parking and access thereto."/>
    <d v="2017-12-01T00:00:00"/>
    <m/>
    <x v="1"/>
    <s v="Open Market"/>
    <n v="515988"/>
    <n v="173004"/>
    <m/>
    <n v="0"/>
    <n v="0"/>
    <n v="0"/>
    <n v="0"/>
    <m/>
    <m/>
    <m/>
    <n v="0"/>
    <m/>
    <n v="0"/>
    <n v="0"/>
    <n v="0"/>
    <n v="1"/>
    <m/>
    <m/>
    <m/>
    <n v="1"/>
    <m/>
    <n v="0"/>
    <n v="0"/>
    <n v="0"/>
    <n v="1"/>
    <n v="0"/>
    <n v="0"/>
    <n v="0"/>
    <n v="1"/>
    <m/>
    <n v="0"/>
    <n v="1"/>
    <n v="0"/>
    <n v="0"/>
    <n v="0"/>
    <n v="0"/>
    <n v="0"/>
    <n v="0"/>
    <n v="0"/>
    <n v="0"/>
    <n v="0"/>
    <n v="0"/>
    <n v="0"/>
    <s v="South Twickenham"/>
    <m/>
    <m/>
    <m/>
    <m/>
    <x v="1"/>
  </r>
  <r>
    <s v="16/0432/FUL"/>
    <s v="NEW"/>
    <m/>
    <s v="48 Glentham Road_x000a_Barnes_x000a_London_x000a_SW13 9JJ"/>
    <s v="Demolition of existing building and erection of three storey building plus basement to provide B1 use at basement, ground floor and first floor, and one 2 bedroom apartment above at second floor level."/>
    <d v="2017-05-09T00:00:00"/>
    <d v="2019-07-31T00:00:00"/>
    <x v="1"/>
    <s v="Open Market"/>
    <n v="522622"/>
    <n v="177876"/>
    <m/>
    <n v="0"/>
    <n v="0"/>
    <n v="0"/>
    <n v="0"/>
    <m/>
    <m/>
    <m/>
    <n v="0"/>
    <m/>
    <n v="0"/>
    <n v="1"/>
    <n v="0"/>
    <n v="0"/>
    <m/>
    <m/>
    <m/>
    <n v="1"/>
    <m/>
    <n v="0"/>
    <n v="1"/>
    <n v="0"/>
    <n v="0"/>
    <n v="0"/>
    <n v="0"/>
    <n v="0"/>
    <n v="1"/>
    <m/>
    <n v="0"/>
    <n v="1"/>
    <n v="0"/>
    <n v="0"/>
    <n v="0"/>
    <n v="0"/>
    <n v="0"/>
    <n v="0"/>
    <n v="0"/>
    <n v="0"/>
    <n v="0"/>
    <n v="0"/>
    <n v="0"/>
    <s v="Barnes"/>
    <m/>
    <m/>
    <m/>
    <m/>
    <x v="0"/>
  </r>
  <r>
    <s v="16/0680/FUL"/>
    <s v="EXT"/>
    <m/>
    <s v="2 Firs Avenue East Sheen SW14 7NZ"/>
    <s v="Part demolition of single dwelling house and formation of two semi-detached houses."/>
    <d v="2016-07-01T00:00:00"/>
    <m/>
    <x v="1"/>
    <s v="Open Market"/>
    <n v="520343"/>
    <n v="175141"/>
    <m/>
    <n v="0"/>
    <n v="0"/>
    <n v="0"/>
    <n v="1"/>
    <m/>
    <m/>
    <m/>
    <n v="1"/>
    <m/>
    <n v="0"/>
    <n v="0"/>
    <n v="0"/>
    <n v="2"/>
    <m/>
    <m/>
    <m/>
    <n v="2"/>
    <m/>
    <n v="0"/>
    <n v="0"/>
    <n v="0"/>
    <n v="1"/>
    <n v="0"/>
    <n v="0"/>
    <n v="0"/>
    <n v="1"/>
    <m/>
    <n v="0"/>
    <n v="1"/>
    <n v="0"/>
    <n v="0"/>
    <n v="0"/>
    <n v="0"/>
    <n v="0"/>
    <n v="0"/>
    <n v="0"/>
    <n v="0"/>
    <n v="0"/>
    <n v="0"/>
    <n v="0"/>
    <s v="East Sheen"/>
    <m/>
    <m/>
    <m/>
    <m/>
    <x v="0"/>
  </r>
  <r>
    <s v="16/1145/FUL"/>
    <s v="CON"/>
    <m/>
    <s v="19 - 21 Lower Teddington Road_x000a_Hampton Wick"/>
    <s v="Conversion of part lower ground floor to form 1 x 1 bed self contained flat. New external staircase to match existing"/>
    <d v="2019-02-01T00:00:00"/>
    <m/>
    <x v="1"/>
    <s v="Open Market"/>
    <n v="517615"/>
    <n v="169709"/>
    <m/>
    <n v="0"/>
    <n v="0"/>
    <n v="0"/>
    <n v="0"/>
    <m/>
    <m/>
    <m/>
    <n v="0"/>
    <m/>
    <n v="1"/>
    <n v="0"/>
    <n v="0"/>
    <n v="0"/>
    <m/>
    <m/>
    <m/>
    <n v="1"/>
    <m/>
    <n v="1"/>
    <n v="0"/>
    <n v="0"/>
    <n v="0"/>
    <n v="0"/>
    <n v="0"/>
    <n v="0"/>
    <n v="1"/>
    <m/>
    <n v="0"/>
    <n v="0"/>
    <n v="1"/>
    <n v="0"/>
    <n v="0"/>
    <n v="0"/>
    <n v="0"/>
    <s v="Y"/>
    <n v="0"/>
    <n v="0"/>
    <n v="0"/>
    <n v="0"/>
    <n v="0"/>
    <s v="Hampton Wick"/>
    <m/>
    <m/>
    <m/>
    <m/>
    <x v="0"/>
  </r>
  <r>
    <s v="16/1293/FUL"/>
    <s v="EXT"/>
    <m/>
    <s v="111 Heath Road Twickenham TW1 4AH"/>
    <s v="Creation of an additional floor to create 4 'car free' residential units (2 No.2 bed and 2 No.1 bed flats) and incorporate external extensions and alterations to fenestration of the building.  Provision of 6 cycle parking spaces, refuse storage for comme"/>
    <d v="2018-02-01T00:00:00"/>
    <m/>
    <x v="1"/>
    <s v="Open Market"/>
    <n v="515764"/>
    <n v="173105"/>
    <m/>
    <n v="0"/>
    <n v="0"/>
    <n v="0"/>
    <n v="0"/>
    <m/>
    <m/>
    <m/>
    <n v="0"/>
    <m/>
    <n v="2"/>
    <n v="2"/>
    <n v="0"/>
    <n v="0"/>
    <m/>
    <m/>
    <m/>
    <n v="4"/>
    <m/>
    <n v="2"/>
    <n v="2"/>
    <n v="0"/>
    <n v="0"/>
    <n v="0"/>
    <n v="0"/>
    <n v="0"/>
    <n v="4"/>
    <m/>
    <n v="0"/>
    <n v="4"/>
    <n v="0"/>
    <n v="0"/>
    <n v="0"/>
    <n v="0"/>
    <n v="0"/>
    <n v="0"/>
    <n v="0"/>
    <n v="0"/>
    <n v="0"/>
    <n v="0"/>
    <n v="0"/>
    <s v="South Twickenham"/>
    <m/>
    <m/>
    <s v="Twickenham"/>
    <m/>
    <x v="0"/>
  </r>
  <r>
    <s v="16/1373/FUL"/>
    <s v="CHU"/>
    <m/>
    <s v="17 The Green Richmond TW9 1PX"/>
    <s v="Alterations and refurbishment to provide a single family dwelling house."/>
    <d v="2017-11-24T00:00:00"/>
    <m/>
    <x v="1"/>
    <s v="Open Market"/>
    <n v="517807"/>
    <n v="174892"/>
    <m/>
    <n v="0"/>
    <n v="0"/>
    <n v="0"/>
    <n v="0"/>
    <m/>
    <m/>
    <m/>
    <n v="0"/>
    <m/>
    <n v="0"/>
    <n v="0"/>
    <n v="0"/>
    <n v="0"/>
    <n v="1"/>
    <m/>
    <m/>
    <n v="1"/>
    <m/>
    <n v="0"/>
    <n v="0"/>
    <n v="0"/>
    <n v="0"/>
    <n v="1"/>
    <n v="0"/>
    <n v="0"/>
    <n v="1"/>
    <m/>
    <n v="0"/>
    <n v="1"/>
    <n v="0"/>
    <n v="0"/>
    <n v="0"/>
    <n v="0"/>
    <n v="0"/>
    <n v="0"/>
    <n v="0"/>
    <n v="0"/>
    <n v="0"/>
    <n v="0"/>
    <n v="0"/>
    <s v="South Richmond"/>
    <m/>
    <m/>
    <s v="Richmond"/>
    <m/>
    <x v="0"/>
  </r>
  <r>
    <s v="16/1882/FUL"/>
    <s v="NEW"/>
    <m/>
    <s v="9 Charlotte Road_x000a_Barnes_x000a_London_x000a_SW13 9QJ"/>
    <s v="Demolition of existing single dwelling and erection of a new single dwelling."/>
    <d v="2019-04-01T00:00:00"/>
    <m/>
    <x v="1"/>
    <s v="Open Market"/>
    <n v="521779"/>
    <n v="176827"/>
    <m/>
    <n v="1"/>
    <n v="0"/>
    <n v="0"/>
    <n v="0"/>
    <m/>
    <m/>
    <m/>
    <n v="1"/>
    <m/>
    <n v="0"/>
    <n v="0"/>
    <n v="1"/>
    <n v="0"/>
    <m/>
    <m/>
    <m/>
    <n v="1"/>
    <m/>
    <n v="-1"/>
    <n v="0"/>
    <n v="1"/>
    <n v="0"/>
    <n v="0"/>
    <n v="0"/>
    <n v="0"/>
    <n v="0"/>
    <m/>
    <n v="0"/>
    <n v="0"/>
    <n v="0"/>
    <n v="0"/>
    <n v="0"/>
    <n v="0"/>
    <n v="0"/>
    <n v="0"/>
    <n v="0"/>
    <n v="0"/>
    <n v="0"/>
    <n v="0"/>
    <n v="0"/>
    <s v="Barnes"/>
    <m/>
    <m/>
    <m/>
    <m/>
    <x v="0"/>
  </r>
  <r>
    <s v="16/1903/FUL"/>
    <s v="CHU"/>
    <m/>
    <s v="63 Kew Green Kew"/>
    <s v="Change of use from office (B1) to residential (C3), demolition and rebuild of the existing single storey rear building, basement extension to Grade II listed building in the Kew Green Conservation Area."/>
    <d v="2019-01-14T00:00:00"/>
    <m/>
    <x v="1"/>
    <s v="Open Market"/>
    <n v="518846"/>
    <n v="177650"/>
    <m/>
    <n v="0"/>
    <n v="0"/>
    <n v="0"/>
    <n v="0"/>
    <m/>
    <m/>
    <m/>
    <n v="0"/>
    <m/>
    <n v="0"/>
    <n v="1"/>
    <n v="0"/>
    <n v="0"/>
    <m/>
    <m/>
    <m/>
    <n v="1"/>
    <m/>
    <n v="0"/>
    <n v="1"/>
    <n v="0"/>
    <n v="0"/>
    <n v="0"/>
    <n v="0"/>
    <n v="0"/>
    <n v="1"/>
    <m/>
    <n v="0"/>
    <n v="1"/>
    <n v="0"/>
    <n v="0"/>
    <n v="0"/>
    <n v="0"/>
    <n v="0"/>
    <n v="0"/>
    <n v="0"/>
    <n v="0"/>
    <n v="0"/>
    <n v="0"/>
    <n v="0"/>
    <s v="Kew"/>
    <m/>
    <m/>
    <m/>
    <s v="Thames Policy Area"/>
    <x v="0"/>
  </r>
  <r>
    <s v="16/1935/GPD15"/>
    <s v="CHU"/>
    <m/>
    <s v="Garrick House 161 - 163 High Street Hampton Hill TW12 1NL"/>
    <s v="Change of use of ground, first and second floors from B1 (a) offices - C3 residential (21 flats together with 21 off-street parking spaces, 21 cycle spaces and two bin and recycling store area)"/>
    <d v="2018-03-31T00:00:00"/>
    <m/>
    <x v="1"/>
    <s v="Open Market"/>
    <n v="514411"/>
    <n v="171129"/>
    <m/>
    <n v="0"/>
    <n v="0"/>
    <n v="0"/>
    <n v="0"/>
    <m/>
    <m/>
    <m/>
    <n v="0"/>
    <m/>
    <n v="12"/>
    <n v="9"/>
    <n v="0"/>
    <n v="0"/>
    <m/>
    <m/>
    <m/>
    <n v="21"/>
    <m/>
    <n v="12"/>
    <n v="9"/>
    <n v="0"/>
    <n v="0"/>
    <n v="0"/>
    <n v="0"/>
    <n v="0"/>
    <n v="21"/>
    <m/>
    <n v="0"/>
    <n v="10.5"/>
    <n v="10.5"/>
    <n v="0"/>
    <n v="0"/>
    <n v="0"/>
    <n v="0"/>
    <s v="Y"/>
    <n v="0"/>
    <n v="0"/>
    <n v="0"/>
    <n v="0"/>
    <n v="0"/>
    <s v="Fulwell and Hampton Hill"/>
    <m/>
    <s v="High Street"/>
    <m/>
    <m/>
    <x v="0"/>
  </r>
  <r>
    <s v="16/2042/FUL"/>
    <s v="CON"/>
    <m/>
    <s v="216 London Road_x000a_Twickenham_x000a_TW1 1EU"/>
    <s v="Part two storey part single storey rear extension; insertion of 3 rooflights to side roofslope and alterations to fenestration arrangement on all elevations to facilitate the conversion of existing dwellinghouse into four self-contained flats (2x1 bed, 2"/>
    <d v="2019-03-01T00:00:00"/>
    <m/>
    <x v="1"/>
    <s v="Open Market"/>
    <n v="516100"/>
    <n v="174435"/>
    <m/>
    <n v="0"/>
    <n v="0"/>
    <n v="0"/>
    <n v="1"/>
    <m/>
    <m/>
    <m/>
    <n v="1"/>
    <m/>
    <n v="2"/>
    <n v="2"/>
    <n v="0"/>
    <n v="0"/>
    <m/>
    <m/>
    <m/>
    <n v="4"/>
    <m/>
    <n v="2"/>
    <n v="2"/>
    <n v="0"/>
    <n v="-1"/>
    <n v="0"/>
    <n v="0"/>
    <n v="0"/>
    <n v="3"/>
    <m/>
    <n v="0"/>
    <n v="3"/>
    <n v="0"/>
    <n v="0"/>
    <n v="0"/>
    <n v="0"/>
    <n v="0"/>
    <n v="0"/>
    <n v="0"/>
    <n v="0"/>
    <n v="0"/>
    <n v="0"/>
    <n v="0"/>
    <s v="St. Margarets and North Twickenham"/>
    <m/>
    <m/>
    <m/>
    <m/>
    <x v="0"/>
  </r>
  <r>
    <s v="16/2158/FUL"/>
    <s v="CON"/>
    <m/>
    <s v="Ormonde Lodge 2A St Peters Road Twickenham TW1 1QX"/>
    <s v="Reversion of 2 No. dwellinghouses into a single family dwellinghouse."/>
    <d v="2016-09-29T00:00:00"/>
    <m/>
    <x v="1"/>
    <s v="Open Market"/>
    <n v="516878"/>
    <n v="174968"/>
    <m/>
    <n v="0"/>
    <n v="0"/>
    <n v="0"/>
    <n v="2"/>
    <m/>
    <m/>
    <m/>
    <n v="2"/>
    <m/>
    <n v="0"/>
    <n v="0"/>
    <n v="0"/>
    <n v="1"/>
    <m/>
    <m/>
    <m/>
    <n v="1"/>
    <m/>
    <n v="0"/>
    <n v="0"/>
    <n v="0"/>
    <n v="-1"/>
    <n v="0"/>
    <n v="0"/>
    <n v="0"/>
    <n v="-1"/>
    <m/>
    <n v="0"/>
    <n v="-1"/>
    <n v="0"/>
    <n v="0"/>
    <n v="0"/>
    <n v="0"/>
    <n v="0"/>
    <n v="0"/>
    <n v="0"/>
    <n v="0"/>
    <n v="0"/>
    <n v="0"/>
    <n v="0"/>
    <s v="St. Margarets and North Twickenham"/>
    <m/>
    <m/>
    <m/>
    <s v="Thames Policy Area"/>
    <x v="0"/>
  </r>
  <r>
    <s v="16/2306/FUL"/>
    <s v="CON"/>
    <m/>
    <s v="112 Richmond Hill Richmond"/>
    <s v="Conversion of the building into one family house, plus an additional apartment at basement level to the front."/>
    <d v="2019-01-14T00:00:00"/>
    <m/>
    <x v="1"/>
    <s v="Open Market"/>
    <n v="518294"/>
    <n v="174078"/>
    <m/>
    <n v="2"/>
    <n v="2"/>
    <n v="1"/>
    <n v="0"/>
    <m/>
    <m/>
    <m/>
    <n v="5"/>
    <m/>
    <n v="1"/>
    <n v="0"/>
    <n v="0"/>
    <n v="1"/>
    <m/>
    <m/>
    <m/>
    <n v="2"/>
    <m/>
    <n v="-1"/>
    <n v="-2"/>
    <n v="-1"/>
    <n v="1"/>
    <n v="0"/>
    <n v="0"/>
    <n v="0"/>
    <n v="-3"/>
    <m/>
    <n v="0"/>
    <n v="-3"/>
    <n v="0"/>
    <n v="0"/>
    <n v="0"/>
    <n v="0"/>
    <n v="0"/>
    <n v="0"/>
    <n v="0"/>
    <n v="0"/>
    <n v="0"/>
    <n v="0"/>
    <n v="0"/>
    <s v="Ham, Petersham and Richmond Riverside"/>
    <m/>
    <m/>
    <m/>
    <s v="Thames Policy Area"/>
    <x v="0"/>
  </r>
  <r>
    <s v="16/2348/FUL"/>
    <s v="NEW"/>
    <m/>
    <s v="38A Pagoda Avenue Richmond TW9 2HF"/>
    <s v="Demolition of existing sheds and construction of a single storey one bedroom dwelling."/>
    <d v="2018-04-25T00:00:00"/>
    <m/>
    <x v="1"/>
    <s v="Open Market"/>
    <n v="518622"/>
    <n v="175641"/>
    <m/>
    <n v="0"/>
    <n v="0"/>
    <n v="0"/>
    <n v="0"/>
    <m/>
    <m/>
    <m/>
    <n v="0"/>
    <m/>
    <n v="1"/>
    <n v="0"/>
    <n v="0"/>
    <n v="0"/>
    <m/>
    <m/>
    <m/>
    <n v="1"/>
    <m/>
    <n v="1"/>
    <n v="0"/>
    <n v="0"/>
    <n v="0"/>
    <n v="0"/>
    <n v="0"/>
    <n v="0"/>
    <n v="1"/>
    <m/>
    <n v="0"/>
    <n v="1"/>
    <n v="0"/>
    <n v="0"/>
    <n v="0"/>
    <n v="0"/>
    <n v="0"/>
    <n v="0"/>
    <n v="0"/>
    <n v="0"/>
    <n v="0"/>
    <n v="0"/>
    <n v="0"/>
    <s v="North Richmond"/>
    <m/>
    <m/>
    <m/>
    <m/>
    <x v="1"/>
  </r>
  <r>
    <s v="16/2502/FUL"/>
    <s v="NEW"/>
    <m/>
    <s v="43 Strawberry Vale Twickenham TW1 4RX"/>
    <s v="Demolition of existing dwelling and erection of a new six bedroom house with basement."/>
    <d v="2018-02-01T00:00:00"/>
    <m/>
    <x v="1"/>
    <s v="Open Market"/>
    <n v="516098"/>
    <n v="172295"/>
    <m/>
    <n v="0"/>
    <n v="0"/>
    <n v="0"/>
    <n v="1"/>
    <m/>
    <m/>
    <m/>
    <n v="1"/>
    <m/>
    <n v="0"/>
    <n v="0"/>
    <n v="0"/>
    <n v="0"/>
    <m/>
    <n v="1"/>
    <m/>
    <n v="1"/>
    <m/>
    <n v="0"/>
    <n v="0"/>
    <n v="0"/>
    <n v="-1"/>
    <n v="0"/>
    <n v="1"/>
    <n v="0"/>
    <n v="0"/>
    <m/>
    <n v="0"/>
    <n v="0"/>
    <n v="0"/>
    <n v="0"/>
    <n v="0"/>
    <n v="0"/>
    <n v="0"/>
    <n v="0"/>
    <n v="0"/>
    <n v="0"/>
    <n v="0"/>
    <n v="0"/>
    <n v="0"/>
    <s v="South Twickenham"/>
    <m/>
    <m/>
    <m/>
    <s v="Thames Policy Area"/>
    <x v="0"/>
  </r>
  <r>
    <s v="16/2637/FUL"/>
    <s v="NEW"/>
    <m/>
    <s v="9 Belgrave Road_x000a_Barnes_x000a_London_x000a_SW13 9NS"/>
    <s v="Demolition of the existing building and the erection of new two-storey house, with a basement and front and rear light wells and a rear dormer."/>
    <d v="2017-05-10T00:00:00"/>
    <m/>
    <x v="1"/>
    <s v="Open Market"/>
    <n v="521872"/>
    <n v="177181"/>
    <m/>
    <n v="0"/>
    <n v="0"/>
    <n v="0"/>
    <n v="1"/>
    <m/>
    <m/>
    <m/>
    <n v="1"/>
    <m/>
    <n v="0"/>
    <n v="0"/>
    <n v="0"/>
    <n v="1"/>
    <m/>
    <m/>
    <m/>
    <n v="1"/>
    <m/>
    <n v="0"/>
    <n v="0"/>
    <n v="0"/>
    <n v="0"/>
    <n v="0"/>
    <n v="0"/>
    <n v="0"/>
    <n v="0"/>
    <m/>
    <n v="0"/>
    <n v="0"/>
    <n v="0"/>
    <n v="0"/>
    <n v="0"/>
    <n v="0"/>
    <n v="0"/>
    <n v="0"/>
    <n v="0"/>
    <n v="0"/>
    <n v="0"/>
    <n v="0"/>
    <n v="0"/>
    <s v="Barnes"/>
    <m/>
    <m/>
    <m/>
    <m/>
    <x v="0"/>
  </r>
  <r>
    <s v="16/2975/GPD15"/>
    <s v="CHU"/>
    <m/>
    <s v="First And Second Floors_x000d_46 King Street_x000d_Twickenham_x000d_TW1 3SH_x000d_"/>
    <s v="Change of use of vacant offices (B1) to residential use (C3) comprising 2 bed flat on 1st floor and 1 bed flat on second floor"/>
    <m/>
    <m/>
    <x v="1"/>
    <s v="Open Market"/>
    <n v="516167"/>
    <n v="173210"/>
    <m/>
    <n v="0"/>
    <n v="0"/>
    <n v="0"/>
    <n v="0"/>
    <m/>
    <m/>
    <m/>
    <n v="0"/>
    <m/>
    <n v="1"/>
    <n v="1"/>
    <n v="0"/>
    <n v="0"/>
    <m/>
    <m/>
    <m/>
    <n v="2"/>
    <m/>
    <n v="1"/>
    <n v="1"/>
    <n v="0"/>
    <n v="0"/>
    <n v="0"/>
    <n v="0"/>
    <n v="0"/>
    <n v="2"/>
    <m/>
    <n v="0"/>
    <n v="2"/>
    <n v="0"/>
    <n v="0"/>
    <n v="0"/>
    <n v="0"/>
    <n v="0"/>
    <n v="0"/>
    <n v="0"/>
    <n v="0"/>
    <n v="0"/>
    <n v="0"/>
    <n v="0"/>
    <s v="Twickenham Riverside"/>
    <m/>
    <m/>
    <s v="Twickenham"/>
    <m/>
    <x v="0"/>
  </r>
  <r>
    <s v="16/3210/GPD15"/>
    <s v="CHU"/>
    <m/>
    <s v="123 High Street_x000d_Whitton_x000d_Twickenham_x000d_TW2 7LQ_x000d_"/>
    <s v="Change of use from B1 (Office) to C3 (Residential) comprising 4 x 1 bedroom flats."/>
    <d v="2019-04-02T00:00:00"/>
    <m/>
    <x v="1"/>
    <s v="Open Market"/>
    <n v="514223"/>
    <n v="173584"/>
    <m/>
    <n v="0"/>
    <n v="0"/>
    <n v="0"/>
    <n v="0"/>
    <m/>
    <m/>
    <m/>
    <n v="0"/>
    <m/>
    <n v="4"/>
    <n v="0"/>
    <n v="0"/>
    <n v="0"/>
    <m/>
    <m/>
    <m/>
    <n v="4"/>
    <m/>
    <n v="4"/>
    <n v="0"/>
    <n v="0"/>
    <n v="0"/>
    <n v="0"/>
    <n v="0"/>
    <n v="0"/>
    <n v="4"/>
    <m/>
    <n v="0"/>
    <n v="4"/>
    <n v="0"/>
    <n v="0"/>
    <n v="0"/>
    <n v="0"/>
    <n v="0"/>
    <n v="0"/>
    <n v="0"/>
    <n v="0"/>
    <n v="0"/>
    <n v="0"/>
    <n v="0"/>
    <s v="Whitton"/>
    <m/>
    <m/>
    <s v="Whitton"/>
    <m/>
    <x v="0"/>
  </r>
  <r>
    <s v="16/3247/FUL"/>
    <s v="NEW"/>
    <m/>
    <s v="738 Hanworth Road Whitton TW4 5NT"/>
    <s v="Demolition of the existing detached bungalow, garage, shed and greenhouse to allow for construction of 2x two storey 4 bedroom semi-detached houses with accommodation in the roof with associated boundary treatment, cycle and car parking and hard and soft"/>
    <m/>
    <m/>
    <x v="1"/>
    <s v="Open Market"/>
    <n v="512538"/>
    <n v="173280"/>
    <m/>
    <n v="0"/>
    <n v="0"/>
    <n v="1"/>
    <n v="0"/>
    <m/>
    <m/>
    <m/>
    <n v="1"/>
    <m/>
    <n v="0"/>
    <n v="0"/>
    <n v="0"/>
    <n v="2"/>
    <m/>
    <m/>
    <m/>
    <n v="2"/>
    <m/>
    <n v="0"/>
    <n v="0"/>
    <n v="-1"/>
    <n v="2"/>
    <n v="0"/>
    <n v="0"/>
    <n v="0"/>
    <n v="1"/>
    <m/>
    <n v="0"/>
    <n v="1"/>
    <n v="0"/>
    <n v="0"/>
    <n v="0"/>
    <n v="0"/>
    <n v="0"/>
    <n v="0"/>
    <n v="0"/>
    <n v="0"/>
    <n v="0"/>
    <n v="0"/>
    <n v="0"/>
    <s v="Heathfield"/>
    <m/>
    <m/>
    <m/>
    <m/>
    <x v="0"/>
  </r>
  <r>
    <s v="16/3293/RES"/>
    <s v="NEW"/>
    <m/>
    <s v="Land At Junction Of A316 And Langhorn Drive And Richmond College Site Egerton Road Twickenham"/>
    <s v="Detailed Reserved Matters application including Appearance, Landscaping, Layout and Scale for the Schools Development Zone pursuant to Conditions U08026 and U08031 of Outline Planning Permission 15/3038/OUT dated 16.08.16 (Outline application for the dem"/>
    <d v="2017-03-13T00:00:00"/>
    <m/>
    <x v="1"/>
    <s v="Affordable Rent"/>
    <n v="515304"/>
    <n v="173889"/>
    <m/>
    <n v="0"/>
    <n v="0"/>
    <n v="0"/>
    <n v="0"/>
    <m/>
    <m/>
    <m/>
    <n v="0"/>
    <m/>
    <n v="1"/>
    <n v="20"/>
    <n v="5"/>
    <m/>
    <m/>
    <m/>
    <m/>
    <n v="26"/>
    <m/>
    <n v="1"/>
    <n v="20"/>
    <n v="5"/>
    <n v="0"/>
    <n v="0"/>
    <n v="0"/>
    <n v="0"/>
    <n v="26"/>
    <m/>
    <n v="0"/>
    <n v="0"/>
    <n v="0"/>
    <n v="8.6666666666666661"/>
    <n v="8.6666666666666661"/>
    <n v="8.6666666666666661"/>
    <n v="0"/>
    <s v="Y"/>
    <n v="0"/>
    <n v="0"/>
    <n v="0"/>
    <n v="0"/>
    <n v="0"/>
    <s v="St. Margarets and North Twickenham"/>
    <m/>
    <m/>
    <m/>
    <m/>
    <x v="0"/>
  </r>
  <r>
    <s v="16/3293/RES"/>
    <s v="NEW"/>
    <m/>
    <s v="Land At Junction Of A316 And Langhorn Drive And Richmond College Site Egerton Road Twickenham"/>
    <s v="Detailed Reserved Matters application including Appearance, Landscaping, Layout and Scale for the Schools Development Zone pursuant to Conditions U08026 and U08031 of Outline Planning Permission 15/3038/OUT dated 16.08.16 (Outline application for the dem"/>
    <d v="2017-03-13T00:00:00"/>
    <m/>
    <x v="1"/>
    <s v="Open Market"/>
    <n v="515304"/>
    <n v="173889"/>
    <m/>
    <n v="0"/>
    <n v="0"/>
    <n v="0"/>
    <n v="0"/>
    <m/>
    <m/>
    <m/>
    <n v="0"/>
    <m/>
    <n v="38"/>
    <n v="59"/>
    <n v="31"/>
    <n v="18"/>
    <m/>
    <m/>
    <m/>
    <n v="146"/>
    <m/>
    <n v="38"/>
    <n v="59"/>
    <n v="31"/>
    <n v="18"/>
    <n v="0"/>
    <n v="0"/>
    <n v="0"/>
    <n v="146"/>
    <m/>
    <n v="0"/>
    <n v="0"/>
    <n v="0"/>
    <n v="48.666666666666664"/>
    <n v="48.666666666666664"/>
    <n v="48.666666666666664"/>
    <n v="0"/>
    <s v="Y"/>
    <n v="0"/>
    <n v="0"/>
    <n v="0"/>
    <n v="0"/>
    <n v="0"/>
    <s v="St. Margarets and North Twickenham"/>
    <m/>
    <m/>
    <m/>
    <m/>
    <x v="0"/>
  </r>
  <r>
    <s v="16/3293/RES"/>
    <s v="NEW"/>
    <m/>
    <s v="Land At Junction Of A316 And Langhorn Drive And Richmond College Site Egerton Road Twickenham"/>
    <s v="Detailed Reserved Matters application including Appearance, Landscaping, Layout and Scale for the Schools Development Zone pursuant to Conditions U08026 and U08031 of Outline Planning Permission 15/3038/OUT dated 16.08.16 (Outline application for the dem"/>
    <d v="2017-03-13T00:00:00"/>
    <m/>
    <x v="1"/>
    <s v="Intermediate"/>
    <n v="515304"/>
    <n v="173889"/>
    <m/>
    <n v="0"/>
    <n v="0"/>
    <n v="0"/>
    <n v="0"/>
    <m/>
    <m/>
    <m/>
    <n v="0"/>
    <m/>
    <n v="6"/>
    <n v="2"/>
    <m/>
    <m/>
    <m/>
    <m/>
    <m/>
    <n v="8"/>
    <m/>
    <n v="6"/>
    <n v="2"/>
    <n v="0"/>
    <n v="0"/>
    <n v="0"/>
    <n v="0"/>
    <n v="0"/>
    <n v="8"/>
    <m/>
    <n v="0"/>
    <n v="0"/>
    <n v="0"/>
    <n v="2.6666666666666665"/>
    <n v="2.6666666666666665"/>
    <n v="2.6666666666666665"/>
    <n v="0"/>
    <s v="Y"/>
    <n v="0"/>
    <n v="0"/>
    <n v="0"/>
    <n v="0"/>
    <n v="0"/>
    <s v="St. Margarets and North Twickenham"/>
    <m/>
    <m/>
    <m/>
    <m/>
    <x v="0"/>
  </r>
  <r>
    <s v="16/3450/FUL"/>
    <s v="NEW"/>
    <m/>
    <s v="Land At 149 - 151 Heath Road Twickenham"/>
    <s v="Demolition of existing buildings and removal of advertising hoardings. Resiting of existing recycling bins. Erection of a part 3 storey part 4 storey building with commercial use (Flexible Use Class A1, A2 and/or B1a) on the ground floor with 9 flats (4"/>
    <d v="2018-09-03T00:00:00"/>
    <m/>
    <x v="1"/>
    <s v="Open Market"/>
    <n v="515669"/>
    <n v="173102"/>
    <m/>
    <n v="0"/>
    <n v="0"/>
    <n v="0"/>
    <n v="0"/>
    <m/>
    <m/>
    <m/>
    <n v="0"/>
    <m/>
    <n v="8"/>
    <n v="1"/>
    <n v="0"/>
    <n v="0"/>
    <m/>
    <m/>
    <m/>
    <n v="9"/>
    <m/>
    <n v="8"/>
    <n v="1"/>
    <n v="0"/>
    <n v="0"/>
    <n v="0"/>
    <n v="0"/>
    <n v="0"/>
    <n v="9"/>
    <m/>
    <n v="0"/>
    <n v="4.5"/>
    <n v="4.5"/>
    <n v="0"/>
    <n v="0"/>
    <n v="0"/>
    <n v="0"/>
    <s v="Y"/>
    <n v="0"/>
    <n v="0"/>
    <n v="0"/>
    <n v="0"/>
    <n v="0"/>
    <s v="South Twickenham"/>
    <m/>
    <m/>
    <s v="Twickenham"/>
    <m/>
    <x v="0"/>
  </r>
  <r>
    <s v="16/3485/FUL"/>
    <s v="CON"/>
    <m/>
    <s v="11 And 12 Upper Lodge Mews_x000a_Bushy Park_x000a_Hampton Hill"/>
    <s v="Conversion of number 11 Upper Lodge Mews and number 12 Upper Lodge Mews into one dwelling house with internal refurbishment."/>
    <m/>
    <m/>
    <x v="1"/>
    <s v="Open Market"/>
    <n v="514501"/>
    <n v="170687"/>
    <m/>
    <n v="0"/>
    <n v="0"/>
    <n v="2"/>
    <n v="0"/>
    <m/>
    <m/>
    <m/>
    <n v="2"/>
    <m/>
    <n v="0"/>
    <n v="0"/>
    <n v="0"/>
    <n v="1"/>
    <m/>
    <m/>
    <m/>
    <n v="1"/>
    <m/>
    <n v="0"/>
    <n v="0"/>
    <n v="-2"/>
    <n v="1"/>
    <n v="0"/>
    <n v="0"/>
    <n v="0"/>
    <n v="-1"/>
    <m/>
    <n v="0"/>
    <n v="0"/>
    <n v="0"/>
    <n v="0"/>
    <n v="0"/>
    <n v="0"/>
    <n v="0"/>
    <n v="0"/>
    <n v="0"/>
    <n v="0"/>
    <n v="0"/>
    <n v="0"/>
    <n v="0"/>
    <s v="Fulwell and Hampton Hill"/>
    <m/>
    <m/>
    <m/>
    <m/>
    <x v="0"/>
  </r>
  <r>
    <s v="16/3552/FUL"/>
    <s v="MIX"/>
    <m/>
    <s v="St Michaels Convent 56 Ham Common Ham TW10 7JH"/>
    <s v="Conversion and extension of the existing convent buildings (following demolition of some mid-20th century extensions), together with new build apartments and houses, to provide a total of 23 residential retirement units, an estate managers office and mee"/>
    <d v="2018-04-25T00:00:00"/>
    <m/>
    <x v="1"/>
    <s v="Open Market"/>
    <n v="517752"/>
    <n v="172177"/>
    <m/>
    <n v="0"/>
    <n v="0"/>
    <n v="0"/>
    <n v="0"/>
    <m/>
    <m/>
    <m/>
    <n v="0"/>
    <m/>
    <n v="1"/>
    <n v="20"/>
    <n v="1"/>
    <n v="1"/>
    <m/>
    <m/>
    <m/>
    <n v="23"/>
    <m/>
    <n v="1"/>
    <n v="20"/>
    <n v="1"/>
    <n v="1"/>
    <n v="0"/>
    <n v="0"/>
    <n v="0"/>
    <n v="23"/>
    <m/>
    <n v="0"/>
    <n v="23"/>
    <n v="0"/>
    <n v="0"/>
    <n v="0"/>
    <n v="0"/>
    <n v="0"/>
    <n v="0"/>
    <n v="0"/>
    <n v="0"/>
    <n v="0"/>
    <n v="0"/>
    <n v="0"/>
    <s v="Ham, Petersham and Richmond Riverside"/>
    <m/>
    <m/>
    <m/>
    <m/>
    <x v="0"/>
  </r>
  <r>
    <s v="16/3625/FUL"/>
    <s v="NEW"/>
    <m/>
    <s v="65 Holly Road Twickenham TW1 4HF"/>
    <s v="Demolition of existing car repair workshop and replacement with 1 no. ground floor B1(a) commercial unit and 1 no. 2 bed residential unit with associated landscaping, car and cycle parking."/>
    <d v="2018-09-01T00:00:00"/>
    <m/>
    <x v="1"/>
    <s v="Open Market"/>
    <n v="516115"/>
    <n v="173199"/>
    <m/>
    <n v="0"/>
    <n v="0"/>
    <n v="0"/>
    <n v="0"/>
    <m/>
    <m/>
    <m/>
    <n v="0"/>
    <m/>
    <n v="0"/>
    <n v="1"/>
    <n v="0"/>
    <n v="0"/>
    <m/>
    <m/>
    <m/>
    <n v="1"/>
    <m/>
    <n v="0"/>
    <n v="1"/>
    <n v="0"/>
    <n v="0"/>
    <n v="0"/>
    <n v="0"/>
    <n v="0"/>
    <n v="1"/>
    <m/>
    <n v="0"/>
    <n v="1"/>
    <n v="0"/>
    <n v="0"/>
    <n v="0"/>
    <n v="0"/>
    <n v="0"/>
    <n v="0"/>
    <n v="0"/>
    <n v="0"/>
    <n v="0"/>
    <n v="0"/>
    <n v="0"/>
    <s v="Twickenham Riverside"/>
    <m/>
    <m/>
    <s v="Twickenham"/>
    <m/>
    <x v="0"/>
  </r>
  <r>
    <s v="16/3685/FUL"/>
    <s v="EXT"/>
    <m/>
    <s v="11 Tayben Avenue Twickenham TW2 7RA"/>
    <s v="Demolition of existing garage. Alterations to main entrance, installation of ramp, loft conversion comprising hip to gable roof extension to rear roof slope, dormer on side roof slope, enlargement of single storey rear extension and two storey side exten"/>
    <m/>
    <d v="2019-08-31T00:00:00"/>
    <x v="1"/>
    <s v="Open Market"/>
    <n v="515385"/>
    <n v="174051"/>
    <m/>
    <n v="0"/>
    <n v="0"/>
    <n v="1"/>
    <n v="0"/>
    <m/>
    <m/>
    <m/>
    <n v="1"/>
    <m/>
    <n v="0"/>
    <n v="2"/>
    <n v="0"/>
    <n v="0"/>
    <m/>
    <m/>
    <m/>
    <n v="2"/>
    <m/>
    <n v="0"/>
    <n v="2"/>
    <n v="-1"/>
    <n v="0"/>
    <n v="0"/>
    <n v="0"/>
    <n v="0"/>
    <n v="1"/>
    <m/>
    <n v="0"/>
    <n v="1"/>
    <n v="0"/>
    <n v="0"/>
    <n v="0"/>
    <n v="0"/>
    <n v="0"/>
    <n v="0"/>
    <n v="0"/>
    <n v="0"/>
    <n v="0"/>
    <n v="0"/>
    <n v="0"/>
    <s v="St. Margarets and North Twickenham"/>
    <m/>
    <m/>
    <m/>
    <m/>
    <x v="0"/>
  </r>
  <r>
    <s v="16/3961/FUL"/>
    <s v="NEW"/>
    <m/>
    <s v="8 Barnes High Street_x000a_Barnes_x000a_London_x000a_SW13 9LW"/>
    <s v="Demolition of rear stock room and yard to create a 2 bedroom dwelling over 2 floors with one integral parking space at ground level."/>
    <d v="2019-01-14T00:00:00"/>
    <m/>
    <x v="1"/>
    <s v="Open Market"/>
    <n v="521729"/>
    <n v="176400"/>
    <m/>
    <n v="0"/>
    <n v="0"/>
    <n v="0"/>
    <n v="0"/>
    <m/>
    <m/>
    <m/>
    <n v="0"/>
    <m/>
    <n v="0"/>
    <n v="1"/>
    <n v="0"/>
    <n v="0"/>
    <m/>
    <m/>
    <m/>
    <n v="1"/>
    <m/>
    <n v="0"/>
    <n v="1"/>
    <n v="0"/>
    <n v="0"/>
    <n v="0"/>
    <n v="0"/>
    <n v="0"/>
    <n v="1"/>
    <m/>
    <n v="0"/>
    <n v="1"/>
    <n v="0"/>
    <n v="0"/>
    <n v="0"/>
    <n v="0"/>
    <n v="0"/>
    <n v="0"/>
    <n v="0"/>
    <n v="0"/>
    <n v="0"/>
    <n v="0"/>
    <n v="0"/>
    <s v="Mortlake and Barnes Common"/>
    <m/>
    <s v="High Street"/>
    <m/>
    <m/>
    <x v="0"/>
  </r>
  <r>
    <s v="16/4193/FUL"/>
    <s v="NEW"/>
    <m/>
    <s v="12 Broad Lane_x000a_Hampton_x000a_TW12 3AW"/>
    <s v="Demolition of existing two-storey house and erection of replacement two-storey new build house with accommodation in roof space, associated parking and landscaping."/>
    <m/>
    <m/>
    <x v="1"/>
    <s v="Open Market"/>
    <n v="513706"/>
    <n v="170624"/>
    <m/>
    <n v="0"/>
    <n v="0"/>
    <n v="0"/>
    <n v="1"/>
    <m/>
    <m/>
    <m/>
    <n v="1"/>
    <m/>
    <n v="0"/>
    <n v="0"/>
    <n v="0"/>
    <n v="1"/>
    <m/>
    <m/>
    <m/>
    <n v="1"/>
    <m/>
    <n v="0"/>
    <n v="0"/>
    <n v="0"/>
    <n v="0"/>
    <n v="0"/>
    <n v="0"/>
    <n v="0"/>
    <n v="0"/>
    <m/>
    <n v="0"/>
    <n v="0"/>
    <n v="0"/>
    <n v="0"/>
    <n v="0"/>
    <n v="0"/>
    <n v="0"/>
    <n v="0"/>
    <n v="0"/>
    <n v="0"/>
    <n v="0"/>
    <n v="0"/>
    <n v="0"/>
    <s v="Hampton North"/>
    <m/>
    <m/>
    <m/>
    <m/>
    <x v="0"/>
  </r>
  <r>
    <s v="16/4405/FUL"/>
    <s v="NEW"/>
    <m/>
    <s v="46 Sixth Cross Road Twickenham TW2 5PB"/>
    <s v="Demolition of an existing 3 bedroom bungalow and erection of a new 4 bedroom two storey dwelling (including loft accommodation) with associated landscaping works)."/>
    <d v="2017-09-01T00:00:00"/>
    <m/>
    <x v="1"/>
    <s v="Open Market"/>
    <n v="514468"/>
    <n v="172144"/>
    <m/>
    <n v="0"/>
    <n v="0"/>
    <n v="1"/>
    <n v="0"/>
    <m/>
    <m/>
    <m/>
    <n v="1"/>
    <m/>
    <n v="0"/>
    <n v="0"/>
    <n v="0"/>
    <n v="1"/>
    <m/>
    <m/>
    <m/>
    <n v="1"/>
    <m/>
    <n v="0"/>
    <n v="0"/>
    <n v="-1"/>
    <n v="1"/>
    <n v="0"/>
    <n v="0"/>
    <n v="0"/>
    <n v="0"/>
    <m/>
    <n v="0"/>
    <n v="0"/>
    <n v="0"/>
    <n v="0"/>
    <n v="0"/>
    <n v="0"/>
    <n v="0"/>
    <n v="0"/>
    <n v="0"/>
    <n v="0"/>
    <n v="0"/>
    <n v="0"/>
    <n v="0"/>
    <s v="West Twickenham"/>
    <m/>
    <m/>
    <m/>
    <m/>
    <x v="0"/>
  </r>
  <r>
    <s v="17/0164/GPD15"/>
    <s v="CHU"/>
    <m/>
    <s v="Ground Floor_x000d_101 Holly Road_x000d_Twickenham_x000d_TW1 4HQ_x000d_"/>
    <s v="Change of use of ground floor office from B1(a) (Office) to C3 (residential) use to provide 1 no. 1 bed dwelling unit"/>
    <d v="2018-10-01T00:00:00"/>
    <d v="2019-04-24T00:00:00"/>
    <x v="1"/>
    <s v="Open Market"/>
    <n v="516177"/>
    <n v="173221"/>
    <m/>
    <n v="0"/>
    <n v="0"/>
    <n v="0"/>
    <n v="0"/>
    <m/>
    <m/>
    <m/>
    <n v="0"/>
    <m/>
    <n v="1"/>
    <n v="0"/>
    <n v="0"/>
    <n v="0"/>
    <m/>
    <m/>
    <m/>
    <n v="1"/>
    <m/>
    <n v="1"/>
    <n v="0"/>
    <n v="0"/>
    <n v="0"/>
    <n v="0"/>
    <n v="0"/>
    <n v="0"/>
    <n v="1"/>
    <m/>
    <n v="0"/>
    <n v="1"/>
    <n v="0"/>
    <n v="0"/>
    <n v="0"/>
    <n v="0"/>
    <n v="0"/>
    <n v="0"/>
    <n v="0"/>
    <n v="0"/>
    <n v="0"/>
    <n v="0"/>
    <n v="0"/>
    <s v="Twickenham Riverside"/>
    <m/>
    <m/>
    <s v="Twickenham"/>
    <m/>
    <x v="0"/>
  </r>
  <r>
    <s v="17/0220/GPD15"/>
    <s v="CHU"/>
    <s v="PA"/>
    <s v="5 King Edward Mews_x000a_Barnes_x000a_London_x000a_SW13 9HD"/>
    <s v="Change of use of ground floor office (use class B1(a)) to residential dwelling (use class C3)."/>
    <d v="2016-02-01T00:00:00"/>
    <m/>
    <x v="1"/>
    <s v="Open Market"/>
    <n v="522197"/>
    <n v="176636"/>
    <m/>
    <n v="0"/>
    <n v="0"/>
    <n v="0"/>
    <n v="0"/>
    <m/>
    <m/>
    <m/>
    <n v="0"/>
    <m/>
    <n v="1"/>
    <n v="0"/>
    <n v="0"/>
    <n v="0"/>
    <m/>
    <m/>
    <m/>
    <n v="1"/>
    <m/>
    <n v="1"/>
    <n v="0"/>
    <n v="0"/>
    <n v="0"/>
    <n v="0"/>
    <n v="0"/>
    <n v="0"/>
    <n v="1"/>
    <m/>
    <n v="0"/>
    <n v="0"/>
    <n v="1"/>
    <n v="0"/>
    <n v="0"/>
    <n v="0"/>
    <n v="0"/>
    <s v="Y"/>
    <n v="0"/>
    <n v="0"/>
    <n v="0"/>
    <n v="0"/>
    <n v="0"/>
    <s v="Barnes"/>
    <m/>
    <m/>
    <m/>
    <m/>
    <x v="0"/>
  </r>
  <r>
    <s v="17/0396/FUL"/>
    <s v="NEW"/>
    <m/>
    <s v="Garage Site Craig Road Ham"/>
    <s v="Demolition of existing garages and creation of 3 x 1bed 2person flats and 1 x 2bed 3-person bungalow with associated parking and landscaping."/>
    <d v="2019-02-01T00:00:00"/>
    <m/>
    <x v="1"/>
    <s v="Affordable Rent"/>
    <n v="517438"/>
    <n v="171815"/>
    <m/>
    <n v="0"/>
    <n v="0"/>
    <n v="0"/>
    <n v="0"/>
    <m/>
    <m/>
    <m/>
    <n v="0"/>
    <m/>
    <n v="3"/>
    <n v="1"/>
    <n v="0"/>
    <n v="0"/>
    <m/>
    <m/>
    <m/>
    <n v="4"/>
    <m/>
    <n v="3"/>
    <n v="1"/>
    <n v="0"/>
    <n v="0"/>
    <n v="0"/>
    <n v="0"/>
    <n v="0"/>
    <n v="4"/>
    <m/>
    <n v="0"/>
    <n v="0"/>
    <n v="4"/>
    <n v="0"/>
    <n v="0"/>
    <n v="0"/>
    <n v="0"/>
    <s v="Y"/>
    <n v="0"/>
    <n v="0"/>
    <n v="0"/>
    <n v="0"/>
    <n v="0"/>
    <s v="Ham, Petersham and Richmond Riverside"/>
    <m/>
    <m/>
    <m/>
    <m/>
    <x v="0"/>
  </r>
  <r>
    <s v="17/0605/FUL"/>
    <s v="EXT"/>
    <m/>
    <s v="114 Sheen Road Richmond TW9 1UR"/>
    <s v="Two-storey rear and basement extensions to provide additional retail and ancillary accommodation."/>
    <m/>
    <d v="2019-03-01T00:00:00"/>
    <x v="1"/>
    <s v="Open Market"/>
    <n v="518536"/>
    <n v="175085"/>
    <m/>
    <n v="0"/>
    <n v="0"/>
    <n v="0"/>
    <n v="0"/>
    <m/>
    <m/>
    <m/>
    <n v="0"/>
    <m/>
    <n v="0"/>
    <n v="0"/>
    <n v="0"/>
    <n v="0"/>
    <m/>
    <m/>
    <m/>
    <n v="0"/>
    <m/>
    <n v="0"/>
    <n v="0"/>
    <n v="0"/>
    <n v="0"/>
    <n v="0"/>
    <n v="0"/>
    <n v="0"/>
    <n v="0"/>
    <m/>
    <n v="0"/>
    <n v="0"/>
    <n v="0"/>
    <n v="0"/>
    <n v="0"/>
    <n v="0"/>
    <n v="0"/>
    <n v="0"/>
    <n v="0"/>
    <n v="0"/>
    <n v="0"/>
    <n v="0"/>
    <n v="0"/>
    <s v="South Richmond"/>
    <m/>
    <s v="Sheen Road"/>
    <m/>
    <m/>
    <x v="0"/>
  </r>
  <r>
    <s v="17/0956/FUL"/>
    <s v="NEW"/>
    <m/>
    <s v="Rear Of 74 Church Road Barnes SW13 0DQ"/>
    <s v="Proposed demolition of existing buildings and erection of residential-led mixed-use development and associated works."/>
    <d v="2019-01-15T00:00:00"/>
    <m/>
    <x v="1"/>
    <s v="Open Market"/>
    <n v="522302"/>
    <n v="176537"/>
    <m/>
    <n v="0"/>
    <n v="0"/>
    <n v="0"/>
    <n v="0"/>
    <m/>
    <m/>
    <m/>
    <n v="0"/>
    <m/>
    <n v="2"/>
    <n v="4"/>
    <n v="0"/>
    <n v="0"/>
    <m/>
    <m/>
    <m/>
    <n v="6"/>
    <m/>
    <n v="2"/>
    <n v="4"/>
    <n v="0"/>
    <n v="0"/>
    <n v="0"/>
    <n v="0"/>
    <n v="0"/>
    <n v="6"/>
    <m/>
    <n v="0"/>
    <n v="0"/>
    <n v="6"/>
    <n v="0"/>
    <n v="0"/>
    <n v="0"/>
    <n v="0"/>
    <s v="Y"/>
    <n v="0"/>
    <n v="0"/>
    <n v="0"/>
    <n v="0"/>
    <n v="0"/>
    <s v="Barnes"/>
    <m/>
    <s v="Church Road/Castelnau"/>
    <m/>
    <m/>
    <x v="0"/>
  </r>
  <r>
    <s v="17/1207/FUL"/>
    <s v="NEW"/>
    <m/>
    <s v="12 Princes Road_x000d_Kew_x000d_Richmond_x000d_TW9 3HP"/>
    <s v="Redevelopment comprising ground floor Change of Use from MOT garage (B2) to a Dental Surgery (D1) and Office (B1); and replacement (over) of 1 no. 2-bed flat with 3 no. 2-bed flats; and associated landscaping."/>
    <d v="2018-10-01T00:00:00"/>
    <m/>
    <x v="1"/>
    <s v="Open Market"/>
    <n v="518953"/>
    <n v="176997"/>
    <m/>
    <n v="0"/>
    <n v="1"/>
    <n v="0"/>
    <n v="0"/>
    <m/>
    <m/>
    <m/>
    <n v="1"/>
    <m/>
    <n v="0"/>
    <n v="3"/>
    <n v="0"/>
    <n v="0"/>
    <m/>
    <m/>
    <m/>
    <n v="3"/>
    <m/>
    <n v="0"/>
    <n v="2"/>
    <n v="0"/>
    <n v="0"/>
    <n v="0"/>
    <n v="0"/>
    <n v="0"/>
    <n v="2"/>
    <m/>
    <n v="0"/>
    <n v="2"/>
    <n v="0"/>
    <n v="0"/>
    <n v="0"/>
    <n v="0"/>
    <n v="0"/>
    <n v="0"/>
    <n v="0"/>
    <n v="0"/>
    <n v="0"/>
    <n v="0"/>
    <n v="0"/>
    <s v="Kew"/>
    <m/>
    <m/>
    <m/>
    <m/>
    <x v="0"/>
  </r>
  <r>
    <s v="17/1286/VRC"/>
    <s v="NEW"/>
    <m/>
    <s v="Teddington Studios Broom Road Teddington"/>
    <s v="Variation of approved drawing nos attached to 14/0914/FUL to allow for the development of Block B as two blocks and an increase in the overall number of units from 220 to 238 and minor changes to the riverside walkway._x000d_To allow changes to the internal la"/>
    <d v="2017-10-05T00:00:00"/>
    <m/>
    <x v="1"/>
    <s v="Open Market"/>
    <n v="516802"/>
    <n v="171333"/>
    <m/>
    <n v="0"/>
    <n v="0"/>
    <n v="0"/>
    <n v="0"/>
    <m/>
    <m/>
    <m/>
    <n v="0"/>
    <m/>
    <n v="23"/>
    <n v="65"/>
    <n v="52"/>
    <n v="6"/>
    <m/>
    <m/>
    <m/>
    <n v="146"/>
    <m/>
    <n v="23"/>
    <n v="65"/>
    <n v="52"/>
    <n v="6"/>
    <n v="0"/>
    <n v="0"/>
    <n v="0"/>
    <n v="146"/>
    <m/>
    <n v="0"/>
    <n v="0"/>
    <n v="73"/>
    <n v="73"/>
    <n v="0"/>
    <n v="0"/>
    <n v="0"/>
    <s v="Y"/>
    <n v="0"/>
    <n v="0"/>
    <n v="0"/>
    <n v="0"/>
    <n v="0"/>
    <s v="Teddington"/>
    <m/>
    <m/>
    <m/>
    <s v="Thames Policy Area"/>
    <x v="0"/>
  </r>
  <r>
    <s v="17/1286/VRC"/>
    <s v="NEW"/>
    <m/>
    <s v="Teddington Studios Broom Road Teddington"/>
    <s v="Variation of approved drawing nos attached to 14/0914/FUL to allow for the development of Block B as two blocks and an increase in the overall number of units from 220 to 238 and minor changes to the riverside walkway._x000d_To allow changes to the internal la"/>
    <d v="2017-10-05T00:00:00"/>
    <m/>
    <x v="1"/>
    <s v="Affordable Rent"/>
    <n v="516802"/>
    <n v="171333"/>
    <m/>
    <n v="0"/>
    <n v="0"/>
    <n v="0"/>
    <n v="0"/>
    <m/>
    <m/>
    <m/>
    <n v="0"/>
    <m/>
    <n v="4"/>
    <n v="11"/>
    <n v="0"/>
    <n v="0"/>
    <m/>
    <m/>
    <m/>
    <n v="15"/>
    <m/>
    <n v="4"/>
    <n v="11"/>
    <n v="0"/>
    <n v="0"/>
    <n v="0"/>
    <n v="0"/>
    <n v="0"/>
    <n v="15"/>
    <m/>
    <n v="0"/>
    <n v="15"/>
    <n v="0"/>
    <n v="0"/>
    <n v="0"/>
    <n v="0"/>
    <n v="0"/>
    <n v="0"/>
    <n v="0"/>
    <n v="0"/>
    <n v="0"/>
    <n v="0"/>
    <n v="0"/>
    <s v="Teddington"/>
    <m/>
    <m/>
    <m/>
    <s v="Thames Policy Area"/>
    <x v="0"/>
  </r>
  <r>
    <s v="17/1534/FUL"/>
    <s v="CHU"/>
    <m/>
    <s v="The Bungalow Oldfield Centre Oldfield Road Hampton TW12 2HP"/>
    <s v="Temporary change of use from residential (use class C3) to a community centre (use class D2) (temporary use for 2 years)."/>
    <d v="2019-01-14T00:00:00"/>
    <m/>
    <x v="1"/>
    <s v="Open Market"/>
    <n v="512735"/>
    <n v="169696"/>
    <m/>
    <n v="0"/>
    <n v="1"/>
    <n v="0"/>
    <n v="0"/>
    <m/>
    <m/>
    <m/>
    <n v="1"/>
    <m/>
    <n v="0"/>
    <n v="0"/>
    <n v="0"/>
    <n v="0"/>
    <m/>
    <m/>
    <m/>
    <n v="0"/>
    <m/>
    <n v="0"/>
    <n v="-1"/>
    <n v="0"/>
    <n v="0"/>
    <n v="0"/>
    <n v="0"/>
    <n v="0"/>
    <n v="-1"/>
    <m/>
    <n v="0"/>
    <n v="-1"/>
    <n v="0"/>
    <n v="0"/>
    <n v="0"/>
    <n v="0"/>
    <n v="0"/>
    <n v="0"/>
    <n v="0"/>
    <n v="0"/>
    <n v="0"/>
    <n v="0"/>
    <n v="0"/>
    <s v="Hampton"/>
    <s v="Y"/>
    <m/>
    <m/>
    <m/>
    <x v="0"/>
  </r>
  <r>
    <s v="17/1996/FUL"/>
    <s v="NEW"/>
    <m/>
    <s v="49 Clifford Avenue East Sheen SW14 7BW"/>
    <s v="Demolition of existing outbuildings and construction of 2 No. detached dwellinghouses."/>
    <m/>
    <m/>
    <x v="1"/>
    <s v="Open Market"/>
    <n v="519840"/>
    <n v="175428"/>
    <m/>
    <n v="0"/>
    <n v="0"/>
    <n v="0"/>
    <n v="0"/>
    <m/>
    <m/>
    <m/>
    <n v="0"/>
    <m/>
    <n v="0"/>
    <n v="0"/>
    <n v="0"/>
    <n v="2"/>
    <m/>
    <m/>
    <m/>
    <n v="2"/>
    <m/>
    <n v="0"/>
    <n v="0"/>
    <n v="0"/>
    <n v="2"/>
    <n v="0"/>
    <n v="0"/>
    <n v="0"/>
    <n v="2"/>
    <m/>
    <n v="0"/>
    <n v="2"/>
    <n v="0"/>
    <n v="0"/>
    <n v="0"/>
    <n v="0"/>
    <n v="0"/>
    <n v="0"/>
    <n v="0"/>
    <n v="0"/>
    <n v="0"/>
    <n v="0"/>
    <n v="0"/>
    <s v="North Richmond"/>
    <m/>
    <m/>
    <m/>
    <m/>
    <x v="0"/>
  </r>
  <r>
    <s v="17/2488/FUL"/>
    <s v="NEW"/>
    <m/>
    <s v="32 Fife Road East Sheen SW14 7EL"/>
    <s v="Replacement dwellinghouse with associated landscaping, boundary treatment and summer house."/>
    <d v="2018-12-01T00:00:00"/>
    <m/>
    <x v="1"/>
    <s v="Open Market"/>
    <n v="520119"/>
    <n v="174521"/>
    <m/>
    <n v="0"/>
    <n v="0"/>
    <n v="0"/>
    <n v="0"/>
    <n v="1"/>
    <m/>
    <m/>
    <n v="1"/>
    <m/>
    <n v="0"/>
    <n v="0"/>
    <n v="0"/>
    <n v="0"/>
    <m/>
    <n v="1"/>
    <m/>
    <n v="1"/>
    <m/>
    <n v="0"/>
    <n v="0"/>
    <n v="0"/>
    <n v="0"/>
    <n v="-1"/>
    <n v="1"/>
    <n v="0"/>
    <n v="0"/>
    <m/>
    <n v="0"/>
    <n v="0"/>
    <n v="0"/>
    <n v="0"/>
    <n v="0"/>
    <n v="0"/>
    <n v="0"/>
    <n v="0"/>
    <n v="0"/>
    <n v="0"/>
    <n v="0"/>
    <n v="0"/>
    <n v="0"/>
    <s v="East Sheen"/>
    <m/>
    <m/>
    <m/>
    <m/>
    <x v="0"/>
  </r>
  <r>
    <s v="17/2534/FUL"/>
    <s v="CON"/>
    <m/>
    <s v="1 Royston Road Richmond"/>
    <s v="Creation of a single storey rear and side extension and conversion of the two lower flats and upper maisonette into a single dwelling house"/>
    <d v="2019-03-01T00:00:00"/>
    <m/>
    <x v="1"/>
    <s v="Open Market"/>
    <n v="518396"/>
    <n v="174632"/>
    <m/>
    <n v="2"/>
    <n v="1"/>
    <n v="0"/>
    <n v="0"/>
    <m/>
    <m/>
    <m/>
    <n v="3"/>
    <m/>
    <n v="0"/>
    <n v="0"/>
    <n v="0"/>
    <n v="0"/>
    <n v="1"/>
    <m/>
    <m/>
    <n v="1"/>
    <m/>
    <n v="-2"/>
    <n v="-1"/>
    <n v="0"/>
    <n v="0"/>
    <n v="1"/>
    <n v="0"/>
    <n v="0"/>
    <n v="-2"/>
    <m/>
    <n v="0"/>
    <n v="-2"/>
    <n v="0"/>
    <n v="0"/>
    <n v="0"/>
    <n v="0"/>
    <n v="0"/>
    <n v="0"/>
    <n v="0"/>
    <n v="0"/>
    <n v="0"/>
    <n v="0"/>
    <n v="0"/>
    <s v="South Richmond"/>
    <m/>
    <m/>
    <m/>
    <m/>
    <x v="0"/>
  </r>
  <r>
    <s v="17/2769/FUL"/>
    <s v="NEW"/>
    <m/>
    <s v="54 Sandy Lane_x000a_Petersham_x000a_Richmond_x000a_TW10 7EL"/>
    <s v="Demolition of existing detached dwelling and construction of a new 2 storey, 5 bedroom dwelling."/>
    <d v="2018-11-30T00:00:00"/>
    <m/>
    <x v="1"/>
    <s v="Open Market"/>
    <n v="517655"/>
    <n v="172610"/>
    <m/>
    <n v="0"/>
    <n v="0"/>
    <n v="1"/>
    <n v="0"/>
    <m/>
    <m/>
    <m/>
    <n v="1"/>
    <m/>
    <n v="0"/>
    <n v="0"/>
    <n v="0"/>
    <n v="0"/>
    <n v="1"/>
    <m/>
    <m/>
    <n v="1"/>
    <m/>
    <n v="0"/>
    <n v="0"/>
    <n v="-1"/>
    <n v="0"/>
    <n v="1"/>
    <n v="0"/>
    <n v="0"/>
    <n v="0"/>
    <m/>
    <n v="0"/>
    <n v="0"/>
    <n v="0"/>
    <n v="0"/>
    <n v="0"/>
    <n v="0"/>
    <n v="0"/>
    <n v="0"/>
    <n v="0"/>
    <n v="0"/>
    <n v="0"/>
    <n v="0"/>
    <n v="0"/>
    <s v="Ham, Petersham and Richmond Riverside"/>
    <m/>
    <m/>
    <m/>
    <m/>
    <x v="0"/>
  </r>
  <r>
    <s v="17/2779/NMA"/>
    <s v="NEW"/>
    <m/>
    <s v="HMP Latchmere House Church Road Ham TW10 5HH"/>
    <s v="Non Material Amendment to Planning Permission 17/2779/VRC  (Removal of condition U05665 - NS09 (Formally condition 9 - Lifetime Homes Standards) of Planning Permission 16/0523/VRC) Amendments to include internal amendments to revise housing mix in Latchm"/>
    <d v="2016-05-02T00:00:00"/>
    <m/>
    <x v="1"/>
    <s v="Open Market"/>
    <n v="518534"/>
    <n v="171320"/>
    <m/>
    <n v="0"/>
    <n v="0"/>
    <n v="0"/>
    <n v="0"/>
    <m/>
    <m/>
    <m/>
    <n v="0"/>
    <m/>
    <n v="1"/>
    <n v="4"/>
    <n v="2"/>
    <n v="6"/>
    <n v="4"/>
    <m/>
    <m/>
    <n v="17"/>
    <m/>
    <n v="1"/>
    <n v="4"/>
    <n v="2"/>
    <n v="6"/>
    <n v="4"/>
    <n v="0"/>
    <n v="0"/>
    <n v="17"/>
    <m/>
    <n v="0"/>
    <n v="0"/>
    <n v="17"/>
    <n v="0"/>
    <n v="0"/>
    <n v="0"/>
    <n v="0"/>
    <s v="Y"/>
    <n v="0"/>
    <n v="0"/>
    <n v="0"/>
    <n v="0"/>
    <n v="0"/>
    <s v="Ham, Petersham and Richmond Riverside"/>
    <m/>
    <m/>
    <m/>
    <m/>
    <x v="0"/>
  </r>
  <r>
    <s v="17/2939/FUL"/>
    <s v="CHU"/>
    <m/>
    <s v="54 White Hart Lane_x000a_Barnes_x000a_London_x000a_SW13 0PZ"/>
    <s v="Part conversion of rear shop unit and single storey side/rear extension to form a studio flat."/>
    <d v="2018-09-04T00:00:00"/>
    <m/>
    <x v="1"/>
    <s v="Open Market"/>
    <n v="521310"/>
    <n v="175864"/>
    <m/>
    <n v="0"/>
    <n v="0"/>
    <n v="0"/>
    <n v="0"/>
    <m/>
    <m/>
    <m/>
    <n v="0"/>
    <n v="1"/>
    <n v="0"/>
    <n v="0"/>
    <n v="0"/>
    <n v="0"/>
    <m/>
    <m/>
    <m/>
    <n v="1"/>
    <n v="1"/>
    <n v="0"/>
    <n v="0"/>
    <n v="0"/>
    <n v="0"/>
    <n v="0"/>
    <n v="0"/>
    <n v="0"/>
    <n v="1"/>
    <m/>
    <n v="0"/>
    <n v="1"/>
    <n v="0"/>
    <n v="0"/>
    <n v="0"/>
    <n v="0"/>
    <n v="0"/>
    <n v="0"/>
    <n v="0"/>
    <n v="0"/>
    <n v="0"/>
    <n v="0"/>
    <n v="0"/>
    <s v="Mortlake and Barnes Common"/>
    <m/>
    <s v="White Hart lane"/>
    <m/>
    <m/>
    <x v="0"/>
  </r>
  <r>
    <s v="17/2995/FUL"/>
    <s v="CHU"/>
    <m/>
    <s v="24 Larkfield Road Richmond"/>
    <s v="Change of use from a House in Multiple Occupation (Use Class C4) to create three self-contained flats (Use Class C3).  Installation of rear conservation rooflight, side ground floor window and replacement windows."/>
    <d v="2019-01-31T00:00:00"/>
    <m/>
    <x v="1"/>
    <s v="Open Market"/>
    <n v="518267"/>
    <n v="175282"/>
    <m/>
    <n v="1"/>
    <n v="0"/>
    <n v="0"/>
    <n v="0"/>
    <n v="1"/>
    <m/>
    <m/>
    <n v="2"/>
    <m/>
    <n v="1"/>
    <n v="2"/>
    <n v="0"/>
    <n v="0"/>
    <m/>
    <m/>
    <m/>
    <n v="3"/>
    <m/>
    <n v="0"/>
    <n v="2"/>
    <n v="0"/>
    <n v="0"/>
    <n v="-1"/>
    <n v="0"/>
    <n v="0"/>
    <n v="1"/>
    <m/>
    <n v="0"/>
    <n v="1"/>
    <n v="0"/>
    <n v="0"/>
    <n v="0"/>
    <n v="0"/>
    <n v="0"/>
    <n v="0"/>
    <n v="0"/>
    <n v="0"/>
    <n v="0"/>
    <n v="0"/>
    <n v="0"/>
    <s v="North Richmond"/>
    <m/>
    <m/>
    <m/>
    <m/>
    <x v="0"/>
  </r>
  <r>
    <s v="17/3132/FUL"/>
    <s v="NEW"/>
    <m/>
    <s v="22 Vivienne Close Twickenham TW1 2JX"/>
    <s v="Demolition of existing garage and construction of a two-storey, 3-bedroom house, with accommodation in the roof space. Formation of new vehicular access and 1 off-street parking space in front on no.22."/>
    <d v="2019-02-05T00:00:00"/>
    <m/>
    <x v="1"/>
    <s v="Open Market"/>
    <n v="517531"/>
    <n v="174067"/>
    <m/>
    <n v="0"/>
    <n v="0"/>
    <n v="0"/>
    <n v="0"/>
    <m/>
    <m/>
    <m/>
    <n v="0"/>
    <m/>
    <n v="0"/>
    <n v="0"/>
    <n v="1"/>
    <n v="0"/>
    <m/>
    <m/>
    <m/>
    <n v="1"/>
    <m/>
    <n v="0"/>
    <n v="0"/>
    <n v="1"/>
    <n v="0"/>
    <n v="0"/>
    <n v="0"/>
    <n v="0"/>
    <n v="1"/>
    <m/>
    <n v="0"/>
    <n v="1"/>
    <n v="0"/>
    <n v="0"/>
    <n v="0"/>
    <n v="0"/>
    <n v="0"/>
    <n v="0"/>
    <n v="0"/>
    <n v="0"/>
    <n v="0"/>
    <n v="0"/>
    <n v="0"/>
    <s v="Twickenham Riverside"/>
    <m/>
    <m/>
    <m/>
    <m/>
    <x v="1"/>
  </r>
  <r>
    <s v="17/3347/FUL"/>
    <s v="NEW"/>
    <m/>
    <s v="12 Westfields Avenue_x000a_Barnes_x000a_London_x000a_SW13 0AU"/>
    <s v="Erection of a pair of four-bedroom semi-detached dwellings together with landscaping, following demolition of existing hall building (use class D2)."/>
    <d v="2018-11-01T00:00:00"/>
    <m/>
    <x v="1"/>
    <s v="Open Market"/>
    <n v="521397"/>
    <n v="175828"/>
    <m/>
    <n v="0"/>
    <n v="0"/>
    <n v="0"/>
    <n v="0"/>
    <m/>
    <m/>
    <m/>
    <n v="0"/>
    <m/>
    <n v="0"/>
    <n v="0"/>
    <n v="0"/>
    <n v="2"/>
    <m/>
    <m/>
    <m/>
    <n v="2"/>
    <m/>
    <n v="0"/>
    <n v="0"/>
    <n v="0"/>
    <n v="2"/>
    <n v="0"/>
    <n v="0"/>
    <n v="0"/>
    <n v="2"/>
    <m/>
    <n v="0"/>
    <n v="0"/>
    <n v="2"/>
    <n v="0"/>
    <n v="0"/>
    <n v="0"/>
    <n v="0"/>
    <s v="Y"/>
    <n v="0"/>
    <n v="0"/>
    <n v="0"/>
    <n v="0"/>
    <n v="0"/>
    <s v="Mortlake and Barnes Common"/>
    <m/>
    <m/>
    <m/>
    <m/>
    <x v="0"/>
  </r>
  <r>
    <s v="17/4238/FUL"/>
    <s v="NEW"/>
    <m/>
    <s v="105 Queens Road_x000a_Teddington_x000a_TW11 0LZ"/>
    <s v="Demolition of the existing bungalow and construction of a new 6 bedroom detached house, to include external hard and soft landscaping to the front and rear, to be used as a children's home."/>
    <d v="2019-02-13T00:00:00"/>
    <m/>
    <x v="1"/>
    <s v="Other?"/>
    <n v="515649"/>
    <n v="170638"/>
    <m/>
    <n v="0"/>
    <n v="0"/>
    <n v="1"/>
    <n v="0"/>
    <m/>
    <m/>
    <m/>
    <n v="1"/>
    <m/>
    <n v="0"/>
    <n v="0"/>
    <n v="0"/>
    <n v="0"/>
    <m/>
    <n v="1"/>
    <m/>
    <n v="1"/>
    <m/>
    <n v="0"/>
    <n v="0"/>
    <n v="-1"/>
    <n v="0"/>
    <n v="0"/>
    <n v="1"/>
    <n v="0"/>
    <n v="0"/>
    <m/>
    <n v="0"/>
    <n v="0"/>
    <n v="0"/>
    <n v="0"/>
    <n v="0"/>
    <n v="0"/>
    <n v="0"/>
    <n v="0"/>
    <n v="0"/>
    <n v="0"/>
    <n v="0"/>
    <n v="0"/>
    <n v="0"/>
    <s v="Teddington"/>
    <m/>
    <m/>
    <m/>
    <m/>
    <x v="0"/>
  </r>
  <r>
    <s v="17/4268/FUL"/>
    <s v="NEW"/>
    <m/>
    <s v="41 Lonsdale Road Barnes"/>
    <s v="Demolition of existing garages and construction of a new part subterranean split level part two storey dwelling house, new landscaping to surrounding amenity space."/>
    <d v="2019-03-01T00:00:00"/>
    <m/>
    <x v="1"/>
    <s v="Open Market"/>
    <n v="522397"/>
    <n v="177790"/>
    <m/>
    <n v="0"/>
    <n v="0"/>
    <n v="0"/>
    <n v="0"/>
    <m/>
    <m/>
    <m/>
    <n v="0"/>
    <m/>
    <n v="0"/>
    <n v="0"/>
    <n v="1"/>
    <n v="0"/>
    <m/>
    <m/>
    <m/>
    <n v="1"/>
    <m/>
    <n v="0"/>
    <n v="0"/>
    <n v="1"/>
    <n v="0"/>
    <n v="0"/>
    <n v="0"/>
    <n v="0"/>
    <n v="1"/>
    <m/>
    <n v="0"/>
    <n v="1"/>
    <n v="0"/>
    <n v="0"/>
    <n v="0"/>
    <n v="0"/>
    <n v="0"/>
    <n v="0"/>
    <n v="0"/>
    <n v="0"/>
    <n v="0"/>
    <n v="0"/>
    <n v="0"/>
    <s v="Barnes"/>
    <m/>
    <m/>
    <m/>
    <m/>
    <x v="0"/>
  </r>
  <r>
    <s v="17/4517/VRC"/>
    <s v="NEW"/>
    <m/>
    <s v="66 Derby Road East Sheen SW14 7DP"/>
    <s v="Variation of condition U30401 (Approved drawings) of planning permission 17/2624/FUL (Demolition of the existing four bedroom house and erection of two semi-detached, four bedroom townhouses incorporating basements) to allow for internal alterations to l"/>
    <d v="2019-03-01T00:00:00"/>
    <m/>
    <x v="1"/>
    <s v="Open Market"/>
    <n v="519786"/>
    <n v="175060"/>
    <m/>
    <n v="0"/>
    <n v="0"/>
    <n v="0"/>
    <n v="1"/>
    <m/>
    <m/>
    <m/>
    <n v="1"/>
    <m/>
    <n v="0"/>
    <n v="0"/>
    <n v="0"/>
    <n v="0"/>
    <n v="2"/>
    <m/>
    <m/>
    <n v="2"/>
    <m/>
    <n v="0"/>
    <n v="0"/>
    <n v="0"/>
    <n v="-1"/>
    <n v="2"/>
    <n v="0"/>
    <n v="0"/>
    <n v="1"/>
    <m/>
    <n v="0"/>
    <n v="1"/>
    <n v="0"/>
    <n v="0"/>
    <n v="0"/>
    <n v="0"/>
    <n v="0"/>
    <n v="0"/>
    <n v="0"/>
    <n v="0"/>
    <n v="0"/>
    <n v="0"/>
    <n v="0"/>
    <s v="East Sheen"/>
    <m/>
    <m/>
    <m/>
    <m/>
    <x v="0"/>
  </r>
  <r>
    <s v="17/4606/FUL"/>
    <s v="NEW"/>
    <m/>
    <s v="1 Upper Ham Road Ham TW10 5LD"/>
    <s v="Construction of 2No. 3 bed dwellinghouses (including basement accommodation) with rear plot boundary alteration."/>
    <d v="2018-03-01T00:00:00"/>
    <m/>
    <x v="1"/>
    <s v="Open Market"/>
    <n v="517784"/>
    <n v="171703"/>
    <m/>
    <n v="0"/>
    <n v="0"/>
    <n v="1"/>
    <n v="0"/>
    <m/>
    <m/>
    <m/>
    <n v="1"/>
    <m/>
    <n v="0"/>
    <n v="0"/>
    <n v="2"/>
    <n v="0"/>
    <m/>
    <m/>
    <m/>
    <n v="2"/>
    <m/>
    <n v="0"/>
    <n v="0"/>
    <n v="1"/>
    <n v="0"/>
    <n v="0"/>
    <n v="0"/>
    <n v="0"/>
    <n v="1"/>
    <m/>
    <n v="0"/>
    <n v="1"/>
    <n v="0"/>
    <n v="0"/>
    <n v="0"/>
    <n v="0"/>
    <n v="0"/>
    <n v="0"/>
    <n v="0"/>
    <n v="0"/>
    <n v="0"/>
    <n v="0"/>
    <n v="0"/>
    <s v="Ham, Petersham and Richmond Riverside"/>
    <m/>
    <m/>
    <m/>
    <m/>
    <x v="0"/>
  </r>
  <r>
    <s v="18/0282/FUL"/>
    <s v="NEW"/>
    <m/>
    <s v="Upton House 19 - 20 Queens Ride Barnes SW13 0HX"/>
    <s v="Demolition of the existing 2 storey residential building and single storey garages and erection of a pair of semi-detached, 3 storey (plus basement) 4 bedroom dwellings with associated private gardens and off street parking.  Creation of a new crossover"/>
    <d v="2019-03-01T00:00:00"/>
    <m/>
    <x v="1"/>
    <s v="Open Market"/>
    <n v="522357"/>
    <n v="175528"/>
    <m/>
    <n v="0"/>
    <n v="0"/>
    <n v="2"/>
    <n v="0"/>
    <m/>
    <m/>
    <m/>
    <n v="2"/>
    <m/>
    <n v="0"/>
    <n v="0"/>
    <n v="0"/>
    <n v="2"/>
    <m/>
    <m/>
    <m/>
    <n v="2"/>
    <m/>
    <n v="0"/>
    <n v="0"/>
    <n v="-2"/>
    <n v="2"/>
    <n v="0"/>
    <n v="0"/>
    <n v="0"/>
    <n v="0"/>
    <m/>
    <n v="0"/>
    <n v="0"/>
    <n v="0"/>
    <n v="0"/>
    <n v="0"/>
    <n v="0"/>
    <n v="0"/>
    <n v="0"/>
    <n v="0"/>
    <n v="0"/>
    <n v="0"/>
    <n v="0"/>
    <n v="0"/>
    <s v="Mortlake and Barnes Common"/>
    <m/>
    <m/>
    <m/>
    <m/>
    <x v="0"/>
  </r>
  <r>
    <s v="18/0318/FUL"/>
    <s v="CON"/>
    <m/>
    <s v="Maisonette 35 Staines Road Twickenham TW2 5BG"/>
    <s v="Change of use of existing basement area to residential (C3); part single; part two-storey rear extension (following demolition of existing rear extensions/outrigger); hip to gable and rear dormer roof extension; two rooflights to the front roofslope; dec"/>
    <m/>
    <m/>
    <x v="1"/>
    <s v="Open Market"/>
    <n v="514998"/>
    <n v="172958"/>
    <m/>
    <n v="0"/>
    <n v="1"/>
    <n v="0"/>
    <n v="0"/>
    <m/>
    <m/>
    <m/>
    <n v="1"/>
    <m/>
    <n v="0"/>
    <n v="1"/>
    <n v="0"/>
    <n v="0"/>
    <m/>
    <m/>
    <m/>
    <n v="1"/>
    <m/>
    <n v="0"/>
    <n v="0"/>
    <n v="0"/>
    <n v="0"/>
    <n v="0"/>
    <n v="0"/>
    <n v="0"/>
    <n v="0"/>
    <m/>
    <n v="0"/>
    <n v="0"/>
    <n v="0"/>
    <n v="0"/>
    <n v="0"/>
    <n v="0"/>
    <n v="0"/>
    <n v="0"/>
    <n v="0"/>
    <n v="0"/>
    <n v="0"/>
    <n v="0"/>
    <n v="0"/>
    <s v="West Twickenham"/>
    <m/>
    <m/>
    <m/>
    <m/>
    <x v="0"/>
  </r>
  <r>
    <s v="18/0449/FUL"/>
    <s v="CON"/>
    <m/>
    <s v="1 North Cottage Hampton Court Road Hampton KT8 9BZ"/>
    <s v="Replacement window on first floor front elevation to facilitate the conversion of existing 2 bed maisonette into 2 x 1bedroom flats."/>
    <d v="2018-11-01T00:00:00"/>
    <m/>
    <x v="1"/>
    <s v="Open Market"/>
    <n v="515991"/>
    <n v="168830"/>
    <m/>
    <n v="0"/>
    <n v="1"/>
    <n v="0"/>
    <n v="0"/>
    <m/>
    <m/>
    <m/>
    <n v="1"/>
    <m/>
    <n v="2"/>
    <n v="0"/>
    <n v="0"/>
    <n v="0"/>
    <m/>
    <m/>
    <m/>
    <n v="2"/>
    <m/>
    <n v="2"/>
    <n v="-1"/>
    <n v="0"/>
    <n v="0"/>
    <n v="0"/>
    <n v="0"/>
    <n v="0"/>
    <n v="1"/>
    <m/>
    <n v="0"/>
    <n v="1"/>
    <n v="0"/>
    <n v="0"/>
    <n v="0"/>
    <n v="0"/>
    <n v="0"/>
    <n v="0"/>
    <n v="0"/>
    <n v="0"/>
    <n v="0"/>
    <n v="0"/>
    <n v="0"/>
    <s v="Hampton"/>
    <m/>
    <m/>
    <m/>
    <m/>
    <x v="0"/>
  </r>
  <r>
    <s v="18/0665/FUL"/>
    <s v="NEW"/>
    <m/>
    <s v="243 Stanley Road Twickenham TW2 5NL"/>
    <s v="Demolition of an existing detached bungalow, garage and outbuildings and the erection of 2No. semi-detached 3 bedroom houses with associated parking, cycle and refuse store and hard and soft landscaping. The removal of recessed entrance gates and erectio"/>
    <d v="2018-04-09T00:00:00"/>
    <m/>
    <x v="1"/>
    <s v="Open Market"/>
    <n v="514859"/>
    <n v="172254"/>
    <m/>
    <n v="0"/>
    <n v="0"/>
    <n v="1"/>
    <n v="0"/>
    <m/>
    <m/>
    <m/>
    <n v="1"/>
    <m/>
    <n v="0"/>
    <n v="0"/>
    <n v="2"/>
    <n v="0"/>
    <m/>
    <m/>
    <m/>
    <n v="2"/>
    <m/>
    <n v="0"/>
    <n v="0"/>
    <n v="1"/>
    <n v="0"/>
    <n v="0"/>
    <n v="0"/>
    <n v="0"/>
    <n v="1"/>
    <m/>
    <n v="0"/>
    <n v="1"/>
    <n v="0"/>
    <n v="0"/>
    <n v="0"/>
    <n v="0"/>
    <n v="0"/>
    <n v="0"/>
    <n v="0"/>
    <n v="0"/>
    <n v="0"/>
    <n v="0"/>
    <n v="0"/>
    <s v="South Twickenham"/>
    <m/>
    <m/>
    <m/>
    <m/>
    <x v="0"/>
  </r>
  <r>
    <s v="18/0737/FUL"/>
    <s v="CHU"/>
    <m/>
    <s v="70 White Hart Lane_x000a_Barnes_x000a_London_x000a_SW13 0PZ"/>
    <s v="Change of use of rear part of ground floor from retail use (Class A1) to residential use (Class C3) to create a 1No. one-bedroom dwelling with basement accommodation excavated."/>
    <m/>
    <m/>
    <x v="1"/>
    <s v="Open Market"/>
    <n v="521322"/>
    <n v="175815"/>
    <m/>
    <n v="0"/>
    <n v="0"/>
    <n v="0"/>
    <n v="0"/>
    <m/>
    <m/>
    <m/>
    <n v="0"/>
    <n v="1"/>
    <n v="0"/>
    <n v="0"/>
    <n v="0"/>
    <n v="0"/>
    <m/>
    <m/>
    <m/>
    <n v="1"/>
    <m/>
    <n v="0"/>
    <n v="0"/>
    <n v="0"/>
    <n v="0"/>
    <n v="0"/>
    <n v="0"/>
    <n v="0"/>
    <n v="1"/>
    <m/>
    <n v="0"/>
    <n v="1"/>
    <n v="0"/>
    <n v="0"/>
    <n v="0"/>
    <n v="0"/>
    <n v="0"/>
    <n v="0"/>
    <n v="0"/>
    <n v="0"/>
    <n v="0"/>
    <n v="0"/>
    <n v="0"/>
    <s v="Mortlake and Barnes Common"/>
    <m/>
    <s v="White Hart lane"/>
    <m/>
    <m/>
    <x v="0"/>
  </r>
  <r>
    <s v="18/0743/FUL"/>
    <s v="NEW"/>
    <m/>
    <s v="4 Sixth Cross Road Twickenham TW2 5PB"/>
    <s v="Demolition of the existing garage and concrete slabs and erection of 1 no. single storey two bedroom dwelling with green roof to the rear of 4 Sixth Cross Road. Demolition of existing garage to the rear of number 8 Sixth Cross Road to facilitate provisio"/>
    <m/>
    <d v="2019-05-28T00:00:00"/>
    <x v="1"/>
    <s v="Open Market"/>
    <n v="514675"/>
    <n v="172117"/>
    <m/>
    <n v="0"/>
    <n v="0"/>
    <n v="0"/>
    <n v="0"/>
    <m/>
    <m/>
    <m/>
    <n v="0"/>
    <m/>
    <n v="0"/>
    <n v="1"/>
    <n v="0"/>
    <n v="0"/>
    <m/>
    <m/>
    <m/>
    <n v="1"/>
    <m/>
    <n v="0"/>
    <n v="1"/>
    <n v="0"/>
    <n v="0"/>
    <n v="0"/>
    <n v="0"/>
    <n v="0"/>
    <n v="1"/>
    <m/>
    <n v="0"/>
    <n v="1"/>
    <n v="0"/>
    <n v="0"/>
    <n v="0"/>
    <n v="0"/>
    <n v="0"/>
    <n v="0"/>
    <n v="0"/>
    <n v="0"/>
    <n v="0"/>
    <n v="0"/>
    <n v="0"/>
    <s v="West Twickenham"/>
    <m/>
    <m/>
    <m/>
    <m/>
    <x v="1"/>
  </r>
  <r>
    <s v="18/0745/FUL"/>
    <s v="CON"/>
    <m/>
    <s v="149 High Street Teddington TW11 8HH"/>
    <s v="Part two-storey rear extension including Juliet balcony at ground floor level rear elevation; part lower ground floor side and rear extension to allow for the conversion of the existing dwellinghouse into 2x2 bed (1X 2B4P and 1x 2B3P flats); retention of"/>
    <d v="2018-10-01T00:00:00"/>
    <m/>
    <x v="1"/>
    <s v="Open Market"/>
    <n v="516418"/>
    <n v="171190"/>
    <m/>
    <n v="0"/>
    <n v="0"/>
    <n v="0"/>
    <n v="0"/>
    <n v="1"/>
    <m/>
    <m/>
    <n v="1"/>
    <m/>
    <n v="0"/>
    <n v="2"/>
    <n v="0"/>
    <n v="0"/>
    <m/>
    <m/>
    <m/>
    <n v="2"/>
    <m/>
    <n v="0"/>
    <n v="2"/>
    <n v="0"/>
    <n v="0"/>
    <n v="-1"/>
    <n v="0"/>
    <n v="0"/>
    <n v="1"/>
    <m/>
    <n v="0"/>
    <n v="1"/>
    <n v="0"/>
    <n v="0"/>
    <n v="0"/>
    <n v="0"/>
    <n v="0"/>
    <n v="0"/>
    <n v="0"/>
    <n v="0"/>
    <n v="0"/>
    <n v="0"/>
    <n v="0"/>
    <s v="Teddington"/>
    <m/>
    <m/>
    <m/>
    <m/>
    <x v="0"/>
  </r>
  <r>
    <s v="18/0771/FUL"/>
    <s v="NEW"/>
    <m/>
    <s v="Land Adjacent To 94 Pigeon Lane Hampton TW12 1AF"/>
    <s v="Erection of a 1B2P bungalow with associated hard and soft landscaping and cycle and refuse store.  Creation of dropped kerb to faclitate provision of 1 no. parking space."/>
    <d v="2018-12-01T00:00:00"/>
    <m/>
    <x v="1"/>
    <s v="Open Market"/>
    <n v="513452"/>
    <n v="171614"/>
    <m/>
    <n v="0"/>
    <n v="0"/>
    <n v="0"/>
    <n v="0"/>
    <m/>
    <m/>
    <m/>
    <n v="0"/>
    <m/>
    <n v="1"/>
    <n v="0"/>
    <n v="0"/>
    <n v="0"/>
    <m/>
    <m/>
    <m/>
    <n v="1"/>
    <m/>
    <n v="1"/>
    <n v="0"/>
    <n v="0"/>
    <n v="0"/>
    <n v="0"/>
    <n v="0"/>
    <n v="0"/>
    <n v="1"/>
    <m/>
    <n v="0"/>
    <n v="0"/>
    <n v="1"/>
    <n v="0"/>
    <n v="0"/>
    <n v="0"/>
    <n v="0"/>
    <s v="Y"/>
    <n v="0"/>
    <n v="0"/>
    <n v="0"/>
    <n v="0"/>
    <n v="0"/>
    <s v="Hampton North"/>
    <m/>
    <m/>
    <m/>
    <m/>
    <x v="1"/>
  </r>
  <r>
    <s v="18/0860/GPD15"/>
    <s v="CHU"/>
    <s v="PA"/>
    <s v="2 Elmfield Avenue_x000a_Teddington_x000a_TW11 8BS"/>
    <s v="Change of use from B1(c) to C3 to provide seven new self-contained studio residential dwellings."/>
    <m/>
    <d v="2019-06-14T00:00:00"/>
    <x v="1"/>
    <s v="Open Market"/>
    <n v="516011"/>
    <n v="171165"/>
    <m/>
    <n v="0"/>
    <n v="0"/>
    <n v="0"/>
    <n v="0"/>
    <m/>
    <m/>
    <m/>
    <n v="0"/>
    <n v="7"/>
    <n v="0"/>
    <n v="0"/>
    <n v="0"/>
    <n v="0"/>
    <m/>
    <m/>
    <m/>
    <n v="7"/>
    <n v="7"/>
    <n v="0"/>
    <n v="0"/>
    <n v="0"/>
    <n v="0"/>
    <n v="0"/>
    <n v="0"/>
    <n v="0"/>
    <n v="7"/>
    <m/>
    <n v="0"/>
    <n v="7"/>
    <n v="0"/>
    <n v="0"/>
    <n v="0"/>
    <n v="0"/>
    <n v="0"/>
    <n v="0"/>
    <n v="0"/>
    <n v="0"/>
    <n v="0"/>
    <n v="0"/>
    <n v="0"/>
    <s v="Teddington"/>
    <m/>
    <m/>
    <s v="Teddington"/>
    <m/>
    <x v="0"/>
  </r>
  <r>
    <s v="18/0896/FUL"/>
    <s v="CHU"/>
    <m/>
    <s v="1 - 2 Archer Mews Hampton Hill"/>
    <s v="Construction of additional storey, two storey front extension, replacement windows and doors on all elevations and alterations to external materials on elevations to facilitate the change of use of building and 6 no. parking spaces from offices (Class B1"/>
    <d v="2019-02-01T00:00:00"/>
    <m/>
    <x v="1"/>
    <s v="Open Market"/>
    <n v="514280"/>
    <n v="170996"/>
    <m/>
    <n v="0"/>
    <n v="0"/>
    <n v="0"/>
    <n v="0"/>
    <m/>
    <m/>
    <m/>
    <n v="0"/>
    <m/>
    <n v="4"/>
    <n v="2"/>
    <n v="0"/>
    <n v="0"/>
    <m/>
    <m/>
    <m/>
    <n v="6"/>
    <m/>
    <n v="4"/>
    <n v="2"/>
    <n v="0"/>
    <n v="0"/>
    <n v="0"/>
    <n v="0"/>
    <n v="0"/>
    <n v="6"/>
    <m/>
    <n v="0"/>
    <n v="3"/>
    <n v="3"/>
    <n v="0"/>
    <n v="0"/>
    <n v="0"/>
    <n v="0"/>
    <s v="Y"/>
    <n v="0"/>
    <n v="0"/>
    <n v="0"/>
    <n v="0"/>
    <n v="0"/>
    <s v="Fulwell and Hampton Hill"/>
    <m/>
    <s v="High Street"/>
    <m/>
    <m/>
    <x v="0"/>
  </r>
  <r>
    <s v="18/0929/FUL"/>
    <s v="MIX"/>
    <m/>
    <s v="195 High Street Hampton Hill TW12 1NL"/>
    <s v="Replacement shopfront and new entrance door.  New doors/windows to the side and rear elevation of the existing rear extension.   Change of use of the front part of ground floor level from restaurant (Class A3) to retail (Class A1).  First floor rear exte"/>
    <d v="2018-10-01T00:00:00"/>
    <m/>
    <x v="1"/>
    <s v="Open Market"/>
    <n v="514485"/>
    <n v="171271"/>
    <m/>
    <n v="3"/>
    <n v="0"/>
    <n v="0"/>
    <n v="0"/>
    <m/>
    <m/>
    <m/>
    <n v="3"/>
    <m/>
    <n v="0"/>
    <n v="3"/>
    <n v="0"/>
    <n v="0"/>
    <m/>
    <m/>
    <m/>
    <n v="3"/>
    <m/>
    <n v="-3"/>
    <n v="3"/>
    <n v="0"/>
    <n v="0"/>
    <n v="0"/>
    <n v="0"/>
    <n v="0"/>
    <n v="0"/>
    <m/>
    <n v="0"/>
    <n v="0"/>
    <n v="0"/>
    <n v="0"/>
    <n v="0"/>
    <n v="0"/>
    <n v="0"/>
    <n v="0"/>
    <n v="0"/>
    <n v="0"/>
    <n v="0"/>
    <n v="0"/>
    <n v="0"/>
    <s v="Fulwell and Hampton Hill"/>
    <m/>
    <s v="High Street"/>
    <m/>
    <m/>
    <x v="0"/>
  </r>
  <r>
    <s v="18/1175/FUL"/>
    <s v="EXT"/>
    <m/>
    <s v="17 - 20 Tersha Street_x000a_Richmond"/>
    <s v="Construction of 3 front roof dormer windows to facilitate the creation of a new two-bedroom flat in the roof space, including the alteration to the layout of flat 19 (resulting in a decrease in size) to provide access."/>
    <m/>
    <d v="2019-07-01T00:00:00"/>
    <x v="1"/>
    <s v="Open Market"/>
    <n v="518588"/>
    <n v="175372"/>
    <m/>
    <n v="0"/>
    <n v="0"/>
    <n v="0"/>
    <n v="0"/>
    <m/>
    <m/>
    <m/>
    <n v="0"/>
    <m/>
    <n v="0"/>
    <n v="1"/>
    <n v="0"/>
    <n v="0"/>
    <m/>
    <m/>
    <m/>
    <n v="1"/>
    <m/>
    <n v="0"/>
    <n v="1"/>
    <n v="0"/>
    <n v="0"/>
    <n v="0"/>
    <n v="0"/>
    <n v="0"/>
    <n v="1"/>
    <m/>
    <n v="0"/>
    <n v="1"/>
    <n v="0"/>
    <n v="0"/>
    <n v="0"/>
    <n v="0"/>
    <n v="0"/>
    <n v="0"/>
    <n v="0"/>
    <n v="0"/>
    <n v="0"/>
    <n v="0"/>
    <n v="0"/>
    <s v="North Richmond"/>
    <m/>
    <m/>
    <m/>
    <m/>
    <x v="0"/>
  </r>
  <r>
    <s v="18/1446/FUL"/>
    <s v="NEW"/>
    <m/>
    <s v="32 Albion Road Twickenham TW2 6QJ"/>
    <s v="Demolition of existing single family dwelling and erection of a replacement two-storey dwelling house, with accommodation in the mansard roof."/>
    <d v="2019-02-01T00:00:00"/>
    <m/>
    <x v="1"/>
    <s v="Open Market"/>
    <n v="515299"/>
    <n v="173105"/>
    <m/>
    <n v="0"/>
    <n v="0"/>
    <n v="0"/>
    <n v="1"/>
    <m/>
    <m/>
    <m/>
    <n v="1"/>
    <m/>
    <n v="0"/>
    <n v="0"/>
    <n v="0"/>
    <n v="1"/>
    <m/>
    <m/>
    <m/>
    <n v="1"/>
    <m/>
    <n v="0"/>
    <n v="0"/>
    <n v="0"/>
    <n v="0"/>
    <n v="0"/>
    <n v="0"/>
    <n v="0"/>
    <n v="0"/>
    <m/>
    <n v="0"/>
    <n v="0"/>
    <n v="0"/>
    <n v="0"/>
    <n v="0"/>
    <n v="0"/>
    <n v="0"/>
    <n v="0"/>
    <n v="0"/>
    <n v="0"/>
    <n v="0"/>
    <n v="0"/>
    <n v="0"/>
    <s v="South Twickenham"/>
    <m/>
    <m/>
    <m/>
    <m/>
    <x v="0"/>
  </r>
  <r>
    <s v="18/1566/FUL"/>
    <s v="CON"/>
    <m/>
    <s v="16 Whitton Road Twickenham TW1 1BJ"/>
    <s v="Second floor rear roof extension, replacement windows on first floor rear and side elevations, 2 no. rooflights on front roof slope to facilitate the conversion of existing 3 bed dwelling house to form 2x 2 bed flats and 1x 1 bed flat and associated cycl"/>
    <d v="2019-01-31T00:00:00"/>
    <m/>
    <x v="1"/>
    <s v="Open Market"/>
    <n v="515965"/>
    <n v="173782"/>
    <m/>
    <n v="0"/>
    <n v="0"/>
    <n v="1"/>
    <n v="0"/>
    <m/>
    <m/>
    <m/>
    <n v="1"/>
    <m/>
    <n v="1"/>
    <n v="2"/>
    <n v="0"/>
    <n v="0"/>
    <m/>
    <m/>
    <m/>
    <n v="3"/>
    <m/>
    <n v="1"/>
    <n v="2"/>
    <n v="-1"/>
    <n v="0"/>
    <n v="0"/>
    <n v="0"/>
    <n v="0"/>
    <n v="2"/>
    <m/>
    <n v="0"/>
    <n v="2"/>
    <n v="0"/>
    <n v="0"/>
    <n v="0"/>
    <n v="0"/>
    <n v="0"/>
    <n v="0"/>
    <n v="0"/>
    <n v="0"/>
    <n v="0"/>
    <n v="0"/>
    <n v="0"/>
    <s v="St. Margarets and North Twickenham"/>
    <m/>
    <m/>
    <m/>
    <m/>
    <x v="0"/>
  </r>
  <r>
    <s v="18/1569/FUL"/>
    <s v="CON"/>
    <m/>
    <s v="14 Norman Avenue Twickenham TW1 2LY"/>
    <s v="Reversion of to two self-contained flats into single family dwelling house."/>
    <d v="2019-03-31T00:00:00"/>
    <m/>
    <x v="1"/>
    <s v="Open Market"/>
    <n v="516997"/>
    <n v="173966"/>
    <m/>
    <n v="0"/>
    <n v="2"/>
    <n v="0"/>
    <n v="0"/>
    <m/>
    <m/>
    <m/>
    <n v="2"/>
    <m/>
    <n v="0"/>
    <n v="0"/>
    <n v="0"/>
    <n v="1"/>
    <m/>
    <m/>
    <m/>
    <n v="1"/>
    <m/>
    <n v="0"/>
    <n v="-2"/>
    <n v="0"/>
    <n v="1"/>
    <n v="0"/>
    <n v="0"/>
    <n v="0"/>
    <n v="-1"/>
    <m/>
    <n v="0"/>
    <n v="-1"/>
    <n v="0"/>
    <n v="0"/>
    <n v="0"/>
    <n v="0"/>
    <n v="0"/>
    <n v="0"/>
    <n v="0"/>
    <n v="0"/>
    <n v="0"/>
    <n v="0"/>
    <n v="0"/>
    <s v="Twickenham Riverside"/>
    <m/>
    <m/>
    <m/>
    <m/>
    <x v="0"/>
  </r>
  <r>
    <s v="18/1722/GPD13"/>
    <s v="CHU"/>
    <s v="PA"/>
    <s v="Ground Floor_x000a_204 Stanley Road_x000a_Teddington_x000a_TW11 8UE"/>
    <s v="Change of use from A1(Retail) to C3 (Residential) to create a two bedroom flat."/>
    <d v="2018-07-12T00:00:00"/>
    <m/>
    <x v="1"/>
    <s v="Open Market"/>
    <n v="515113"/>
    <n v="171634"/>
    <m/>
    <n v="0"/>
    <n v="0"/>
    <n v="0"/>
    <n v="0"/>
    <m/>
    <m/>
    <m/>
    <n v="0"/>
    <m/>
    <n v="0"/>
    <n v="1"/>
    <n v="0"/>
    <n v="0"/>
    <m/>
    <m/>
    <m/>
    <n v="1"/>
    <m/>
    <n v="0"/>
    <n v="1"/>
    <n v="0"/>
    <n v="0"/>
    <n v="0"/>
    <n v="0"/>
    <n v="0"/>
    <n v="1"/>
    <m/>
    <n v="0"/>
    <n v="1"/>
    <n v="0"/>
    <n v="0"/>
    <n v="0"/>
    <n v="0"/>
    <n v="0"/>
    <n v="0"/>
    <n v="0"/>
    <n v="0"/>
    <n v="0"/>
    <n v="0"/>
    <n v="0"/>
    <s v="Fulwell and Hampton Hill"/>
    <m/>
    <s v="Stanley Road"/>
    <m/>
    <m/>
    <x v="0"/>
  </r>
  <r>
    <s v="18/1767/FUL"/>
    <s v="CHU"/>
    <m/>
    <s v="73 High Street Hampton Hill TW12 1NH"/>
    <s v="Alterations to the existing shopfront and reduction to ground floor floorspace to facilitate the re-provision of a Class A2 use at ground floor level.  _x000d_Change of use of existing A2 to C3 (Residential) Use at part ground level and first floor level.  Rep"/>
    <d v="2019-03-01T00:00:00"/>
    <m/>
    <x v="1"/>
    <s v="Open Market"/>
    <n v="514273"/>
    <n v="170844"/>
    <m/>
    <n v="0"/>
    <n v="0"/>
    <n v="0"/>
    <n v="0"/>
    <m/>
    <m/>
    <m/>
    <n v="0"/>
    <m/>
    <n v="0"/>
    <n v="2"/>
    <n v="0"/>
    <n v="0"/>
    <m/>
    <m/>
    <m/>
    <n v="2"/>
    <m/>
    <n v="0"/>
    <n v="2"/>
    <n v="0"/>
    <n v="0"/>
    <n v="0"/>
    <n v="0"/>
    <n v="0"/>
    <n v="2"/>
    <m/>
    <n v="0"/>
    <n v="0"/>
    <n v="2"/>
    <n v="0"/>
    <n v="0"/>
    <n v="0"/>
    <n v="0"/>
    <s v="Y"/>
    <n v="0"/>
    <n v="0"/>
    <n v="0"/>
    <n v="0"/>
    <n v="0"/>
    <s v="Fulwell and Hampton Hill"/>
    <m/>
    <s v="High Street"/>
    <m/>
    <m/>
    <x v="0"/>
  </r>
  <r>
    <s v="18/2114/FUL"/>
    <s v="CHU"/>
    <m/>
    <s v="7 Barnes High Street_x000a_Barnes_x000a_London_x000a_SW13 9LW"/>
    <s v="Two-storey rear extension, rear roof extension and conversion of the rear part of the ground floor shop; in connection with the use of the property as a ground floor retail unit, 1x two-bedroom flat and 2 x one-bedroom flats."/>
    <d v="2019-02-01T00:00:00"/>
    <m/>
    <x v="1"/>
    <s v="Open Market"/>
    <n v="521729"/>
    <n v="176389"/>
    <m/>
    <n v="2"/>
    <n v="0"/>
    <n v="0"/>
    <n v="0"/>
    <m/>
    <m/>
    <m/>
    <n v="2"/>
    <m/>
    <n v="2"/>
    <n v="1"/>
    <n v="0"/>
    <n v="0"/>
    <m/>
    <m/>
    <m/>
    <n v="3"/>
    <m/>
    <n v="0"/>
    <n v="1"/>
    <n v="0"/>
    <n v="0"/>
    <n v="0"/>
    <n v="0"/>
    <n v="0"/>
    <n v="1"/>
    <m/>
    <n v="0"/>
    <n v="1"/>
    <n v="0"/>
    <n v="0"/>
    <n v="0"/>
    <n v="0"/>
    <n v="0"/>
    <n v="0"/>
    <n v="0"/>
    <n v="0"/>
    <n v="0"/>
    <n v="0"/>
    <n v="0"/>
    <s v="Mortlake and Barnes Common"/>
    <m/>
    <s v="High Street"/>
    <m/>
    <m/>
    <x v="0"/>
  </r>
  <r>
    <s v="18/2620/FUL"/>
    <s v="CHU"/>
    <m/>
    <s v="Ground Floor _x000a_204 Stanley Road_x000a_Teddington_x000a_TW11 8UE"/>
    <s v="Alteration of the former shop frontage, new window on side elevation and erection of single storey side/rear extension to facilitate the change of use of existing ground floor A1(retail) unit to provide 1 x 2 bed flat and 1x one-person studio flat with a"/>
    <d v="2018-04-01T00:00:00"/>
    <m/>
    <x v="1"/>
    <s v="Open Market"/>
    <n v="515113"/>
    <n v="171634"/>
    <m/>
    <n v="0"/>
    <n v="0"/>
    <n v="0"/>
    <n v="0"/>
    <m/>
    <m/>
    <m/>
    <n v="0"/>
    <n v="1"/>
    <n v="0"/>
    <n v="0"/>
    <n v="0"/>
    <n v="0"/>
    <m/>
    <m/>
    <m/>
    <n v="1"/>
    <n v="1"/>
    <n v="0"/>
    <n v="0"/>
    <n v="0"/>
    <n v="0"/>
    <n v="0"/>
    <n v="0"/>
    <n v="0"/>
    <n v="1"/>
    <m/>
    <n v="0"/>
    <n v="1"/>
    <n v="0"/>
    <n v="0"/>
    <n v="0"/>
    <n v="0"/>
    <n v="0"/>
    <n v="0"/>
    <n v="0"/>
    <n v="0"/>
    <n v="0"/>
    <n v="0"/>
    <n v="0"/>
    <s v="Fulwell and Hampton Hill"/>
    <m/>
    <s v="Stanley Road"/>
    <m/>
    <m/>
    <x v="0"/>
  </r>
  <r>
    <s v="18/2928/FUL"/>
    <s v="CHU"/>
    <m/>
    <s v="20 - 22 High Street Teddington TW11 8EW"/>
    <s v="Change of use of ancillary A3 accommodation on 1st and 2nd floors to create 1No. 3bed self-contained flat (C3 use) and installation of a rear door and railings at first floor level."/>
    <d v="2019-03-29T00:00:00"/>
    <m/>
    <x v="1"/>
    <s v="Open Market"/>
    <n v="516022"/>
    <n v="171099"/>
    <m/>
    <n v="0"/>
    <n v="0"/>
    <n v="0"/>
    <n v="0"/>
    <m/>
    <m/>
    <m/>
    <n v="0"/>
    <m/>
    <n v="0"/>
    <n v="0"/>
    <n v="1"/>
    <n v="0"/>
    <m/>
    <m/>
    <m/>
    <n v="1"/>
    <m/>
    <n v="0"/>
    <n v="0"/>
    <n v="1"/>
    <n v="0"/>
    <n v="0"/>
    <n v="0"/>
    <n v="0"/>
    <n v="1"/>
    <m/>
    <n v="0"/>
    <n v="1"/>
    <n v="0"/>
    <n v="0"/>
    <n v="0"/>
    <n v="0"/>
    <n v="0"/>
    <n v="0"/>
    <n v="0"/>
    <n v="0"/>
    <n v="0"/>
    <n v="0"/>
    <n v="0"/>
    <s v="Teddington"/>
    <m/>
    <m/>
    <s v="Teddington"/>
    <m/>
    <x v="0"/>
  </r>
  <r>
    <s v="18/3941/GPD15"/>
    <s v="CHU"/>
    <s v="PA"/>
    <s v="Sherwood House Forest Road Kew TW9 3BY"/>
    <s v="Change of use from office (B1) to three residential units (C3), with associated car parking provision."/>
    <d v="2019-03-01T00:00:00"/>
    <m/>
    <x v="1"/>
    <s v="Open Market"/>
    <n v="519311"/>
    <n v="177214"/>
    <m/>
    <n v="0"/>
    <n v="0"/>
    <n v="0"/>
    <n v="0"/>
    <m/>
    <m/>
    <m/>
    <n v="0"/>
    <m/>
    <n v="0"/>
    <n v="1"/>
    <n v="2"/>
    <n v="0"/>
    <m/>
    <m/>
    <m/>
    <n v="3"/>
    <m/>
    <n v="0"/>
    <n v="1"/>
    <n v="2"/>
    <n v="0"/>
    <n v="0"/>
    <n v="0"/>
    <n v="0"/>
    <n v="3"/>
    <m/>
    <n v="0"/>
    <n v="3"/>
    <n v="0"/>
    <n v="0"/>
    <n v="0"/>
    <n v="0"/>
    <n v="0"/>
    <n v="0"/>
    <n v="0"/>
    <n v="0"/>
    <n v="0"/>
    <n v="0"/>
    <n v="0"/>
    <s v="Kew"/>
    <m/>
    <m/>
    <m/>
    <m/>
    <x v="0"/>
  </r>
  <r>
    <s v="19/0347/GPD15"/>
    <s v="CHU"/>
    <s v="PA"/>
    <s v="Albion House Colne Road Twickenham TW2 6QL"/>
    <s v="Change of use from B1(a) Office use to C3 Residential use to provide 3 x 1 bed and 1 x 2 bed flats with associated internal refuse and cycle storage."/>
    <d v="2019-03-01T00:00:00"/>
    <m/>
    <x v="1"/>
    <s v="Open Market"/>
    <n v="515383"/>
    <n v="173139"/>
    <m/>
    <n v="0"/>
    <n v="0"/>
    <n v="0"/>
    <n v="0"/>
    <m/>
    <m/>
    <m/>
    <n v="0"/>
    <m/>
    <n v="3"/>
    <n v="1"/>
    <n v="0"/>
    <n v="0"/>
    <m/>
    <m/>
    <m/>
    <n v="4"/>
    <m/>
    <n v="3"/>
    <n v="1"/>
    <n v="0"/>
    <n v="0"/>
    <n v="0"/>
    <n v="0"/>
    <n v="0"/>
    <n v="4"/>
    <m/>
    <n v="0"/>
    <n v="2"/>
    <n v="2"/>
    <n v="0"/>
    <n v="0"/>
    <n v="0"/>
    <n v="0"/>
    <s v="Y"/>
    <n v="0"/>
    <n v="0"/>
    <n v="0"/>
    <n v="0"/>
    <n v="0"/>
    <s v="South Twickenham"/>
    <m/>
    <m/>
    <m/>
    <m/>
    <x v="0"/>
  </r>
  <r>
    <s v="13/2484/FUL"/>
    <s v="NEW"/>
    <m/>
    <s v="The Bungalow Annexe Willoughby Road Twickenham TW1 2QH"/>
    <s v="Demolish 'The Bungalow' and 'The Annexe' and erect one pair of semi detached five bed houses on three floors with garages, access, forecourt, bin stores, landscaping and ancillary works"/>
    <m/>
    <m/>
    <x v="2"/>
    <s v="Open Market"/>
    <n v="517502"/>
    <n v="174565"/>
    <m/>
    <n v="1"/>
    <n v="1"/>
    <n v="0"/>
    <n v="0"/>
    <m/>
    <m/>
    <m/>
    <n v="2"/>
    <m/>
    <n v="0"/>
    <n v="0"/>
    <n v="0"/>
    <n v="2"/>
    <m/>
    <m/>
    <m/>
    <n v="2"/>
    <m/>
    <n v="-1"/>
    <n v="-1"/>
    <n v="0"/>
    <n v="2"/>
    <n v="0"/>
    <n v="0"/>
    <n v="0"/>
    <n v="0"/>
    <m/>
    <n v="0"/>
    <n v="0"/>
    <n v="0"/>
    <n v="0"/>
    <n v="0"/>
    <n v="0"/>
    <n v="0"/>
    <n v="0"/>
    <n v="0"/>
    <n v="0"/>
    <n v="0"/>
    <n v="0"/>
    <n v="0"/>
    <s v="Twickenham Riverside"/>
    <m/>
    <m/>
    <m/>
    <s v="Thames Policy Area"/>
    <x v="0"/>
  </r>
  <r>
    <s v="14/0157/FUL"/>
    <s v="NEW"/>
    <m/>
    <s v="Lockcorp House 75 Norcutt Road Twickenham TW2 6SR"/>
    <s v="Demolition of the existing light industrial building and replacement with a detached three-storey building (with accommodation in roof) to provide 9 No.flats (all affordable housing) together with 6 off-street car parking spaces and associated amenity an"/>
    <m/>
    <m/>
    <x v="2"/>
    <s v="Open Market"/>
    <n v="515337"/>
    <n v="173383"/>
    <m/>
    <n v="0"/>
    <n v="0"/>
    <n v="0"/>
    <n v="0"/>
    <m/>
    <m/>
    <m/>
    <n v="0"/>
    <m/>
    <n v="5"/>
    <n v="3"/>
    <n v="1"/>
    <n v="0"/>
    <m/>
    <m/>
    <m/>
    <n v="9"/>
    <m/>
    <n v="5"/>
    <n v="3"/>
    <n v="1"/>
    <n v="0"/>
    <n v="0"/>
    <n v="0"/>
    <n v="0"/>
    <n v="9"/>
    <m/>
    <n v="0"/>
    <n v="0"/>
    <n v="0"/>
    <n v="0"/>
    <n v="0"/>
    <n v="0"/>
    <n v="0"/>
    <n v="0"/>
    <n v="0"/>
    <n v="0"/>
    <n v="0"/>
    <n v="0"/>
    <n v="0"/>
    <s v="South Twickenham"/>
    <m/>
    <m/>
    <m/>
    <m/>
    <x v="0"/>
  </r>
  <r>
    <s v="14/0676/FUL"/>
    <s v="NEW"/>
    <m/>
    <s v="36 Lonsdale Road Barnes SW13 9EB"/>
    <s v="Demolition of single storey garden building and erection of a two storey, 3 bedroom dwelling"/>
    <m/>
    <m/>
    <x v="2"/>
    <s v="Open Market"/>
    <n v="522672"/>
    <n v="177849"/>
    <m/>
    <n v="0"/>
    <n v="0"/>
    <n v="0"/>
    <n v="0"/>
    <m/>
    <m/>
    <m/>
    <n v="0"/>
    <m/>
    <n v="0"/>
    <n v="0"/>
    <n v="1"/>
    <n v="0"/>
    <m/>
    <m/>
    <m/>
    <n v="1"/>
    <m/>
    <n v="0"/>
    <n v="0"/>
    <n v="1"/>
    <n v="0"/>
    <n v="0"/>
    <n v="0"/>
    <n v="0"/>
    <n v="1"/>
    <m/>
    <n v="0"/>
    <n v="0"/>
    <n v="0.33333333333333331"/>
    <n v="0.33333333333333331"/>
    <n v="0.33333333333333331"/>
    <n v="0"/>
    <n v="0"/>
    <s v="Y"/>
    <n v="0"/>
    <n v="0"/>
    <n v="0"/>
    <n v="0"/>
    <n v="0"/>
    <s v="Barnes"/>
    <m/>
    <m/>
    <m/>
    <m/>
    <x v="0"/>
  </r>
  <r>
    <s v="14/4839/FUL"/>
    <s v="NEW"/>
    <m/>
    <s v="The Cottage Eel Pie Island Twickenham TW1 3DY"/>
    <s v="Demolition of existing house and construction of a new 3 bedroom house."/>
    <m/>
    <m/>
    <x v="2"/>
    <s v="Open Market"/>
    <n v="516355"/>
    <n v="173076"/>
    <m/>
    <n v="0"/>
    <n v="1"/>
    <n v="0"/>
    <n v="0"/>
    <m/>
    <m/>
    <m/>
    <n v="1"/>
    <m/>
    <n v="0"/>
    <n v="0"/>
    <n v="1"/>
    <n v="0"/>
    <m/>
    <m/>
    <m/>
    <n v="1"/>
    <m/>
    <n v="0"/>
    <n v="-1"/>
    <n v="1"/>
    <n v="0"/>
    <n v="0"/>
    <n v="0"/>
    <n v="0"/>
    <n v="0"/>
    <m/>
    <n v="0"/>
    <n v="0"/>
    <n v="0"/>
    <n v="0"/>
    <n v="0"/>
    <n v="0"/>
    <n v="0"/>
    <n v="0"/>
    <n v="0"/>
    <n v="0"/>
    <n v="0"/>
    <n v="0"/>
    <n v="0"/>
    <s v="Twickenham Riverside"/>
    <m/>
    <m/>
    <m/>
    <s v="Thames Policy Area"/>
    <x v="0"/>
  </r>
  <r>
    <s v="15/1151/FUL"/>
    <s v="NEW"/>
    <m/>
    <s v="Old TAVR Centre_x000a_Stanley Road_x000a_Twickenham"/>
    <s v="Demolition of existing TAVR buildings and erection of a new martial arts and fitness centre with associated parking and widening of vehicular entrance thereto to provide a multi-use community fitness facility alongside a publicly accessible open space in"/>
    <m/>
    <m/>
    <x v="2"/>
    <s v="Open Market"/>
    <n v="514934"/>
    <n v="172192"/>
    <m/>
    <n v="0"/>
    <n v="0"/>
    <n v="0"/>
    <n v="0"/>
    <m/>
    <m/>
    <m/>
    <n v="0"/>
    <m/>
    <n v="0"/>
    <n v="0"/>
    <n v="0"/>
    <n v="0"/>
    <m/>
    <m/>
    <m/>
    <n v="0"/>
    <m/>
    <n v="0"/>
    <n v="0"/>
    <n v="0"/>
    <n v="0"/>
    <n v="0"/>
    <n v="0"/>
    <n v="0"/>
    <n v="0"/>
    <m/>
    <n v="0"/>
    <n v="0"/>
    <n v="0"/>
    <n v="0"/>
    <n v="0"/>
    <n v="0"/>
    <n v="0"/>
    <n v="0"/>
    <n v="0"/>
    <n v="0"/>
    <n v="0"/>
    <n v="0"/>
    <n v="0"/>
    <s v="South Twickenham"/>
    <m/>
    <m/>
    <m/>
    <m/>
    <x v="0"/>
  </r>
  <r>
    <s v="15/2204/FUL"/>
    <s v="NEW"/>
    <m/>
    <s v="1E Colonial Avenue Twickenham TW2 7EE"/>
    <s v="Change of use from a private garage and store to a 2 bedroom house with associated single storey extensions; retention of existing photovoltaic arrays; associated cycle and refuse/recycle stores; hard and soft landscaping and installation of car turntabl"/>
    <m/>
    <m/>
    <x v="2"/>
    <s v="Open Market"/>
    <n v="514174"/>
    <n v="174381"/>
    <m/>
    <n v="0"/>
    <n v="0"/>
    <n v="0"/>
    <n v="0"/>
    <m/>
    <m/>
    <m/>
    <n v="0"/>
    <m/>
    <n v="0"/>
    <n v="1"/>
    <n v="0"/>
    <n v="0"/>
    <m/>
    <m/>
    <m/>
    <n v="1"/>
    <m/>
    <n v="0"/>
    <n v="1"/>
    <n v="0"/>
    <n v="0"/>
    <n v="0"/>
    <n v="0"/>
    <n v="0"/>
    <n v="1"/>
    <m/>
    <n v="0"/>
    <n v="0"/>
    <n v="0.33333333333333331"/>
    <n v="0.33333333333333331"/>
    <n v="0.33333333333333331"/>
    <n v="0"/>
    <n v="0"/>
    <s v="Y"/>
    <n v="0"/>
    <n v="0"/>
    <n v="0"/>
    <n v="0"/>
    <n v="0"/>
    <s v="Whitton"/>
    <m/>
    <m/>
    <m/>
    <m/>
    <x v="0"/>
  </r>
  <r>
    <s v="15/2854/FUL"/>
    <s v="NEW"/>
    <m/>
    <s v="Garages At Riverside Drive Ham"/>
    <s v="Demolition of a row of 18 garages; Proposed to construct two two-bedroom Wheelchair Bungalows; Provision of two car parking spaces."/>
    <m/>
    <m/>
    <x v="2"/>
    <s v="Open Market"/>
    <n v="517050"/>
    <n v="172680"/>
    <m/>
    <n v="0"/>
    <n v="0"/>
    <n v="0"/>
    <n v="0"/>
    <m/>
    <m/>
    <m/>
    <n v="0"/>
    <m/>
    <n v="0"/>
    <n v="2"/>
    <n v="0"/>
    <n v="0"/>
    <m/>
    <m/>
    <m/>
    <n v="2"/>
    <m/>
    <n v="0"/>
    <n v="2"/>
    <n v="0"/>
    <n v="0"/>
    <n v="0"/>
    <n v="0"/>
    <n v="0"/>
    <n v="2"/>
    <m/>
    <n v="0"/>
    <n v="1"/>
    <n v="1"/>
    <n v="0"/>
    <n v="0"/>
    <n v="0"/>
    <n v="0"/>
    <s v="Y"/>
    <n v="0"/>
    <n v="0"/>
    <n v="0"/>
    <n v="0"/>
    <n v="0"/>
    <s v="Ham, Petersham and Richmond Riverside"/>
    <m/>
    <m/>
    <m/>
    <m/>
    <x v="0"/>
  </r>
  <r>
    <s v="15/2855/FUL"/>
    <s v="NEW"/>
    <m/>
    <s v="Garages At Maguire Drive Ham"/>
    <s v="Demolition of 20 garages in two rows; Construction of two three-bedroom houses"/>
    <m/>
    <m/>
    <x v="2"/>
    <s v="Affordable Rent"/>
    <n v="517476"/>
    <n v="171658"/>
    <m/>
    <n v="0"/>
    <n v="0"/>
    <n v="0"/>
    <n v="0"/>
    <m/>
    <m/>
    <m/>
    <n v="0"/>
    <m/>
    <n v="0"/>
    <n v="0"/>
    <n v="2"/>
    <n v="0"/>
    <m/>
    <m/>
    <m/>
    <n v="2"/>
    <m/>
    <n v="0"/>
    <n v="0"/>
    <n v="2"/>
    <n v="0"/>
    <n v="0"/>
    <n v="0"/>
    <n v="0"/>
    <n v="2"/>
    <m/>
    <n v="0"/>
    <n v="0"/>
    <n v="0.66666666666666663"/>
    <n v="0.66666666666666663"/>
    <n v="0.66666666666666663"/>
    <n v="0"/>
    <n v="0"/>
    <s v="Y"/>
    <n v="0"/>
    <n v="0"/>
    <n v="0"/>
    <n v="0"/>
    <n v="0"/>
    <s v="Ham, Petersham and Richmond Riverside"/>
    <m/>
    <m/>
    <m/>
    <m/>
    <x v="0"/>
  </r>
  <r>
    <s v="15/2857/FUL"/>
    <s v="NEW"/>
    <m/>
    <s v="Garages At Clifford Road Petersham"/>
    <s v="Removal of 26 garages; Creation of 3 two storey three-bedroom houses. Provision of 11 parking spaces in a shared surface courtyard"/>
    <m/>
    <m/>
    <x v="2"/>
    <s v="Affordable Rent"/>
    <n v="517848"/>
    <n v="172830"/>
    <m/>
    <n v="0"/>
    <n v="0"/>
    <n v="0"/>
    <n v="0"/>
    <m/>
    <m/>
    <m/>
    <n v="0"/>
    <m/>
    <n v="0"/>
    <n v="0"/>
    <n v="3"/>
    <n v="0"/>
    <m/>
    <m/>
    <m/>
    <n v="3"/>
    <m/>
    <n v="0"/>
    <n v="0"/>
    <n v="3"/>
    <n v="0"/>
    <n v="0"/>
    <n v="0"/>
    <n v="0"/>
    <n v="3"/>
    <m/>
    <n v="0"/>
    <n v="0"/>
    <n v="1"/>
    <n v="1"/>
    <n v="1"/>
    <n v="0"/>
    <n v="0"/>
    <s v="Y"/>
    <n v="0"/>
    <n v="0"/>
    <n v="0"/>
    <n v="0"/>
    <n v="0"/>
    <s v="Ham, Petersham and Richmond Riverside"/>
    <m/>
    <m/>
    <m/>
    <m/>
    <x v="0"/>
  </r>
  <r>
    <s v="15/2911/FUL"/>
    <s v="NEW"/>
    <m/>
    <s v="17A Tower Road_x000a_Twickenham_x000a_TW1 4PD"/>
    <s v="Demolition of existing single family dwelling and creation of new replacement single family dwelling."/>
    <m/>
    <m/>
    <x v="2"/>
    <s v="Open Market"/>
    <n v="515807"/>
    <n v="172452"/>
    <m/>
    <n v="0"/>
    <n v="1"/>
    <n v="0"/>
    <n v="0"/>
    <m/>
    <m/>
    <m/>
    <n v="1"/>
    <m/>
    <n v="0"/>
    <n v="0"/>
    <n v="1"/>
    <n v="0"/>
    <m/>
    <m/>
    <m/>
    <n v="1"/>
    <m/>
    <n v="0"/>
    <n v="-1"/>
    <n v="1"/>
    <n v="0"/>
    <n v="0"/>
    <n v="0"/>
    <n v="0"/>
    <n v="0"/>
    <m/>
    <n v="0"/>
    <n v="0"/>
    <n v="0"/>
    <n v="0"/>
    <n v="0"/>
    <n v="0"/>
    <n v="0"/>
    <n v="0"/>
    <n v="0"/>
    <n v="0"/>
    <n v="0"/>
    <n v="0"/>
    <n v="0"/>
    <s v="South Twickenham"/>
    <m/>
    <m/>
    <m/>
    <m/>
    <x v="0"/>
  </r>
  <r>
    <s v="15/3394/FUL"/>
    <s v="EXT"/>
    <m/>
    <s v="Wick House_x000a_10 Station Road_x000a_Hampton Wick"/>
    <s v="Erection of new mansard roof to accommodate 2 new self contained flats, new lift shaft, new bin stores."/>
    <m/>
    <m/>
    <x v="2"/>
    <s v="Open Market"/>
    <n v="517543"/>
    <n v="169767"/>
    <m/>
    <n v="0"/>
    <n v="0"/>
    <n v="0"/>
    <n v="0"/>
    <m/>
    <m/>
    <m/>
    <n v="0"/>
    <m/>
    <n v="0"/>
    <n v="2"/>
    <n v="0"/>
    <n v="0"/>
    <m/>
    <m/>
    <m/>
    <n v="2"/>
    <m/>
    <n v="0"/>
    <n v="2"/>
    <n v="0"/>
    <n v="0"/>
    <n v="0"/>
    <n v="0"/>
    <n v="0"/>
    <n v="2"/>
    <m/>
    <n v="0"/>
    <n v="0.5"/>
    <n v="0.5"/>
    <n v="0.5"/>
    <n v="0.5"/>
    <n v="0"/>
    <n v="0"/>
    <s v="Y"/>
    <n v="0"/>
    <n v="0"/>
    <n v="0"/>
    <n v="0"/>
    <n v="0"/>
    <s v="Hampton Wick"/>
    <m/>
    <m/>
    <m/>
    <m/>
    <x v="0"/>
  </r>
  <r>
    <s v="15/3518/FUL"/>
    <s v="NEW"/>
    <m/>
    <s v="58 Denton Road_x000a_Twickenham_x000a_TW1 2HQ"/>
    <s v="Erection of a pair of semi-detached dwellings with associated access, parking and private amenity space following the demolition of the existing building comprising 2No. maisonettes and associated outbuildings."/>
    <m/>
    <m/>
    <x v="2"/>
    <s v="Open Market"/>
    <n v="517831"/>
    <n v="174076"/>
    <m/>
    <n v="0"/>
    <n v="2"/>
    <n v="0"/>
    <n v="0"/>
    <m/>
    <m/>
    <m/>
    <n v="2"/>
    <m/>
    <n v="0"/>
    <n v="0"/>
    <n v="0"/>
    <n v="2"/>
    <m/>
    <m/>
    <m/>
    <n v="2"/>
    <m/>
    <n v="0"/>
    <n v="-2"/>
    <n v="0"/>
    <n v="2"/>
    <n v="0"/>
    <n v="0"/>
    <n v="0"/>
    <n v="0"/>
    <m/>
    <n v="0"/>
    <n v="0"/>
    <n v="0"/>
    <n v="0"/>
    <n v="0"/>
    <n v="0"/>
    <n v="0"/>
    <n v="0"/>
    <n v="0"/>
    <n v="0"/>
    <n v="0"/>
    <n v="0"/>
    <n v="0"/>
    <s v="Twickenham Riverside"/>
    <m/>
    <m/>
    <m/>
    <m/>
    <x v="0"/>
  </r>
  <r>
    <s v="15/4280/FUL"/>
    <s v="CON"/>
    <m/>
    <s v="1 Bloxham Crescent Hampton TW12 2QF"/>
    <s v="Conversion of an existing residential 3 bed property into two x 2 bed properties and two storey side extension with formation of new vehiclar access."/>
    <m/>
    <m/>
    <x v="2"/>
    <s v="Open Market"/>
    <n v="513068"/>
    <n v="169904"/>
    <m/>
    <n v="0"/>
    <n v="0"/>
    <n v="1"/>
    <n v="0"/>
    <m/>
    <m/>
    <m/>
    <n v="1"/>
    <m/>
    <n v="0"/>
    <n v="2"/>
    <n v="0"/>
    <n v="0"/>
    <m/>
    <m/>
    <m/>
    <n v="2"/>
    <m/>
    <n v="0"/>
    <n v="2"/>
    <n v="-1"/>
    <n v="0"/>
    <n v="0"/>
    <n v="0"/>
    <n v="0"/>
    <n v="1"/>
    <m/>
    <n v="0"/>
    <n v="0.25"/>
    <n v="0.25"/>
    <n v="0.25"/>
    <n v="0.25"/>
    <n v="0"/>
    <n v="0"/>
    <s v="Y"/>
    <n v="0"/>
    <n v="0"/>
    <n v="0"/>
    <n v="0"/>
    <n v="0"/>
    <s v="Hampton"/>
    <m/>
    <m/>
    <m/>
    <m/>
    <x v="0"/>
  </r>
  <r>
    <s v="15/4581/FUL"/>
    <s v="NEW"/>
    <m/>
    <s v="45 - 49 Station Road Hampton TW12 2BT"/>
    <s v="Demolition of all site buildings and redevelopment of the site for a mixed use development comprising a new car showroom with associated workshops (sui generis), office accommodation (Use Class B1a) and six three-bedrooom residential dwellings (Use Class"/>
    <m/>
    <m/>
    <x v="2"/>
    <s v="Open Market"/>
    <n v="513825"/>
    <n v="169567"/>
    <m/>
    <n v="0"/>
    <n v="0"/>
    <n v="0"/>
    <n v="0"/>
    <m/>
    <m/>
    <m/>
    <n v="0"/>
    <m/>
    <n v="0"/>
    <n v="0"/>
    <n v="6"/>
    <n v="0"/>
    <m/>
    <m/>
    <m/>
    <n v="6"/>
    <m/>
    <n v="0"/>
    <n v="0"/>
    <n v="6"/>
    <n v="0"/>
    <n v="0"/>
    <n v="0"/>
    <n v="0"/>
    <n v="6"/>
    <m/>
    <n v="0"/>
    <n v="0"/>
    <n v="2"/>
    <n v="2"/>
    <n v="2"/>
    <n v="0"/>
    <n v="0"/>
    <s v="Y"/>
    <n v="0"/>
    <n v="0"/>
    <n v="0"/>
    <n v="0"/>
    <n v="0"/>
    <s v="Hampton"/>
    <m/>
    <m/>
    <m/>
    <m/>
    <x v="0"/>
  </r>
  <r>
    <s v="15/4586/FUL"/>
    <s v="NEW"/>
    <m/>
    <s v="257 Waldegrave Road_x000a_Twickenham_x000a_TW1 4SY"/>
    <s v="Erection of a two-storey replacement dwellinghouse with attic space."/>
    <m/>
    <m/>
    <x v="2"/>
    <s v="Open Market"/>
    <n v="515611"/>
    <n v="172008"/>
    <m/>
    <n v="0"/>
    <n v="0"/>
    <n v="0"/>
    <n v="1"/>
    <m/>
    <m/>
    <m/>
    <n v="1"/>
    <m/>
    <n v="0"/>
    <n v="0"/>
    <n v="0"/>
    <n v="0"/>
    <n v="1"/>
    <m/>
    <m/>
    <n v="1"/>
    <m/>
    <n v="0"/>
    <n v="0"/>
    <n v="0"/>
    <n v="-1"/>
    <n v="1"/>
    <n v="0"/>
    <n v="0"/>
    <n v="0"/>
    <m/>
    <n v="0"/>
    <n v="0"/>
    <n v="0"/>
    <n v="0"/>
    <n v="0"/>
    <n v="0"/>
    <n v="0"/>
    <n v="0"/>
    <n v="0"/>
    <n v="0"/>
    <n v="0"/>
    <n v="0"/>
    <n v="0"/>
    <s v="South Twickenham"/>
    <m/>
    <m/>
    <m/>
    <m/>
    <x v="0"/>
  </r>
  <r>
    <s v="15/5217/FUL"/>
    <s v="NEW"/>
    <m/>
    <s v="Silver Birches_x000a_2 - 6 Marchmont Road_x000a_Richmond_x000a_TW10 6HH"/>
    <s v="Demolition of care home, and the construction of nine residential units and associated works. (The affordable housing associated to this development is proposed off site on The Avenue Centre site as part of its redevelopment - refer to application 15/521"/>
    <m/>
    <m/>
    <x v="2"/>
    <s v="Open Market"/>
    <n v="518559"/>
    <n v="174698"/>
    <m/>
    <n v="1"/>
    <n v="0"/>
    <n v="0"/>
    <n v="0"/>
    <m/>
    <m/>
    <m/>
    <n v="1"/>
    <m/>
    <n v="0"/>
    <n v="2"/>
    <n v="5"/>
    <n v="2"/>
    <m/>
    <m/>
    <m/>
    <n v="9"/>
    <m/>
    <n v="-1"/>
    <n v="2"/>
    <n v="5"/>
    <n v="2"/>
    <n v="0"/>
    <n v="0"/>
    <n v="0"/>
    <n v="8"/>
    <m/>
    <n v="0"/>
    <n v="0"/>
    <n v="2.6666666666666665"/>
    <n v="2.6666666666666665"/>
    <n v="2.6666666666666665"/>
    <n v="0"/>
    <n v="0"/>
    <s v="Y"/>
    <n v="0"/>
    <n v="0"/>
    <n v="0"/>
    <n v="0"/>
    <n v="0"/>
    <s v="South Richmond"/>
    <m/>
    <m/>
    <m/>
    <m/>
    <x v="0"/>
  </r>
  <r>
    <s v="15/5351/FUL"/>
    <s v="NEW"/>
    <m/>
    <s v="11 Fifth Cross Road_x000a_Twickenham"/>
    <s v="Erection of a pair of two-bedroom, semi-detached dwellings with associated access, car turntable, parking and amenity space following the demolition of existing dwelling."/>
    <m/>
    <m/>
    <x v="2"/>
    <s v="Open Market"/>
    <n v="514775"/>
    <n v="172397"/>
    <m/>
    <n v="0"/>
    <n v="0"/>
    <n v="1"/>
    <n v="0"/>
    <m/>
    <m/>
    <m/>
    <n v="1"/>
    <m/>
    <n v="0"/>
    <n v="2"/>
    <n v="0"/>
    <n v="0"/>
    <m/>
    <m/>
    <m/>
    <n v="2"/>
    <m/>
    <n v="0"/>
    <n v="2"/>
    <n v="-1"/>
    <n v="0"/>
    <n v="0"/>
    <n v="0"/>
    <n v="0"/>
    <n v="1"/>
    <m/>
    <n v="0"/>
    <n v="0"/>
    <n v="0.33333333333333331"/>
    <n v="0.33333333333333331"/>
    <n v="0.33333333333333331"/>
    <n v="0"/>
    <n v="0"/>
    <s v="Y"/>
    <n v="0"/>
    <n v="0"/>
    <n v="0"/>
    <n v="0"/>
    <n v="0"/>
    <s v="West Twickenham"/>
    <m/>
    <m/>
    <m/>
    <m/>
    <x v="0"/>
  </r>
  <r>
    <s v="15/5395/FUL"/>
    <s v="CON"/>
    <m/>
    <s v="68 Shalstone Road_x000a_Mortlake_x000a_London"/>
    <s v="Conversion from 2 flats to a single dwelling house and the addition of an entrance porch and window."/>
    <m/>
    <m/>
    <x v="2"/>
    <s v="Open Market"/>
    <n v="519787"/>
    <n v="175797"/>
    <m/>
    <n v="2"/>
    <n v="0"/>
    <n v="0"/>
    <n v="0"/>
    <m/>
    <m/>
    <m/>
    <n v="2"/>
    <m/>
    <n v="0"/>
    <n v="0"/>
    <n v="0"/>
    <n v="1"/>
    <m/>
    <m/>
    <m/>
    <n v="1"/>
    <m/>
    <n v="-2"/>
    <n v="0"/>
    <n v="0"/>
    <n v="1"/>
    <n v="0"/>
    <n v="0"/>
    <n v="0"/>
    <n v="-1"/>
    <m/>
    <n v="0"/>
    <n v="-0.25"/>
    <n v="-0.25"/>
    <n v="-0.25"/>
    <n v="-0.25"/>
    <n v="0"/>
    <n v="0"/>
    <s v="Y"/>
    <n v="0"/>
    <n v="0"/>
    <n v="0"/>
    <n v="0"/>
    <n v="0"/>
    <s v="North Richmond"/>
    <m/>
    <m/>
    <m/>
    <m/>
    <x v="0"/>
  </r>
  <r>
    <s v="16/0058/FUL"/>
    <s v="CHU"/>
    <m/>
    <s v="29 George Street Richmond TW9 1HY"/>
    <s v="Change of use of 2nd floor and 3rd floor level from ancillary retail to nine 1 bedroom flats (C3 use) with external alterations and enclosure of walkway at 1st floor, new residential access, bin store, bicycle storage, replacement of plant, new stairs to"/>
    <m/>
    <m/>
    <x v="2"/>
    <s v="Open Market"/>
    <n v="517924"/>
    <n v="174891"/>
    <m/>
    <n v="0"/>
    <n v="0"/>
    <n v="0"/>
    <n v="0"/>
    <m/>
    <m/>
    <m/>
    <n v="0"/>
    <m/>
    <n v="9"/>
    <n v="0"/>
    <n v="0"/>
    <n v="0"/>
    <m/>
    <m/>
    <m/>
    <n v="9"/>
    <m/>
    <n v="9"/>
    <n v="0"/>
    <n v="0"/>
    <n v="0"/>
    <n v="0"/>
    <n v="0"/>
    <n v="0"/>
    <n v="9"/>
    <m/>
    <n v="0"/>
    <n v="2.25"/>
    <n v="2.25"/>
    <n v="2.25"/>
    <n v="2.25"/>
    <n v="0"/>
    <n v="0"/>
    <s v="Y"/>
    <n v="0"/>
    <n v="0"/>
    <n v="0"/>
    <n v="0"/>
    <n v="0"/>
    <s v="South Richmond"/>
    <m/>
    <m/>
    <s v="Richmond"/>
    <m/>
    <x v="0"/>
  </r>
  <r>
    <s v="16/0344/FUL"/>
    <s v="CON"/>
    <m/>
    <s v="113 Stanley Road_x000a_Teddington_x000a_TW11 8UB"/>
    <s v="Side extension to existing 1st floor back addition and convert existing 1 bedroom flat to two studio flats"/>
    <m/>
    <m/>
    <x v="2"/>
    <s v="Open Market"/>
    <n v="515085"/>
    <n v="171577"/>
    <m/>
    <n v="0"/>
    <n v="1"/>
    <n v="0"/>
    <n v="0"/>
    <m/>
    <m/>
    <m/>
    <n v="1"/>
    <n v="2"/>
    <n v="0"/>
    <n v="0"/>
    <n v="0"/>
    <n v="0"/>
    <m/>
    <m/>
    <m/>
    <n v="2"/>
    <m/>
    <n v="0"/>
    <n v="-1"/>
    <n v="0"/>
    <n v="0"/>
    <n v="0"/>
    <n v="0"/>
    <n v="0"/>
    <n v="1"/>
    <m/>
    <n v="0"/>
    <n v="0.25"/>
    <n v="0.25"/>
    <n v="0.25"/>
    <n v="0.25"/>
    <n v="0"/>
    <n v="0"/>
    <s v="Y"/>
    <n v="0"/>
    <n v="0"/>
    <n v="0"/>
    <n v="0"/>
    <n v="0"/>
    <s v="Fulwell and Hampton Hill"/>
    <m/>
    <s v="Stanley Road"/>
    <m/>
    <m/>
    <x v="0"/>
  </r>
  <r>
    <s v="16/0489/PS192"/>
    <s v="CHU"/>
    <m/>
    <s v="321 Richmond Road Ham KT2 5QU"/>
    <s v="Change of use of ground floor from Class A1 (shops) to Class A2 (financial and professional services)."/>
    <m/>
    <m/>
    <x v="2"/>
    <s v="Open Market"/>
    <n v="517763"/>
    <n v="171588"/>
    <m/>
    <n v="0"/>
    <n v="0"/>
    <n v="0"/>
    <n v="0"/>
    <m/>
    <m/>
    <m/>
    <n v="0"/>
    <m/>
    <n v="0"/>
    <n v="0"/>
    <n v="0"/>
    <n v="0"/>
    <m/>
    <m/>
    <m/>
    <n v="0"/>
    <m/>
    <n v="0"/>
    <n v="0"/>
    <n v="0"/>
    <n v="0"/>
    <n v="0"/>
    <n v="0"/>
    <n v="0"/>
    <n v="0"/>
    <m/>
    <n v="0"/>
    <n v="0"/>
    <n v="0"/>
    <n v="0"/>
    <n v="0"/>
    <n v="0"/>
    <n v="0"/>
    <n v="0"/>
    <n v="0"/>
    <n v="0"/>
    <n v="0"/>
    <n v="0"/>
    <n v="0"/>
    <s v="Ham, Petersham and Richmond Riverside"/>
    <m/>
    <m/>
    <m/>
    <m/>
    <x v="0"/>
  </r>
  <r>
    <s v="16/0510/FUL"/>
    <s v="CHU"/>
    <m/>
    <s v="Shanklin House_x000a_70 Sheen Road_x000a_Richmond_x000a_TW9 1UF"/>
    <s v="Alterations including construction of a new rear ground floor extension and change of use to commercial space and two 2-bedroom self-contained flats."/>
    <m/>
    <m/>
    <x v="2"/>
    <s v="Open Market"/>
    <n v="518392"/>
    <n v="175032"/>
    <m/>
    <n v="0"/>
    <n v="0"/>
    <n v="0"/>
    <n v="0"/>
    <m/>
    <m/>
    <m/>
    <n v="0"/>
    <m/>
    <n v="0"/>
    <n v="2"/>
    <n v="0"/>
    <n v="0"/>
    <m/>
    <m/>
    <m/>
    <n v="2"/>
    <m/>
    <n v="0"/>
    <n v="2"/>
    <n v="0"/>
    <n v="0"/>
    <n v="0"/>
    <n v="0"/>
    <n v="0"/>
    <n v="2"/>
    <m/>
    <n v="0"/>
    <n v="0.5"/>
    <n v="0.5"/>
    <n v="0.5"/>
    <n v="0.5"/>
    <n v="0"/>
    <n v="0"/>
    <s v="Y"/>
    <n v="0"/>
    <n v="0"/>
    <n v="0"/>
    <n v="0"/>
    <n v="0"/>
    <s v="South Richmond"/>
    <m/>
    <s v="Sheen Road"/>
    <m/>
    <m/>
    <x v="0"/>
  </r>
  <r>
    <s v="16/0606/FUL"/>
    <s v="MIX"/>
    <m/>
    <s v="Police Station 60 - 68 Station Road Hampton"/>
    <s v="Retention of former police station building with partial demolition of the rear wings of the police station and demolition of the rear garages and the construction of 28 residential units (4 x 1 bedroom, 12 x 2 bedroom, 10 x 3 bedroom and 2 x 4 bedroom)"/>
    <m/>
    <m/>
    <x v="2"/>
    <s v="Open Market"/>
    <n v="513766"/>
    <n v="169736"/>
    <m/>
    <n v="0"/>
    <n v="0"/>
    <n v="0"/>
    <n v="0"/>
    <m/>
    <m/>
    <m/>
    <n v="0"/>
    <m/>
    <n v="4"/>
    <n v="12"/>
    <n v="10"/>
    <n v="2"/>
    <m/>
    <m/>
    <m/>
    <n v="28"/>
    <m/>
    <n v="4"/>
    <n v="12"/>
    <n v="10"/>
    <n v="2"/>
    <n v="0"/>
    <n v="0"/>
    <n v="0"/>
    <n v="28"/>
    <m/>
    <n v="0"/>
    <n v="0"/>
    <n v="0"/>
    <n v="0"/>
    <n v="14"/>
    <n v="14"/>
    <n v="0"/>
    <s v="Y"/>
    <n v="0"/>
    <n v="0"/>
    <n v="0"/>
    <n v="0"/>
    <n v="0"/>
    <s v="Hampton"/>
    <m/>
    <s v="Station Road"/>
    <m/>
    <m/>
    <x v="0"/>
  </r>
  <r>
    <s v="16/0647/FUL"/>
    <s v="NEW"/>
    <m/>
    <s v="Garages Rear Of 8_x000a_Atbara Road_x000a_Teddington"/>
    <s v="Demolition of the existing garages and redevelopment of the site with the erection of two residential houses with associated landscaping."/>
    <m/>
    <m/>
    <x v="2"/>
    <s v="Open Market"/>
    <n v="516905"/>
    <n v="170733"/>
    <m/>
    <n v="0"/>
    <n v="0"/>
    <n v="0"/>
    <n v="0"/>
    <m/>
    <m/>
    <m/>
    <n v="0"/>
    <m/>
    <n v="0"/>
    <n v="0"/>
    <n v="2"/>
    <n v="0"/>
    <m/>
    <m/>
    <m/>
    <n v="0"/>
    <m/>
    <n v="0"/>
    <n v="0"/>
    <n v="2"/>
    <n v="0"/>
    <n v="0"/>
    <n v="0"/>
    <n v="0"/>
    <n v="0"/>
    <m/>
    <n v="0"/>
    <n v="0"/>
    <n v="0"/>
    <n v="0"/>
    <n v="0"/>
    <n v="0"/>
    <n v="0"/>
    <n v="0"/>
    <n v="0"/>
    <n v="0"/>
    <n v="0"/>
    <n v="0"/>
    <n v="0"/>
    <s v="Hampton Wick"/>
    <m/>
    <m/>
    <m/>
    <m/>
    <x v="0"/>
  </r>
  <r>
    <s v="16/0905/FUL"/>
    <s v="NEW"/>
    <m/>
    <s v="275 Sandycombe Road_x000a_Richmond_x000a_TW9 3LU"/>
    <s v="Demolition of the existing hall and the erection of a new community facility building and 6 flats"/>
    <m/>
    <m/>
    <x v="2"/>
    <s v="Open Market"/>
    <n v="519126"/>
    <n v="176420"/>
    <m/>
    <n v="0"/>
    <n v="0"/>
    <n v="0"/>
    <n v="0"/>
    <m/>
    <m/>
    <m/>
    <n v="0"/>
    <m/>
    <n v="4"/>
    <n v="2"/>
    <n v="0"/>
    <n v="0"/>
    <m/>
    <m/>
    <m/>
    <n v="6"/>
    <m/>
    <n v="4"/>
    <n v="2"/>
    <n v="0"/>
    <n v="0"/>
    <n v="0"/>
    <n v="0"/>
    <n v="0"/>
    <n v="6"/>
    <m/>
    <n v="0"/>
    <n v="0"/>
    <n v="2"/>
    <n v="2"/>
    <n v="2"/>
    <n v="0"/>
    <n v="0"/>
    <s v="Y"/>
    <n v="0"/>
    <n v="0"/>
    <n v="0"/>
    <n v="0"/>
    <n v="0"/>
    <s v="Kew"/>
    <m/>
    <s v="Sandycombe Road North"/>
    <m/>
    <m/>
    <x v="0"/>
  </r>
  <r>
    <s v="16/1279/GPD15"/>
    <s v="CHU"/>
    <m/>
    <s v="115 White Hart Lane_x000d_Barnes_x000d_London_x000d_SW13 0JL_x000d_"/>
    <s v="Change of use from office (B1a) to residential (C3)."/>
    <m/>
    <m/>
    <x v="2"/>
    <s v="Open Market"/>
    <n v="521408"/>
    <n v="175714"/>
    <m/>
    <n v="0"/>
    <n v="0"/>
    <n v="0"/>
    <n v="1"/>
    <m/>
    <m/>
    <m/>
    <n v="1"/>
    <m/>
    <n v="0"/>
    <n v="0"/>
    <n v="0"/>
    <n v="0"/>
    <n v="1"/>
    <m/>
    <m/>
    <n v="1"/>
    <m/>
    <n v="0"/>
    <n v="0"/>
    <n v="0"/>
    <n v="-1"/>
    <n v="1"/>
    <n v="0"/>
    <n v="0"/>
    <n v="0"/>
    <m/>
    <n v="0"/>
    <n v="0"/>
    <n v="0"/>
    <n v="0"/>
    <n v="0"/>
    <n v="0"/>
    <n v="0"/>
    <n v="0"/>
    <n v="0"/>
    <n v="0"/>
    <n v="0"/>
    <n v="0"/>
    <n v="0"/>
    <s v="Mortlake and Barnes Common"/>
    <m/>
    <m/>
    <m/>
    <m/>
    <x v="0"/>
  </r>
  <r>
    <s v="16/1592/FUL"/>
    <s v="CHU"/>
    <m/>
    <s v="5 Royal Parade_x000a_Kew_x000a_Richmond_x000a_TW9 3QD"/>
    <s v="Change of use of the rear of the ground floor level from an 'A1' shop (Dry-cleaning), to C3 Dwelling for use as a 2 bedroom maisonette flat, extending the basement level, together with some internal reconfiguration."/>
    <m/>
    <m/>
    <x v="2"/>
    <s v="Open Market"/>
    <n v="519112"/>
    <n v="176842"/>
    <m/>
    <n v="0"/>
    <n v="0"/>
    <n v="0"/>
    <n v="0"/>
    <m/>
    <m/>
    <m/>
    <n v="0"/>
    <m/>
    <n v="0"/>
    <n v="1"/>
    <n v="0"/>
    <n v="0"/>
    <m/>
    <m/>
    <m/>
    <n v="1"/>
    <m/>
    <n v="0"/>
    <n v="1"/>
    <n v="0"/>
    <n v="0"/>
    <n v="0"/>
    <n v="0"/>
    <n v="0"/>
    <n v="1"/>
    <m/>
    <n v="0"/>
    <n v="0.25"/>
    <n v="0.25"/>
    <n v="0.25"/>
    <n v="0.25"/>
    <n v="0"/>
    <n v="0"/>
    <s v="Y"/>
    <n v="0"/>
    <n v="0"/>
    <n v="0"/>
    <n v="0"/>
    <n v="0"/>
    <s v="Kew"/>
    <m/>
    <s v="Kew Gardens Station"/>
    <m/>
    <m/>
    <x v="0"/>
  </r>
  <r>
    <s v="16/1729/FUL"/>
    <s v="MIX"/>
    <m/>
    <s v="67 - 71 Station Road Hampton TW12 2BT"/>
    <s v="Refurbishment of all existing buildings on the site, including improvements to existing shop fronts, and a first floor extension, to provide a mixed use scheme comprising three retail units and four residential dwellings, incorporating off-street parking"/>
    <m/>
    <m/>
    <x v="2"/>
    <s v="Open Market"/>
    <n v="513783"/>
    <n v="169643"/>
    <m/>
    <n v="0"/>
    <n v="1"/>
    <n v="0"/>
    <n v="0"/>
    <m/>
    <m/>
    <m/>
    <n v="1"/>
    <m/>
    <n v="2"/>
    <n v="2"/>
    <n v="0"/>
    <n v="0"/>
    <m/>
    <m/>
    <m/>
    <n v="4"/>
    <m/>
    <n v="2"/>
    <n v="1"/>
    <n v="0"/>
    <n v="0"/>
    <n v="0"/>
    <n v="0"/>
    <n v="0"/>
    <n v="3"/>
    <m/>
    <n v="0"/>
    <n v="0"/>
    <n v="1"/>
    <n v="1"/>
    <n v="1"/>
    <n v="0"/>
    <n v="0"/>
    <s v="Y"/>
    <n v="0"/>
    <n v="0"/>
    <n v="0"/>
    <n v="0"/>
    <n v="0"/>
    <s v="Hampton"/>
    <m/>
    <s v="Station Road"/>
    <m/>
    <m/>
    <x v="0"/>
  </r>
  <r>
    <s v="16/2271/FUL"/>
    <s v="NEW"/>
    <m/>
    <s v="Garages Rear Of 81 To 85 Woodville Road Ham"/>
    <s v="Erection of a detached office building."/>
    <m/>
    <m/>
    <x v="2"/>
    <s v="Open Market"/>
    <n v="516909"/>
    <n v="172236"/>
    <m/>
    <n v="0"/>
    <n v="0"/>
    <n v="0"/>
    <n v="0"/>
    <m/>
    <m/>
    <m/>
    <n v="0"/>
    <m/>
    <n v="0"/>
    <n v="0"/>
    <n v="0"/>
    <n v="0"/>
    <m/>
    <m/>
    <m/>
    <n v="0"/>
    <m/>
    <n v="0"/>
    <n v="0"/>
    <n v="0"/>
    <n v="0"/>
    <n v="0"/>
    <n v="0"/>
    <n v="0"/>
    <n v="0"/>
    <m/>
    <n v="0"/>
    <n v="0"/>
    <n v="0"/>
    <n v="0"/>
    <n v="0"/>
    <n v="0"/>
    <n v="0"/>
    <n v="0"/>
    <n v="0"/>
    <n v="0"/>
    <n v="0"/>
    <n v="0"/>
    <n v="0"/>
    <s v="Ham, Petersham and Richmond Riverside"/>
    <m/>
    <m/>
    <m/>
    <m/>
    <x v="0"/>
  </r>
  <r>
    <s v="16/2288/FUL"/>
    <s v="EXT"/>
    <m/>
    <s v="179 - 181 High Street_x000a_Hampton Hill"/>
    <s v="Extending the existing retail and residential accommodation to provide a mixed use scheme comprising of one retail unit and 7 new residential dwellings and retention of 3 currently existing residential dwellings, incorporating cycle storage, amenity spac"/>
    <m/>
    <m/>
    <x v="2"/>
    <s v="Open Market"/>
    <n v="514440"/>
    <n v="171238"/>
    <m/>
    <n v="1"/>
    <n v="2"/>
    <n v="0"/>
    <n v="0"/>
    <m/>
    <m/>
    <m/>
    <n v="3"/>
    <m/>
    <n v="5"/>
    <n v="5"/>
    <n v="0"/>
    <n v="0"/>
    <m/>
    <m/>
    <m/>
    <n v="10"/>
    <m/>
    <n v="4"/>
    <n v="3"/>
    <n v="0"/>
    <n v="0"/>
    <n v="0"/>
    <n v="0"/>
    <n v="0"/>
    <n v="7"/>
    <m/>
    <n v="0"/>
    <n v="1.75"/>
    <n v="1.75"/>
    <n v="1.75"/>
    <n v="1.75"/>
    <n v="0"/>
    <n v="0"/>
    <s v="Y"/>
    <n v="0"/>
    <n v="0"/>
    <n v="0"/>
    <n v="0"/>
    <n v="0"/>
    <s v="Fulwell and Hampton Hill"/>
    <m/>
    <s v="High Street"/>
    <m/>
    <m/>
    <x v="0"/>
  </r>
  <r>
    <s v="16/2647/FUL"/>
    <s v="NEW"/>
    <m/>
    <s v="2 High Street_x000a_Teddington_x000a_TW11 8EW"/>
    <s v="Demolition of the existing office (B1a) building (395 sq.m) and the erection a part five / part six-storey mixed-use building comprisnig a ground floor office / commercial unit (300 sq.m) and 22 (11 x 1 and 11 x 2 bed) affordable 'shared ownership' apart"/>
    <m/>
    <m/>
    <x v="2"/>
    <s v="Intermediate"/>
    <n v="515918"/>
    <n v="171031"/>
    <m/>
    <n v="0"/>
    <n v="0"/>
    <n v="0"/>
    <n v="0"/>
    <m/>
    <m/>
    <m/>
    <n v="0"/>
    <m/>
    <n v="11"/>
    <n v="11"/>
    <n v="0"/>
    <n v="0"/>
    <m/>
    <m/>
    <m/>
    <n v="22"/>
    <m/>
    <n v="11"/>
    <n v="11"/>
    <n v="0"/>
    <n v="0"/>
    <n v="0"/>
    <n v="0"/>
    <n v="0"/>
    <n v="22"/>
    <m/>
    <n v="0"/>
    <n v="0"/>
    <n v="22"/>
    <n v="0"/>
    <n v="0"/>
    <n v="0"/>
    <n v="0"/>
    <s v="Y"/>
    <n v="0"/>
    <n v="0"/>
    <n v="0"/>
    <n v="0"/>
    <n v="0"/>
    <s v="Teddington"/>
    <m/>
    <m/>
    <s v="Teddington"/>
    <m/>
    <x v="0"/>
  </r>
  <r>
    <s v="16/2704/FUL"/>
    <s v="NEW"/>
    <m/>
    <s v="3 Berwyn Road_x000a_Richmond_x000a_TW10 5BP"/>
    <s v="Demolition of existing dwelling and erection of a replacement dwelling."/>
    <m/>
    <m/>
    <x v="2"/>
    <s v="Open Market"/>
    <n v="519633"/>
    <n v="174966"/>
    <m/>
    <n v="0"/>
    <n v="0"/>
    <n v="0"/>
    <n v="1"/>
    <m/>
    <m/>
    <m/>
    <n v="1"/>
    <m/>
    <n v="0"/>
    <n v="0"/>
    <n v="0"/>
    <n v="0"/>
    <n v="1"/>
    <m/>
    <m/>
    <n v="1"/>
    <m/>
    <n v="0"/>
    <n v="0"/>
    <n v="0"/>
    <n v="-1"/>
    <n v="1"/>
    <n v="0"/>
    <n v="0"/>
    <n v="0"/>
    <m/>
    <n v="0"/>
    <n v="0"/>
    <n v="0"/>
    <n v="0"/>
    <n v="0"/>
    <n v="0"/>
    <n v="0"/>
    <n v="0"/>
    <n v="0"/>
    <n v="0"/>
    <n v="0"/>
    <n v="0"/>
    <n v="0"/>
    <s v="South Richmond"/>
    <m/>
    <m/>
    <m/>
    <m/>
    <x v="0"/>
  </r>
  <r>
    <s v="16/2709/FUL"/>
    <s v="NEW"/>
    <m/>
    <s v="29 Howsman Road_x000a_Barnes_x000a_London_x000a_SW13 9AW"/>
    <s v="Demolition of the existing building and the erection of two new two-storey houses, one with a basement and side lightwells and the other with a basement with rear lightwell and rear dormer."/>
    <m/>
    <m/>
    <x v="2"/>
    <s v="Open Market"/>
    <n v="522192"/>
    <n v="177628"/>
    <m/>
    <n v="2"/>
    <n v="0"/>
    <n v="0"/>
    <n v="0"/>
    <m/>
    <m/>
    <m/>
    <n v="2"/>
    <m/>
    <n v="0"/>
    <n v="2"/>
    <n v="0"/>
    <n v="0"/>
    <m/>
    <m/>
    <m/>
    <n v="2"/>
    <m/>
    <n v="-2"/>
    <n v="2"/>
    <n v="0"/>
    <n v="0"/>
    <n v="0"/>
    <n v="0"/>
    <n v="0"/>
    <n v="0"/>
    <m/>
    <n v="0"/>
    <n v="0"/>
    <n v="0"/>
    <n v="0"/>
    <n v="0"/>
    <n v="0"/>
    <n v="0"/>
    <n v="0"/>
    <n v="0"/>
    <n v="0"/>
    <n v="0"/>
    <n v="0"/>
    <n v="0"/>
    <s v="Barnes"/>
    <m/>
    <m/>
    <m/>
    <m/>
    <x v="1"/>
  </r>
  <r>
    <s v="16/2729/FUL"/>
    <s v="CON"/>
    <m/>
    <s v="41A Kings Road_x000a_Richmond_x000a_TW10 6EG"/>
    <s v="This Application proposes: 'Nos. 41 and 41a (currently a house and self-contained flat) to become a single dwelling house.'"/>
    <m/>
    <m/>
    <x v="2"/>
    <s v="Open Market"/>
    <n v="518642"/>
    <n v="174770"/>
    <m/>
    <n v="1"/>
    <n v="0"/>
    <n v="0"/>
    <n v="1"/>
    <m/>
    <m/>
    <m/>
    <n v="2"/>
    <m/>
    <n v="0"/>
    <n v="0"/>
    <n v="0"/>
    <n v="1"/>
    <m/>
    <m/>
    <m/>
    <n v="1"/>
    <m/>
    <n v="-1"/>
    <n v="0"/>
    <n v="0"/>
    <n v="0"/>
    <n v="0"/>
    <n v="0"/>
    <n v="0"/>
    <n v="-1"/>
    <m/>
    <n v="0"/>
    <n v="-0.25"/>
    <n v="-0.25"/>
    <n v="-0.25"/>
    <n v="-0.25"/>
    <n v="0"/>
    <n v="0"/>
    <s v="Y"/>
    <n v="0"/>
    <n v="0"/>
    <n v="0"/>
    <n v="0"/>
    <n v="0"/>
    <s v="South Richmond"/>
    <m/>
    <m/>
    <m/>
    <m/>
    <x v="0"/>
  </r>
  <r>
    <s v="16/2736/FUL"/>
    <s v="NEW"/>
    <m/>
    <s v="Downlands_x000a_Petersham Close_x000a_Petersham_x000a_Richmond_x000a_TW10 7DZ"/>
    <s v="Demolition of existing detached dwelling and construction of new 4 bed house."/>
    <m/>
    <m/>
    <x v="2"/>
    <s v="Open Market"/>
    <n v="517972"/>
    <n v="172874"/>
    <m/>
    <n v="0"/>
    <n v="0"/>
    <n v="0"/>
    <n v="1"/>
    <m/>
    <m/>
    <m/>
    <n v="1"/>
    <m/>
    <n v="0"/>
    <n v="0"/>
    <n v="0"/>
    <n v="0"/>
    <n v="1"/>
    <m/>
    <m/>
    <n v="1"/>
    <m/>
    <n v="0"/>
    <n v="0"/>
    <n v="0"/>
    <n v="-1"/>
    <n v="1"/>
    <n v="0"/>
    <n v="0"/>
    <n v="0"/>
    <m/>
    <n v="0"/>
    <n v="0"/>
    <n v="0"/>
    <n v="0"/>
    <n v="0"/>
    <n v="0"/>
    <n v="0"/>
    <n v="0"/>
    <n v="0"/>
    <n v="0"/>
    <n v="0"/>
    <n v="0"/>
    <n v="0"/>
    <s v="Ham, Petersham and Richmond Riverside"/>
    <m/>
    <m/>
    <m/>
    <m/>
    <x v="0"/>
  </r>
  <r>
    <s v="16/2822/FUL"/>
    <s v="EXT"/>
    <m/>
    <s v="48 Sixth Cross Road_x000d_Twickenham_x000d_TW2 5PD"/>
    <s v="Half hip to gable roof extension, enlargement of existing dormer roof extension, erection of an additional dormer roof extension on rear roof slope and alteration to roof of single storey rear extension to provide a roof terrace to faciltate the conversio"/>
    <m/>
    <m/>
    <x v="2"/>
    <s v="Open Market"/>
    <n v="514331"/>
    <n v="172184"/>
    <m/>
    <n v="0"/>
    <n v="0"/>
    <n v="0"/>
    <n v="0"/>
    <n v="0"/>
    <n v="0"/>
    <n v="1"/>
    <n v="1"/>
    <m/>
    <n v="1"/>
    <n v="1"/>
    <n v="1"/>
    <n v="0"/>
    <m/>
    <m/>
    <m/>
    <n v="3"/>
    <m/>
    <n v="1"/>
    <n v="1"/>
    <n v="1"/>
    <n v="0"/>
    <n v="0"/>
    <n v="0"/>
    <n v="-1"/>
    <n v="2"/>
    <m/>
    <n v="0"/>
    <n v="0.5"/>
    <n v="0.5"/>
    <n v="0.5"/>
    <n v="0.5"/>
    <n v="0"/>
    <n v="0"/>
    <s v="Y"/>
    <n v="0"/>
    <n v="0"/>
    <n v="0"/>
    <n v="0"/>
    <n v="0"/>
    <s v="West Twickenham"/>
    <m/>
    <m/>
    <m/>
    <m/>
    <x v="0"/>
  </r>
  <r>
    <s v="16/3146/GPD15"/>
    <s v="CHU"/>
    <m/>
    <s v="Wickham House_x000d_2 Upper Teddington Road_x000d_Hampton Wick_x000d__x000d_"/>
    <s v="Change of use of building from B1a (office use) to C3 residential use to provide 4 flats"/>
    <m/>
    <m/>
    <x v="2"/>
    <s v="Open Market"/>
    <n v="517430"/>
    <n v="169806"/>
    <m/>
    <n v="0"/>
    <n v="0"/>
    <n v="0"/>
    <n v="0"/>
    <m/>
    <m/>
    <m/>
    <n v="0"/>
    <m/>
    <n v="2"/>
    <n v="2"/>
    <n v="0"/>
    <n v="0"/>
    <m/>
    <m/>
    <m/>
    <n v="4"/>
    <m/>
    <n v="2"/>
    <n v="2"/>
    <n v="0"/>
    <n v="0"/>
    <n v="0"/>
    <n v="0"/>
    <n v="0"/>
    <n v="4"/>
    <m/>
    <n v="0"/>
    <n v="1"/>
    <n v="1"/>
    <n v="1"/>
    <n v="1"/>
    <n v="0"/>
    <n v="0"/>
    <s v="Y"/>
    <n v="0"/>
    <n v="0"/>
    <n v="0"/>
    <n v="0"/>
    <n v="0"/>
    <s v="Hampton Wick"/>
    <m/>
    <s v="Hampton Wick"/>
    <m/>
    <m/>
    <x v="0"/>
  </r>
  <r>
    <s v="16/3184/FUL"/>
    <s v="CHU"/>
    <m/>
    <s v="123 High Street_x000a_Whitton_x000a_Twickenham_x000a_TW2 7LQ"/>
    <s v="Proposed lower ground floor rear extension to provide 1 x 2 bedroom dwelling with associated garden, refuse and cycle storage.  Rear stair enclosure providing access to the existing first and second floors, external alterations and communal roof terrace"/>
    <m/>
    <m/>
    <x v="2"/>
    <s v="Open Market"/>
    <n v="514223"/>
    <n v="173584"/>
    <m/>
    <n v="0"/>
    <n v="0"/>
    <n v="0"/>
    <n v="0"/>
    <m/>
    <m/>
    <m/>
    <n v="0"/>
    <m/>
    <n v="0"/>
    <n v="1"/>
    <n v="0"/>
    <n v="0"/>
    <m/>
    <m/>
    <m/>
    <n v="1"/>
    <m/>
    <n v="0"/>
    <n v="1"/>
    <n v="0"/>
    <n v="0"/>
    <n v="0"/>
    <n v="0"/>
    <n v="0"/>
    <n v="1"/>
    <m/>
    <n v="0"/>
    <n v="0.25"/>
    <n v="0.25"/>
    <n v="0.25"/>
    <n v="0.25"/>
    <n v="0"/>
    <n v="0"/>
    <s v="Y"/>
    <n v="0"/>
    <n v="0"/>
    <n v="0"/>
    <n v="0"/>
    <n v="0"/>
    <s v="Whitton"/>
    <m/>
    <m/>
    <s v="Whitton"/>
    <m/>
    <x v="0"/>
  </r>
  <r>
    <s v="16/3290/FUL"/>
    <s v="NEW"/>
    <m/>
    <s v="45 The Vineyard Richmond TW10 6AS"/>
    <s v="Partial demolition of an existing building and the creation of 3 new dwelling houses and associated works."/>
    <m/>
    <m/>
    <x v="2"/>
    <s v="Open Market"/>
    <n v="518209"/>
    <n v="174625"/>
    <m/>
    <n v="0"/>
    <n v="2"/>
    <n v="1"/>
    <n v="0"/>
    <m/>
    <m/>
    <m/>
    <n v="3"/>
    <m/>
    <n v="0"/>
    <n v="0"/>
    <n v="1"/>
    <n v="2"/>
    <m/>
    <m/>
    <m/>
    <n v="3"/>
    <m/>
    <n v="0"/>
    <n v="-2"/>
    <n v="0"/>
    <n v="2"/>
    <n v="0"/>
    <n v="0"/>
    <n v="0"/>
    <n v="0"/>
    <m/>
    <n v="0"/>
    <n v="0"/>
    <n v="0"/>
    <n v="0"/>
    <n v="0"/>
    <n v="0"/>
    <n v="0"/>
    <n v="0"/>
    <n v="0"/>
    <n v="0"/>
    <n v="0"/>
    <n v="0"/>
    <n v="0"/>
    <s v="South Richmond"/>
    <m/>
    <m/>
    <m/>
    <m/>
    <x v="0"/>
  </r>
  <r>
    <s v="16/3506/FUL"/>
    <s v="NEW"/>
    <m/>
    <s v="Somerville House 1 Rodney Road Twickenham"/>
    <s v="Demolition of the existing building and erection of 2 buildings at single-storey and three-stories to provide 24 affordable residential units (sheltered accommodation for older people of the minimum age of 55) with associated external amenities, communal"/>
    <m/>
    <m/>
    <x v="2"/>
    <s v="Social Rent"/>
    <n v="513257"/>
    <n v="174057"/>
    <m/>
    <n v="29"/>
    <n v="1"/>
    <n v="0"/>
    <n v="0"/>
    <m/>
    <m/>
    <m/>
    <n v="30"/>
    <m/>
    <n v="0"/>
    <n v="0"/>
    <n v="0"/>
    <n v="0"/>
    <m/>
    <m/>
    <m/>
    <n v="0"/>
    <m/>
    <n v="-29"/>
    <n v="-1"/>
    <n v="0"/>
    <n v="0"/>
    <n v="0"/>
    <n v="0"/>
    <n v="0"/>
    <n v="-30"/>
    <m/>
    <n v="0"/>
    <n v="0"/>
    <n v="0"/>
    <n v="0"/>
    <n v="-15"/>
    <n v="-15"/>
    <n v="0"/>
    <s v="Y"/>
    <n v="0"/>
    <n v="0"/>
    <n v="0"/>
    <n v="0"/>
    <n v="0"/>
    <s v="Whitton"/>
    <m/>
    <m/>
    <m/>
    <m/>
    <x v="0"/>
  </r>
  <r>
    <s v="16/3506/FUL"/>
    <s v="NEW"/>
    <m/>
    <s v="Somerville House 1 Rodney Road Twickenham"/>
    <s v="Demolition of the existing building and erection of 2 buildings at single-storey and three-stories to provide 24 affordable residential units (sheltered accommodation for older people of the minimum age of 55) with associated external amenities, communal"/>
    <m/>
    <m/>
    <x v="2"/>
    <s v="Intermediate"/>
    <n v="513257"/>
    <n v="174057"/>
    <m/>
    <n v="0"/>
    <n v="0"/>
    <n v="0"/>
    <n v="0"/>
    <m/>
    <m/>
    <m/>
    <n v="0"/>
    <m/>
    <n v="5"/>
    <n v="0"/>
    <n v="0"/>
    <n v="0"/>
    <m/>
    <m/>
    <m/>
    <n v="5"/>
    <m/>
    <n v="5"/>
    <n v="0"/>
    <n v="0"/>
    <n v="0"/>
    <n v="0"/>
    <n v="0"/>
    <n v="0"/>
    <n v="5"/>
    <m/>
    <n v="0"/>
    <n v="0"/>
    <n v="0"/>
    <n v="0"/>
    <n v="2.5"/>
    <n v="2.5"/>
    <n v="0"/>
    <s v="Y"/>
    <n v="0"/>
    <n v="0"/>
    <n v="0"/>
    <n v="0"/>
    <n v="0"/>
    <s v="Whitton"/>
    <m/>
    <m/>
    <m/>
    <m/>
    <x v="0"/>
  </r>
  <r>
    <s v="16/3506/FUL"/>
    <s v="NEW"/>
    <m/>
    <s v="Somerville House 1 Rodney Road Twickenham"/>
    <s v="Demolition of the existing building and erection of 2 buildings at single-storey and three-stories to provide 24 affordable residential units (sheltered accommodation for older people of the minimum age of 55) with associated external amenities, communal"/>
    <m/>
    <m/>
    <x v="2"/>
    <s v="Affordable Rent"/>
    <n v="513257"/>
    <n v="174057"/>
    <m/>
    <n v="0"/>
    <n v="0"/>
    <n v="0"/>
    <n v="0"/>
    <m/>
    <m/>
    <m/>
    <n v="0"/>
    <m/>
    <n v="19"/>
    <n v="0"/>
    <n v="0"/>
    <n v="0"/>
    <m/>
    <m/>
    <m/>
    <n v="19"/>
    <m/>
    <n v="19"/>
    <n v="0"/>
    <n v="0"/>
    <n v="0"/>
    <n v="0"/>
    <n v="0"/>
    <n v="0"/>
    <n v="19"/>
    <m/>
    <n v="0"/>
    <n v="0"/>
    <n v="0"/>
    <n v="0"/>
    <n v="9.5"/>
    <n v="9.5"/>
    <n v="0"/>
    <s v="Y"/>
    <n v="0"/>
    <n v="0"/>
    <n v="0"/>
    <n v="0"/>
    <n v="0"/>
    <s v="Whitton"/>
    <m/>
    <m/>
    <m/>
    <m/>
    <x v="0"/>
  </r>
  <r>
    <s v="16/3624/FUL"/>
    <s v="CON"/>
    <m/>
    <s v="12 Ellerker Gardens Richmond"/>
    <s v="The reversion of the existing premises (five studios and one x one bed flat) to a single family dwelling.  Further excavation of existing basement by approximately 1m in depth, external alterations to the property and removal of existing ground floor rea"/>
    <m/>
    <m/>
    <x v="2"/>
    <s v="Open Market"/>
    <n v="518104"/>
    <n v="174404"/>
    <m/>
    <n v="6"/>
    <n v="0"/>
    <n v="0"/>
    <n v="0"/>
    <m/>
    <m/>
    <m/>
    <n v="6"/>
    <m/>
    <n v="0"/>
    <n v="0"/>
    <n v="0"/>
    <n v="1"/>
    <m/>
    <m/>
    <m/>
    <n v="1"/>
    <m/>
    <n v="-6"/>
    <n v="0"/>
    <n v="0"/>
    <n v="1"/>
    <n v="0"/>
    <n v="0"/>
    <n v="0"/>
    <n v="-5"/>
    <m/>
    <n v="0"/>
    <n v="-1.25"/>
    <n v="-1.25"/>
    <n v="-1.25"/>
    <n v="-1.25"/>
    <n v="0"/>
    <n v="0"/>
    <s v="Y"/>
    <n v="0"/>
    <n v="0"/>
    <n v="0"/>
    <n v="0"/>
    <n v="0"/>
    <s v="South Richmond"/>
    <m/>
    <m/>
    <m/>
    <m/>
    <x v="0"/>
  </r>
  <r>
    <s v="16/4127/FUL"/>
    <s v="CON"/>
    <m/>
    <s v="Weir Cottage_x000a_5 Broom Road_x000a_Teddington"/>
    <s v="Conversion of property into two residential units (1 x 2 bed house and 1 x 3 bed house) with associated alterations to fenestration arrangements; Levelling of ground level; new canopy structure to east elevation and enlargement of rear terrace at ground"/>
    <m/>
    <m/>
    <x v="2"/>
    <s v="Open Market"/>
    <n v="516719"/>
    <n v="171329"/>
    <m/>
    <n v="0"/>
    <n v="0"/>
    <n v="0"/>
    <n v="0"/>
    <n v="1"/>
    <m/>
    <m/>
    <n v="1"/>
    <m/>
    <n v="0"/>
    <n v="1"/>
    <n v="1"/>
    <n v="0"/>
    <m/>
    <m/>
    <m/>
    <n v="2"/>
    <m/>
    <n v="0"/>
    <n v="1"/>
    <n v="1"/>
    <n v="0"/>
    <n v="-1"/>
    <n v="0"/>
    <n v="0"/>
    <n v="1"/>
    <m/>
    <n v="0"/>
    <n v="0.25"/>
    <n v="0.25"/>
    <n v="0.25"/>
    <n v="0.25"/>
    <n v="0"/>
    <n v="0"/>
    <s v="Y"/>
    <n v="0"/>
    <n v="0"/>
    <n v="0"/>
    <n v="0"/>
    <n v="0"/>
    <s v="Teddington"/>
    <m/>
    <m/>
    <m/>
    <s v="Thames Policy Area"/>
    <x v="0"/>
  </r>
  <r>
    <s v="16/4203/GPD13"/>
    <s v="CHU"/>
    <m/>
    <s v="34-36 High Street_x000d_Whitton_x000d_Twickenham_x000d_TW2 7LT_x000d_"/>
    <s v="Prior approval for conversion of rear part of shop (Use Class A1) to a self-contained residential unit (Use Class C3) including alterations to insert new doors and windows."/>
    <m/>
    <m/>
    <x v="2"/>
    <s v="Open Market"/>
    <n v="514166"/>
    <n v="173881"/>
    <m/>
    <n v="0"/>
    <n v="0"/>
    <n v="0"/>
    <n v="0"/>
    <m/>
    <m/>
    <m/>
    <n v="0"/>
    <m/>
    <n v="1"/>
    <n v="0"/>
    <n v="0"/>
    <n v="0"/>
    <m/>
    <m/>
    <m/>
    <n v="1"/>
    <m/>
    <n v="1"/>
    <n v="0"/>
    <n v="0"/>
    <n v="0"/>
    <n v="0"/>
    <n v="0"/>
    <n v="0"/>
    <n v="1"/>
    <m/>
    <n v="0"/>
    <n v="0.25"/>
    <n v="0.25"/>
    <n v="0.25"/>
    <n v="0.25"/>
    <n v="0"/>
    <n v="0"/>
    <s v="Y"/>
    <n v="0"/>
    <n v="0"/>
    <n v="0"/>
    <n v="0"/>
    <n v="0"/>
    <s v="Whitton"/>
    <m/>
    <m/>
    <s v="Whitton"/>
    <m/>
    <x v="0"/>
  </r>
  <r>
    <s v="16/4384/FUL"/>
    <s v="NEW"/>
    <m/>
    <s v="Land Junction Of North Worple Way And Wrights Walk Rear Of 31 Alder Road Mortlake"/>
    <s v="Demolition of the existing garage and erection of a new partially sunken one-bedroom, single-storey dwelling, and provision of a new boundary wall and entrance gate."/>
    <m/>
    <m/>
    <x v="2"/>
    <s v="Open Market"/>
    <n v="520624"/>
    <n v="175780"/>
    <m/>
    <n v="0"/>
    <n v="0"/>
    <n v="0"/>
    <n v="0"/>
    <m/>
    <m/>
    <m/>
    <n v="0"/>
    <m/>
    <n v="1"/>
    <n v="0"/>
    <n v="0"/>
    <n v="0"/>
    <m/>
    <m/>
    <m/>
    <n v="1"/>
    <m/>
    <n v="1"/>
    <n v="0"/>
    <n v="0"/>
    <n v="0"/>
    <n v="0"/>
    <n v="0"/>
    <n v="0"/>
    <n v="1"/>
    <m/>
    <n v="0"/>
    <n v="0"/>
    <n v="0.33333333333333331"/>
    <n v="0.33333333333333331"/>
    <n v="0.33333333333333331"/>
    <n v="0"/>
    <n v="0"/>
    <s v="Y"/>
    <n v="0"/>
    <n v="0"/>
    <n v="0"/>
    <n v="0"/>
    <n v="0"/>
    <s v="Mortlake and Barnes Common"/>
    <m/>
    <m/>
    <m/>
    <m/>
    <x v="1"/>
  </r>
  <r>
    <s v="16/4553/FUL"/>
    <s v="NEW"/>
    <m/>
    <s v="63 - 71 High Street Hampton Hill"/>
    <s v="Demolition of existing buildings on site and erection 2 buildings (two to four-storeys in height), set around outer and inner landscaped courtyards, comprising of 6 townhouses, 35 flats and two commercial units on the High Street frontage (110 sq.m GIA)"/>
    <m/>
    <m/>
    <x v="2"/>
    <s v="Open Market"/>
    <n v="514240"/>
    <n v="170830"/>
    <m/>
    <n v="2"/>
    <n v="1"/>
    <n v="0"/>
    <n v="0"/>
    <m/>
    <m/>
    <m/>
    <n v="3"/>
    <n v="1"/>
    <n v="17"/>
    <n v="17"/>
    <n v="5"/>
    <n v="0"/>
    <m/>
    <m/>
    <m/>
    <n v="41"/>
    <n v="1"/>
    <n v="15"/>
    <n v="16"/>
    <n v="5"/>
    <n v="0"/>
    <n v="0"/>
    <n v="0"/>
    <n v="0"/>
    <n v="38"/>
    <m/>
    <n v="0"/>
    <n v="0"/>
    <n v="12.666666666666666"/>
    <n v="12.666666666666666"/>
    <n v="12.666666666666666"/>
    <n v="0"/>
    <n v="0"/>
    <s v="Y"/>
    <n v="0"/>
    <n v="0"/>
    <n v="0"/>
    <n v="0"/>
    <n v="0"/>
    <s v="Fulwell and Hampton Hill"/>
    <m/>
    <s v="High Street"/>
    <m/>
    <m/>
    <x v="0"/>
  </r>
  <r>
    <s v="16/4587/FUL"/>
    <s v="CHU"/>
    <m/>
    <s v="24 Christchurch Road East Sheen SW14 7AA"/>
    <s v="Proposed conversion of garden studio to one person residential studio incorporating the extension of depth and height of existing garden studio in order to create a first floor level, with installation of a rooflight to the eastern roofslope and a roofli"/>
    <m/>
    <m/>
    <x v="2"/>
    <s v="Open Market"/>
    <n v="520283"/>
    <n v="175017"/>
    <m/>
    <n v="0"/>
    <n v="0"/>
    <n v="0"/>
    <n v="0"/>
    <m/>
    <m/>
    <m/>
    <n v="0"/>
    <n v="1"/>
    <n v="0"/>
    <n v="0"/>
    <n v="0"/>
    <n v="0"/>
    <m/>
    <m/>
    <m/>
    <n v="1"/>
    <n v="1"/>
    <n v="0"/>
    <n v="0"/>
    <n v="0"/>
    <n v="0"/>
    <n v="0"/>
    <n v="0"/>
    <n v="0"/>
    <n v="1"/>
    <m/>
    <n v="0"/>
    <n v="0.25"/>
    <n v="0.25"/>
    <n v="0.25"/>
    <n v="0.25"/>
    <n v="0"/>
    <n v="0"/>
    <s v="Y"/>
    <n v="0"/>
    <n v="0"/>
    <n v="0"/>
    <n v="0"/>
    <n v="0"/>
    <s v="East Sheen"/>
    <m/>
    <m/>
    <m/>
    <m/>
    <x v="0"/>
  </r>
  <r>
    <s v="16/4635/FUL"/>
    <s v="NEW"/>
    <m/>
    <s v="Land Rear Of 12 To 36 Vincam Close Twickenham"/>
    <s v="Construction of a three bedroom single storey dwelling with associated hard and soft landscaping, parking and access road (bollard lit)"/>
    <m/>
    <m/>
    <x v="2"/>
    <s v="Open Market"/>
    <n v="513432"/>
    <n v="173849"/>
    <m/>
    <n v="0"/>
    <n v="0"/>
    <n v="0"/>
    <n v="0"/>
    <m/>
    <m/>
    <m/>
    <n v="0"/>
    <m/>
    <n v="0"/>
    <n v="0"/>
    <n v="1"/>
    <n v="0"/>
    <m/>
    <m/>
    <m/>
    <n v="1"/>
    <m/>
    <n v="0"/>
    <n v="0"/>
    <n v="1"/>
    <n v="0"/>
    <n v="0"/>
    <n v="0"/>
    <n v="0"/>
    <n v="1"/>
    <m/>
    <n v="0"/>
    <n v="0"/>
    <n v="0.33333333333333331"/>
    <n v="0.33333333333333331"/>
    <n v="0.33333333333333331"/>
    <n v="0"/>
    <n v="0"/>
    <s v="Y"/>
    <n v="0"/>
    <n v="0"/>
    <n v="0"/>
    <n v="0"/>
    <n v="0"/>
    <s v="Whitton"/>
    <m/>
    <m/>
    <m/>
    <m/>
    <x v="0"/>
  </r>
  <r>
    <s v="16/4772/GPD15"/>
    <s v="CHU"/>
    <s v="PA"/>
    <s v="52 - 64 Heath Road_x000a_Twickenham"/>
    <s v="Change of use of first floor from B1 office use to C3 residential use comprising 9 units (8 x 1 bed and 1 x 2 bed flats)"/>
    <m/>
    <m/>
    <x v="2"/>
    <s v="Open Market"/>
    <n v="515974"/>
    <n v="173142"/>
    <m/>
    <n v="0"/>
    <n v="0"/>
    <n v="0"/>
    <n v="0"/>
    <m/>
    <m/>
    <m/>
    <n v="0"/>
    <m/>
    <n v="8"/>
    <n v="1"/>
    <n v="0"/>
    <n v="0"/>
    <m/>
    <m/>
    <m/>
    <n v="9"/>
    <m/>
    <n v="8"/>
    <n v="1"/>
    <n v="0"/>
    <n v="0"/>
    <n v="0"/>
    <n v="0"/>
    <n v="0"/>
    <n v="9"/>
    <m/>
    <n v="0"/>
    <n v="2.25"/>
    <n v="2.25"/>
    <n v="2.25"/>
    <n v="2.25"/>
    <n v="0"/>
    <n v="0"/>
    <s v="Y"/>
    <n v="0"/>
    <n v="0"/>
    <n v="0"/>
    <n v="0"/>
    <n v="0"/>
    <s v="Twickenham Riverside"/>
    <m/>
    <m/>
    <s v="Twickenham"/>
    <m/>
    <x v="0"/>
  </r>
  <r>
    <s v="16/4902/FUL"/>
    <s v="NEW"/>
    <m/>
    <s v="91 Sheen Road Richmond TW9 1YJ"/>
    <s v="Construction of a two storey, one bed dwelling-house along with associated cycle storage, car parking and landscaping."/>
    <m/>
    <m/>
    <x v="2"/>
    <s v="Open Market"/>
    <n v="518494"/>
    <n v="175035"/>
    <m/>
    <n v="0"/>
    <n v="0"/>
    <n v="0"/>
    <n v="0"/>
    <m/>
    <m/>
    <m/>
    <n v="0"/>
    <m/>
    <n v="1"/>
    <n v="0"/>
    <n v="0"/>
    <n v="0"/>
    <m/>
    <m/>
    <m/>
    <n v="1"/>
    <m/>
    <n v="1"/>
    <n v="0"/>
    <n v="0"/>
    <n v="0"/>
    <n v="0"/>
    <n v="0"/>
    <n v="0"/>
    <n v="1"/>
    <m/>
    <n v="0"/>
    <n v="0"/>
    <n v="0.33333333333333331"/>
    <n v="0.33333333333333331"/>
    <n v="0.33333333333333331"/>
    <n v="0"/>
    <n v="0"/>
    <s v="Y"/>
    <n v="0"/>
    <n v="0"/>
    <n v="0"/>
    <n v="0"/>
    <n v="0"/>
    <s v="South Richmond"/>
    <m/>
    <m/>
    <m/>
    <m/>
    <x v="0"/>
  </r>
  <r>
    <s v="16/4932/GPD15"/>
    <s v="CHU"/>
    <s v="PA"/>
    <s v="1 Mount Mews_x000a_Hampton_x000a_TW12 2SH"/>
    <s v="Change of use from B1( office use) to C3 (residential - 2 x 2 bed self contained flats)"/>
    <m/>
    <m/>
    <x v="2"/>
    <s v="Open Market"/>
    <n v="513973"/>
    <n v="169575"/>
    <m/>
    <n v="0"/>
    <n v="0"/>
    <n v="0"/>
    <n v="0"/>
    <m/>
    <m/>
    <m/>
    <n v="0"/>
    <m/>
    <n v="0"/>
    <n v="2"/>
    <n v="0"/>
    <n v="0"/>
    <m/>
    <m/>
    <m/>
    <n v="2"/>
    <m/>
    <n v="0"/>
    <n v="2"/>
    <n v="0"/>
    <n v="0"/>
    <n v="0"/>
    <n v="0"/>
    <n v="0"/>
    <n v="2"/>
    <m/>
    <n v="0"/>
    <n v="0.5"/>
    <n v="0.5"/>
    <n v="0.5"/>
    <n v="0.5"/>
    <n v="0"/>
    <n v="0"/>
    <s v="Y"/>
    <n v="0"/>
    <n v="0"/>
    <n v="0"/>
    <n v="0"/>
    <n v="0"/>
    <s v="Hampton"/>
    <m/>
    <s v="Thames Street"/>
    <m/>
    <m/>
    <x v="0"/>
  </r>
  <r>
    <s v="17/0315/FUL"/>
    <s v="MIX"/>
    <m/>
    <s v="Willoughby House 439 Richmond Road Twickenham TW1 2AG"/>
    <s v="Part change of use of ground and first floor from B1 office use to C3  residential use to provide 2 x 2 bedroom duplex units.  Alterations and extension to facilitate the provision of additional B1 office use and C3 residential use at second floor level"/>
    <m/>
    <m/>
    <x v="2"/>
    <s v="Open Market"/>
    <n v="517591"/>
    <n v="174434"/>
    <m/>
    <n v="0"/>
    <n v="0"/>
    <n v="0"/>
    <n v="0"/>
    <m/>
    <m/>
    <m/>
    <n v="0"/>
    <m/>
    <n v="3"/>
    <n v="1"/>
    <n v="0"/>
    <n v="0"/>
    <m/>
    <m/>
    <m/>
    <n v="4"/>
    <m/>
    <n v="3"/>
    <n v="1"/>
    <n v="0"/>
    <n v="0"/>
    <n v="0"/>
    <n v="0"/>
    <n v="0"/>
    <n v="4"/>
    <m/>
    <n v="0"/>
    <n v="0"/>
    <n v="1.3333333333333333"/>
    <n v="1.3333333333333333"/>
    <n v="1.3333333333333333"/>
    <n v="0"/>
    <n v="0"/>
    <s v="Y"/>
    <n v="0"/>
    <n v="0"/>
    <n v="0"/>
    <n v="0"/>
    <n v="0"/>
    <s v="Twickenham Riverside"/>
    <m/>
    <s v="East Twickenham"/>
    <m/>
    <m/>
    <x v="0"/>
  </r>
  <r>
    <s v="17/0323/FUL"/>
    <s v="NEW"/>
    <m/>
    <s v="Courtyard Apartments_x000a_70B Hampton Road_x000a_Teddington"/>
    <s v="Erection of a three-storey building to provide  4 two-bedroom residential units (Class C3) separate refuse facilities and altered parking layout."/>
    <m/>
    <m/>
    <x v="2"/>
    <s v="Open Market"/>
    <n v="514687"/>
    <n v="171290"/>
    <m/>
    <n v="0"/>
    <n v="0"/>
    <n v="0"/>
    <n v="0"/>
    <m/>
    <m/>
    <m/>
    <n v="0"/>
    <m/>
    <n v="0"/>
    <n v="4"/>
    <n v="0"/>
    <n v="0"/>
    <m/>
    <m/>
    <m/>
    <n v="4"/>
    <m/>
    <n v="0"/>
    <n v="4"/>
    <n v="0"/>
    <n v="0"/>
    <n v="0"/>
    <n v="0"/>
    <n v="0"/>
    <n v="4"/>
    <m/>
    <n v="0"/>
    <n v="0"/>
    <n v="1.3333333333333333"/>
    <n v="1.3333333333333333"/>
    <n v="1.3333333333333333"/>
    <n v="0"/>
    <n v="0"/>
    <s v="Y"/>
    <n v="0"/>
    <n v="0"/>
    <n v="0"/>
    <n v="0"/>
    <n v="0"/>
    <s v="Fulwell and Hampton Hill"/>
    <m/>
    <m/>
    <m/>
    <m/>
    <x v="0"/>
  </r>
  <r>
    <s v="17/0330/FUL"/>
    <s v="NEW"/>
    <m/>
    <s v="58 Munster Road_x000a_Teddington_x000a_TW11 9LL"/>
    <s v="1 no. 2 storey 6-bedroom dwellinghouse with rooms in the roof and 1 no. one storey with basement 5-bedroom dwelling house (following demolition of existing dwelling at No.58 Munster Road), and associated refuse/recycling store, cycle parking and parking"/>
    <m/>
    <m/>
    <x v="2"/>
    <s v="Open Market"/>
    <n v="517123"/>
    <n v="170663"/>
    <m/>
    <n v="0"/>
    <n v="0"/>
    <n v="0"/>
    <n v="1"/>
    <m/>
    <m/>
    <m/>
    <n v="1"/>
    <m/>
    <n v="0"/>
    <n v="0"/>
    <n v="0"/>
    <n v="0"/>
    <n v="1"/>
    <n v="1"/>
    <m/>
    <n v="2"/>
    <m/>
    <n v="0"/>
    <n v="0"/>
    <n v="0"/>
    <n v="-1"/>
    <n v="1"/>
    <n v="1"/>
    <n v="0"/>
    <n v="1"/>
    <m/>
    <n v="0"/>
    <n v="0"/>
    <n v="0.33333333333333331"/>
    <n v="0.33333333333333331"/>
    <n v="0.33333333333333331"/>
    <n v="0"/>
    <n v="0"/>
    <s v="Y"/>
    <n v="0"/>
    <n v="0"/>
    <n v="0"/>
    <n v="0"/>
    <n v="0"/>
    <s v="Hampton Wick"/>
    <m/>
    <m/>
    <m/>
    <m/>
    <x v="1"/>
  </r>
  <r>
    <s v="17/0341/GPD13"/>
    <s v="CHU"/>
    <s v="PA"/>
    <s v="Teddington Garden Centre_x000a_Station Road_x000a_Teddington_x000a_TW11 9AA"/>
    <s v="Change of use from retail (Use Class A1) to 1 residential unit (Use Class C3) with associated cycle and refuse provision."/>
    <m/>
    <m/>
    <x v="2"/>
    <s v="Open Market"/>
    <n v="516015"/>
    <n v="170858"/>
    <m/>
    <n v="0"/>
    <n v="0"/>
    <n v="0"/>
    <n v="0"/>
    <m/>
    <m/>
    <m/>
    <n v="0"/>
    <m/>
    <n v="0"/>
    <n v="0"/>
    <n v="1"/>
    <n v="0"/>
    <m/>
    <m/>
    <m/>
    <n v="1"/>
    <m/>
    <n v="0"/>
    <n v="0"/>
    <n v="1"/>
    <n v="0"/>
    <n v="0"/>
    <n v="0"/>
    <n v="0"/>
    <n v="1"/>
    <m/>
    <n v="0"/>
    <n v="0.25"/>
    <n v="0.25"/>
    <n v="0.25"/>
    <n v="0.25"/>
    <n v="0"/>
    <n v="0"/>
    <s v="Y"/>
    <n v="0"/>
    <n v="0"/>
    <n v="0"/>
    <n v="0"/>
    <n v="0"/>
    <s v="Teddington"/>
    <m/>
    <m/>
    <s v="Teddington"/>
    <m/>
    <x v="0"/>
  </r>
  <r>
    <s v="17/0346/FUL"/>
    <s v="CON"/>
    <m/>
    <s v="49 Manor Road Richmond TW9 1YA"/>
    <s v="Subdivision of house (C3) to form 2 no. 2-bed flats (C3), ground floor infill side extension, to the rear of property, with windows to north elevation and hip to gable roof extension, rear facing dormer, including 2 No. front facing rooflights, following"/>
    <d v="2017-11-01T00:00:00"/>
    <m/>
    <x v="2"/>
    <s v="Open Market"/>
    <n v="519014"/>
    <n v="175279"/>
    <m/>
    <n v="0"/>
    <n v="0"/>
    <n v="0"/>
    <n v="1"/>
    <m/>
    <m/>
    <m/>
    <n v="1"/>
    <m/>
    <n v="0"/>
    <n v="2"/>
    <n v="0"/>
    <n v="0"/>
    <m/>
    <m/>
    <m/>
    <n v="2"/>
    <m/>
    <n v="0"/>
    <n v="2"/>
    <n v="0"/>
    <n v="-1"/>
    <n v="0"/>
    <n v="0"/>
    <n v="0"/>
    <n v="1"/>
    <m/>
    <n v="0"/>
    <n v="1"/>
    <n v="0"/>
    <n v="0"/>
    <n v="0"/>
    <n v="0"/>
    <n v="0"/>
    <n v="0"/>
    <n v="0"/>
    <n v="0"/>
    <n v="0"/>
    <n v="0"/>
    <n v="0"/>
    <s v="North Richmond"/>
    <m/>
    <m/>
    <m/>
    <m/>
    <x v="0"/>
  </r>
  <r>
    <s v="17/0460/FUL"/>
    <s v="CON"/>
    <m/>
    <s v="45 Castelnau Barnes SW13 9RT"/>
    <s v="Reversion of 4no. flats to a single family dwellinghouse."/>
    <m/>
    <m/>
    <x v="2"/>
    <s v="Open Market"/>
    <n v="522418"/>
    <n v="176934"/>
    <m/>
    <n v="3"/>
    <n v="0"/>
    <n v="0"/>
    <n v="0"/>
    <n v="1"/>
    <m/>
    <m/>
    <n v="4"/>
    <m/>
    <n v="0"/>
    <n v="0"/>
    <n v="0"/>
    <n v="0"/>
    <m/>
    <m/>
    <n v="1"/>
    <n v="1"/>
    <m/>
    <n v="-3"/>
    <n v="0"/>
    <n v="0"/>
    <n v="0"/>
    <n v="-1"/>
    <n v="0"/>
    <n v="1"/>
    <n v="-3"/>
    <m/>
    <n v="0"/>
    <n v="-0.75"/>
    <n v="-0.75"/>
    <n v="-0.75"/>
    <n v="-0.75"/>
    <n v="0"/>
    <n v="0"/>
    <s v="Y"/>
    <n v="0"/>
    <n v="0"/>
    <n v="0"/>
    <n v="0"/>
    <n v="0"/>
    <s v="Barnes"/>
    <m/>
    <m/>
    <m/>
    <m/>
    <x v="0"/>
  </r>
  <r>
    <s v="17/0600/FUL"/>
    <s v="CHU"/>
    <m/>
    <s v="2-4 Heath Road Twickenham TW1 4BZ"/>
    <s v="Change of use from existing open hall (D1) into 2 x residential apartments (C3)."/>
    <m/>
    <m/>
    <x v="2"/>
    <s v="Open Market"/>
    <n v="516126"/>
    <n v="173185"/>
    <m/>
    <n v="0"/>
    <n v="0"/>
    <n v="0"/>
    <n v="0"/>
    <m/>
    <m/>
    <m/>
    <n v="0"/>
    <m/>
    <n v="2"/>
    <n v="0"/>
    <n v="0"/>
    <n v="0"/>
    <m/>
    <m/>
    <m/>
    <n v="2"/>
    <m/>
    <n v="2"/>
    <n v="0"/>
    <n v="0"/>
    <n v="0"/>
    <n v="0"/>
    <n v="0"/>
    <n v="0"/>
    <n v="2"/>
    <m/>
    <n v="0"/>
    <n v="0.5"/>
    <n v="0.5"/>
    <n v="0.5"/>
    <n v="0.5"/>
    <n v="0"/>
    <n v="0"/>
    <s v="Y"/>
    <n v="0"/>
    <n v="0"/>
    <n v="0"/>
    <n v="0"/>
    <n v="0"/>
    <s v="Twickenham Riverside"/>
    <m/>
    <m/>
    <s v="Twickenham"/>
    <m/>
    <x v="0"/>
  </r>
  <r>
    <s v="17/0733/FUL"/>
    <s v="CON"/>
    <m/>
    <s v="26 Colston Road East Sheen SW14 7PG"/>
    <s v="Alterations incorporating rear dormer, rooflights to front roofslope and external stairs to rear.  Alterations to create a 1-bed flat on the first floor, a 2-bed duplex flat on the second and third floor roof extension. Division of the rear roof terrace"/>
    <m/>
    <m/>
    <x v="2"/>
    <s v="Open Market"/>
    <n v="520325"/>
    <n v="175316"/>
    <m/>
    <n v="0"/>
    <n v="0"/>
    <n v="1"/>
    <n v="0"/>
    <m/>
    <m/>
    <m/>
    <n v="1"/>
    <m/>
    <n v="1"/>
    <n v="1"/>
    <n v="0"/>
    <n v="0"/>
    <m/>
    <m/>
    <m/>
    <n v="2"/>
    <m/>
    <n v="1"/>
    <n v="1"/>
    <n v="-1"/>
    <n v="0"/>
    <n v="0"/>
    <n v="0"/>
    <n v="0"/>
    <n v="1"/>
    <m/>
    <n v="0"/>
    <n v="0.25"/>
    <n v="0.25"/>
    <n v="0.25"/>
    <n v="0.25"/>
    <n v="0"/>
    <n v="0"/>
    <s v="Y"/>
    <n v="0"/>
    <n v="0"/>
    <n v="0"/>
    <n v="0"/>
    <n v="0"/>
    <s v="East Sheen"/>
    <m/>
    <m/>
    <s v="East Sheen"/>
    <m/>
    <x v="0"/>
  </r>
  <r>
    <s v="17/0788/FUL"/>
    <s v="NEW"/>
    <m/>
    <s v="High Wigsell 35 Twickenham Road Teddington"/>
    <s v="Demolition of lock up garages to provide 1 no. detached 4 bedroom dwellinghouse with associated parking, cycle and refuse stores, new boundary fence and hard and soft landscaping."/>
    <m/>
    <m/>
    <x v="2"/>
    <s v="Open Market"/>
    <n v="516399"/>
    <n v="171470"/>
    <m/>
    <n v="0"/>
    <n v="0"/>
    <n v="0"/>
    <n v="0"/>
    <m/>
    <m/>
    <m/>
    <n v="0"/>
    <m/>
    <n v="0"/>
    <n v="0"/>
    <n v="0"/>
    <n v="1"/>
    <m/>
    <m/>
    <m/>
    <n v="1"/>
    <m/>
    <n v="0"/>
    <n v="0"/>
    <n v="0"/>
    <n v="1"/>
    <n v="0"/>
    <n v="0"/>
    <n v="0"/>
    <n v="1"/>
    <m/>
    <n v="0"/>
    <n v="0"/>
    <n v="0.33333333333333331"/>
    <n v="0.33333333333333331"/>
    <n v="0.33333333333333331"/>
    <n v="0"/>
    <n v="0"/>
    <s v="Y"/>
    <n v="0"/>
    <n v="0"/>
    <n v="0"/>
    <n v="0"/>
    <n v="0"/>
    <s v="Teddington"/>
    <m/>
    <m/>
    <m/>
    <m/>
    <x v="0"/>
  </r>
  <r>
    <s v="17/0798/FUL"/>
    <s v="NEW"/>
    <m/>
    <s v="25 Cedar Avenue_x000a_Twickenham_x000a_TW2 7HD"/>
    <s v="Demolition of the existing detached bungalow and all outbuildings on site together with infill of the existing ponds to facilitate the construction of a pair of four bedroom semi-detached houses with associated boundary treatment, car parking, bin storag"/>
    <m/>
    <m/>
    <x v="2"/>
    <s v="Open Market"/>
    <n v="514058"/>
    <n v="174409"/>
    <m/>
    <n v="0"/>
    <n v="0"/>
    <n v="0"/>
    <n v="1"/>
    <m/>
    <m/>
    <m/>
    <n v="1"/>
    <m/>
    <n v="0"/>
    <n v="0"/>
    <n v="0"/>
    <n v="2"/>
    <m/>
    <m/>
    <m/>
    <n v="2"/>
    <m/>
    <n v="0"/>
    <n v="0"/>
    <n v="0"/>
    <n v="1"/>
    <n v="0"/>
    <n v="0"/>
    <n v="0"/>
    <n v="1"/>
    <m/>
    <n v="0"/>
    <n v="0"/>
    <n v="0.33333333333333331"/>
    <n v="0.33333333333333331"/>
    <n v="0.33333333333333331"/>
    <n v="0"/>
    <n v="0"/>
    <s v="Y"/>
    <n v="0"/>
    <n v="0"/>
    <n v="0"/>
    <n v="0"/>
    <n v="0"/>
    <s v="Whitton"/>
    <m/>
    <m/>
    <m/>
    <m/>
    <x v="1"/>
  </r>
  <r>
    <s v="17/1033/FUL"/>
    <s v="NEW"/>
    <m/>
    <s v="Lockcorp House 75 Norcutt Road Twickenham TW2 6SR"/>
    <s v="Demolition of Lockcorp House; erection of a part four, part five-storey building comprising  9 no. student cluster flats (49 study/bedrooms in total); three car parking spaces including one disabled space, ancillary cycle and refuse storage and landscapi"/>
    <m/>
    <m/>
    <x v="2"/>
    <s v="Open Market"/>
    <n v="515337"/>
    <n v="173383"/>
    <m/>
    <n v="0"/>
    <n v="0"/>
    <n v="0"/>
    <n v="0"/>
    <m/>
    <m/>
    <m/>
    <n v="0"/>
    <m/>
    <n v="0"/>
    <n v="0"/>
    <n v="0"/>
    <n v="1"/>
    <n v="3"/>
    <n v="5"/>
    <m/>
    <n v="9"/>
    <m/>
    <n v="0"/>
    <n v="0"/>
    <n v="0"/>
    <n v="1"/>
    <n v="3"/>
    <n v="5"/>
    <n v="0"/>
    <n v="9"/>
    <m/>
    <n v="0"/>
    <n v="4.5"/>
    <n v="4.5"/>
    <n v="0"/>
    <n v="0"/>
    <n v="0"/>
    <n v="0"/>
    <s v="Y"/>
    <n v="0"/>
    <n v="0"/>
    <n v="0"/>
    <n v="0"/>
    <n v="0"/>
    <s v="South Twickenham"/>
    <m/>
    <m/>
    <m/>
    <m/>
    <x v="0"/>
  </r>
  <r>
    <s v="17/1139/GPD15"/>
    <s v="CHU"/>
    <m/>
    <s v="108 Sherland Road_x000d_Twickenham_x000d_TW1 4HD_x000d_"/>
    <s v="Change of use of property from B1a (office use) to C3 (residential) to provide 1 no. 4 bedroom dwellinghouse"/>
    <m/>
    <m/>
    <x v="2"/>
    <s v="Open Market"/>
    <n v="516024"/>
    <n v="173277"/>
    <m/>
    <n v="0"/>
    <n v="0"/>
    <n v="0"/>
    <n v="0"/>
    <m/>
    <m/>
    <m/>
    <n v="0"/>
    <m/>
    <n v="0"/>
    <n v="0"/>
    <n v="0"/>
    <n v="1"/>
    <m/>
    <m/>
    <m/>
    <n v="1"/>
    <m/>
    <n v="0"/>
    <n v="0"/>
    <n v="0"/>
    <n v="1"/>
    <n v="0"/>
    <n v="0"/>
    <n v="0"/>
    <n v="1"/>
    <m/>
    <n v="0"/>
    <n v="0.25"/>
    <n v="0.25"/>
    <n v="0.25"/>
    <n v="0.25"/>
    <n v="0"/>
    <n v="0"/>
    <s v="Y"/>
    <n v="0"/>
    <n v="0"/>
    <n v="0"/>
    <n v="0"/>
    <n v="0"/>
    <s v="Twickenham Riverside"/>
    <m/>
    <m/>
    <m/>
    <m/>
    <x v="0"/>
  </r>
  <r>
    <s v="17/1285/GPD15"/>
    <s v="CHU"/>
    <s v="PA"/>
    <s v="First Floor_x000a_300 - 302 Sandycombe Road_x000a_Richmond"/>
    <s v="Change of use from B1 office to C3 residential."/>
    <m/>
    <m/>
    <x v="2"/>
    <s v="Open Market"/>
    <n v="519061"/>
    <n v="176662"/>
    <m/>
    <n v="0"/>
    <n v="0"/>
    <n v="0"/>
    <n v="0"/>
    <m/>
    <m/>
    <m/>
    <n v="0"/>
    <m/>
    <n v="0"/>
    <n v="2"/>
    <n v="0"/>
    <n v="0"/>
    <m/>
    <m/>
    <m/>
    <n v="2"/>
    <m/>
    <n v="0"/>
    <n v="2"/>
    <n v="0"/>
    <n v="0"/>
    <n v="0"/>
    <n v="0"/>
    <n v="0"/>
    <n v="2"/>
    <m/>
    <n v="0"/>
    <n v="0.5"/>
    <n v="0.5"/>
    <n v="0.5"/>
    <n v="0.5"/>
    <n v="0"/>
    <n v="0"/>
    <s v="Y"/>
    <n v="0"/>
    <n v="0"/>
    <n v="0"/>
    <n v="0"/>
    <n v="0"/>
    <s v="Kew"/>
    <m/>
    <m/>
    <m/>
    <m/>
    <x v="0"/>
  </r>
  <r>
    <s v="17/1371/FUL"/>
    <s v="CHU"/>
    <m/>
    <s v="2A Talbot Road Isleworth TW7 7HH"/>
    <s v="Change of use from B1(a) business use into a live/work (C3/B1 mixed use) unit."/>
    <m/>
    <m/>
    <x v="2"/>
    <s v="Open Market"/>
    <n v="516541"/>
    <n v="175254"/>
    <m/>
    <n v="0"/>
    <n v="0"/>
    <n v="0"/>
    <n v="0"/>
    <m/>
    <m/>
    <m/>
    <n v="0"/>
    <m/>
    <n v="1"/>
    <n v="0"/>
    <n v="0"/>
    <n v="0"/>
    <m/>
    <m/>
    <m/>
    <n v="1"/>
    <m/>
    <n v="1"/>
    <n v="0"/>
    <n v="0"/>
    <n v="0"/>
    <n v="0"/>
    <n v="0"/>
    <n v="0"/>
    <n v="1"/>
    <m/>
    <n v="0"/>
    <n v="0.25"/>
    <n v="0.25"/>
    <n v="0.25"/>
    <n v="0.25"/>
    <n v="0"/>
    <n v="0"/>
    <s v="Y"/>
    <n v="0"/>
    <n v="0"/>
    <n v="0"/>
    <n v="0"/>
    <n v="0"/>
    <s v="St. Margarets and North Twickenham"/>
    <m/>
    <m/>
    <m/>
    <m/>
    <x v="0"/>
  </r>
  <r>
    <s v="17/1453/FUL"/>
    <s v="CHU"/>
    <m/>
    <s v="100 Colne Road_x000a_Twickenham_x000a_TW2 6QE"/>
    <s v="Change of use of premises to live/work unit (mixed C3/B1(c) (sui generis)).  First floor extension. Erection of timber screening to existing roof terrace. Alterations to existing elevations."/>
    <m/>
    <m/>
    <x v="2"/>
    <s v="Open Market"/>
    <n v="515313"/>
    <n v="173179"/>
    <m/>
    <n v="0"/>
    <n v="0"/>
    <n v="0"/>
    <n v="0"/>
    <m/>
    <m/>
    <m/>
    <n v="0"/>
    <m/>
    <n v="1"/>
    <n v="0"/>
    <n v="0"/>
    <n v="0"/>
    <m/>
    <m/>
    <m/>
    <n v="1"/>
    <m/>
    <n v="1"/>
    <n v="0"/>
    <n v="0"/>
    <n v="0"/>
    <n v="0"/>
    <n v="0"/>
    <n v="0"/>
    <n v="1"/>
    <m/>
    <n v="0"/>
    <n v="0.25"/>
    <n v="0.25"/>
    <n v="0.25"/>
    <n v="0.25"/>
    <n v="0"/>
    <n v="0"/>
    <s v="Y"/>
    <n v="0"/>
    <n v="0"/>
    <n v="0"/>
    <n v="0"/>
    <n v="0"/>
    <s v="South Twickenham"/>
    <m/>
    <m/>
    <m/>
    <m/>
    <x v="0"/>
  </r>
  <r>
    <s v="17/1550/FUL"/>
    <s v="NEW"/>
    <m/>
    <s v="The Firs_x000a_Church Grove_x000a_Hampton Wick_x000a_Kingston Upon Thames_x000a_KT1 4AL"/>
    <s v="Demolition of existing building and erection of part two storey/part four storey building to provide 9 residential flats (6 x one bed, 3 x two bed) and new basement level to facilitate provision of underground parking and associated hard and soft landsca"/>
    <m/>
    <m/>
    <x v="2"/>
    <s v="Open Market"/>
    <n v="517393"/>
    <n v="169491"/>
    <m/>
    <n v="0"/>
    <n v="0"/>
    <n v="1"/>
    <n v="0"/>
    <m/>
    <m/>
    <m/>
    <n v="1"/>
    <m/>
    <n v="6"/>
    <n v="3"/>
    <n v="0"/>
    <n v="0"/>
    <m/>
    <m/>
    <m/>
    <n v="9"/>
    <m/>
    <n v="6"/>
    <n v="3"/>
    <n v="-1"/>
    <n v="0"/>
    <n v="0"/>
    <n v="0"/>
    <n v="0"/>
    <n v="8"/>
    <m/>
    <n v="0"/>
    <n v="0"/>
    <n v="2.6666666666666665"/>
    <n v="2.6666666666666665"/>
    <n v="2.6666666666666665"/>
    <n v="0"/>
    <n v="0"/>
    <s v="Y"/>
    <n v="0"/>
    <n v="0"/>
    <n v="0"/>
    <n v="0"/>
    <n v="0"/>
    <s v="Hampton Wick"/>
    <m/>
    <m/>
    <m/>
    <m/>
    <x v="0"/>
  </r>
  <r>
    <s v="17/1621/FUL"/>
    <s v="CHU"/>
    <m/>
    <s v="3 Union Court Sheen Road Richmond"/>
    <s v="Conversion of First Floor Offices (B1) to Residential (C3) and Remodelling of Second Floor Flat."/>
    <m/>
    <m/>
    <x v="2"/>
    <s v="Open Market"/>
    <n v="518053"/>
    <n v="174903"/>
    <m/>
    <n v="0"/>
    <n v="0"/>
    <n v="0"/>
    <n v="0"/>
    <m/>
    <m/>
    <m/>
    <n v="0"/>
    <m/>
    <n v="1"/>
    <n v="0"/>
    <n v="0"/>
    <n v="0"/>
    <m/>
    <m/>
    <m/>
    <n v="1"/>
    <m/>
    <n v="1"/>
    <n v="0"/>
    <n v="0"/>
    <n v="0"/>
    <n v="0"/>
    <n v="0"/>
    <n v="0"/>
    <n v="1"/>
    <m/>
    <n v="0"/>
    <n v="0.25"/>
    <n v="0.25"/>
    <n v="0.25"/>
    <n v="0.25"/>
    <n v="0"/>
    <n v="0"/>
    <s v="Y"/>
    <n v="0"/>
    <n v="0"/>
    <n v="0"/>
    <n v="0"/>
    <n v="0"/>
    <s v="South Richmond"/>
    <m/>
    <m/>
    <s v="Richmond"/>
    <m/>
    <x v="0"/>
  </r>
  <r>
    <s v="17/1782/FUL"/>
    <s v="NEW"/>
    <m/>
    <s v="8 Atbara Road_x000a_Teddington_x000a_TW11 9PD"/>
    <s v="Demolition of existing two-storey detached dwelling with basement, and construction of new three-storey detached dwelling with basement."/>
    <m/>
    <m/>
    <x v="2"/>
    <s v="Open Market"/>
    <n v="516874"/>
    <n v="170756"/>
    <m/>
    <n v="0"/>
    <n v="1"/>
    <n v="0"/>
    <n v="0"/>
    <m/>
    <m/>
    <m/>
    <n v="1"/>
    <m/>
    <n v="0"/>
    <n v="0"/>
    <n v="0"/>
    <n v="0"/>
    <n v="1"/>
    <m/>
    <m/>
    <n v="1"/>
    <m/>
    <n v="0"/>
    <n v="-1"/>
    <n v="0"/>
    <n v="0"/>
    <n v="1"/>
    <n v="0"/>
    <n v="0"/>
    <n v="0"/>
    <m/>
    <n v="0"/>
    <n v="0"/>
    <n v="0"/>
    <n v="0"/>
    <n v="0"/>
    <n v="0"/>
    <n v="0"/>
    <n v="0"/>
    <n v="0"/>
    <n v="0"/>
    <n v="0"/>
    <n v="0"/>
    <n v="0"/>
    <s v="Hampton Wick"/>
    <m/>
    <m/>
    <m/>
    <m/>
    <x v="0"/>
  </r>
  <r>
    <s v="17/1937/FUL"/>
    <s v="CHU"/>
    <m/>
    <s v="2 - 3 Stable Mews Twickenham"/>
    <s v="Demolition of the existing coach houses to allow for the erection of two dwellinghouses (1x 2b 4p and 1x 2b 3p) with internal cycle and refuse/recycle storages."/>
    <m/>
    <m/>
    <x v="2"/>
    <s v="Open Market"/>
    <n v="515790"/>
    <n v="173166"/>
    <m/>
    <n v="0"/>
    <n v="0"/>
    <n v="0"/>
    <n v="0"/>
    <m/>
    <m/>
    <m/>
    <n v="0"/>
    <m/>
    <n v="0"/>
    <n v="2"/>
    <n v="0"/>
    <n v="0"/>
    <m/>
    <m/>
    <m/>
    <n v="2"/>
    <m/>
    <n v="0"/>
    <n v="2"/>
    <n v="0"/>
    <n v="0"/>
    <n v="0"/>
    <n v="0"/>
    <n v="0"/>
    <n v="2"/>
    <m/>
    <n v="0"/>
    <n v="0.5"/>
    <n v="0.5"/>
    <n v="0.5"/>
    <n v="0.5"/>
    <n v="0"/>
    <n v="0"/>
    <s v="Y"/>
    <n v="0"/>
    <n v="0"/>
    <n v="0"/>
    <n v="0"/>
    <n v="0"/>
    <s v="South Twickenham"/>
    <m/>
    <m/>
    <s v="Twickenham"/>
    <m/>
    <x v="0"/>
  </r>
  <r>
    <s v="17/2314/FUL"/>
    <s v="NEW"/>
    <m/>
    <s v="34 Courtlands Avenue_x000a_Hampton_x000a_TW12 3NT"/>
    <s v="Demolition of the existing two storey detached house and replacement with a new  built three storey detached house with basement with associated hard and soft landscaping."/>
    <m/>
    <m/>
    <x v="2"/>
    <s v="Open Market"/>
    <n v="512725"/>
    <n v="170606"/>
    <m/>
    <n v="0"/>
    <n v="0"/>
    <n v="0"/>
    <n v="1"/>
    <m/>
    <m/>
    <m/>
    <n v="1"/>
    <m/>
    <n v="0"/>
    <n v="0"/>
    <n v="0"/>
    <n v="0"/>
    <n v="1"/>
    <m/>
    <m/>
    <n v="1"/>
    <m/>
    <n v="0"/>
    <n v="0"/>
    <n v="0"/>
    <n v="-1"/>
    <n v="1"/>
    <n v="0"/>
    <n v="0"/>
    <n v="0"/>
    <m/>
    <n v="0"/>
    <n v="0"/>
    <n v="0"/>
    <n v="0"/>
    <n v="0"/>
    <n v="0"/>
    <n v="0"/>
    <n v="0"/>
    <n v="0"/>
    <n v="0"/>
    <n v="0"/>
    <n v="0"/>
    <n v="0"/>
    <s v="Hampton North"/>
    <m/>
    <m/>
    <m/>
    <m/>
    <x v="0"/>
  </r>
  <r>
    <s v="17/2532/GPD15"/>
    <s v="CHU"/>
    <m/>
    <s v="The Coach House_x000d_273A Sandycombe Road_x000d_Richmond_x000d_TW9 3LU_x000d_"/>
    <s v="Prior approval for the change of use from office B1(a) to residential (C3) in the form of 5 no. units."/>
    <m/>
    <m/>
    <x v="2"/>
    <s v="Open Market"/>
    <n v="519113"/>
    <n v="176411"/>
    <m/>
    <n v="0"/>
    <n v="0"/>
    <n v="0"/>
    <n v="0"/>
    <m/>
    <m/>
    <m/>
    <n v="0"/>
    <n v="4"/>
    <n v="1"/>
    <n v="0"/>
    <n v="0"/>
    <n v="0"/>
    <m/>
    <m/>
    <m/>
    <n v="5"/>
    <n v="4"/>
    <n v="1"/>
    <n v="0"/>
    <n v="0"/>
    <n v="0"/>
    <n v="0"/>
    <n v="0"/>
    <n v="0"/>
    <n v="5"/>
    <m/>
    <n v="0"/>
    <n v="1.25"/>
    <n v="1.25"/>
    <n v="1.25"/>
    <n v="1.25"/>
    <n v="0"/>
    <n v="0"/>
    <s v="Y"/>
    <n v="0"/>
    <n v="0"/>
    <n v="0"/>
    <n v="0"/>
    <n v="0"/>
    <s v="Kew"/>
    <m/>
    <m/>
    <m/>
    <m/>
    <x v="0"/>
  </r>
  <r>
    <s v="17/2586/FUL"/>
    <s v="CON"/>
    <m/>
    <s v="First Floor Flat_x000a_18 Percival Road_x000a_East Sheen_x000a_London_x000a_SW14 7QE"/>
    <s v="Change of use from 2 no. flats back to a single family dwelling house."/>
    <m/>
    <m/>
    <x v="2"/>
    <s v="Open Market"/>
    <n v="520088"/>
    <n v="175029"/>
    <m/>
    <n v="2"/>
    <n v="0"/>
    <n v="0"/>
    <n v="0"/>
    <m/>
    <m/>
    <m/>
    <n v="2"/>
    <m/>
    <n v="0"/>
    <n v="0"/>
    <n v="1"/>
    <n v="0"/>
    <m/>
    <m/>
    <m/>
    <n v="1"/>
    <m/>
    <n v="-2"/>
    <n v="0"/>
    <n v="1"/>
    <n v="0"/>
    <n v="0"/>
    <n v="0"/>
    <n v="0"/>
    <n v="-1"/>
    <m/>
    <n v="0"/>
    <n v="-0.25"/>
    <n v="-0.25"/>
    <n v="-0.25"/>
    <n v="-0.25"/>
    <n v="0"/>
    <n v="0"/>
    <s v="Y"/>
    <n v="0"/>
    <n v="0"/>
    <n v="0"/>
    <n v="0"/>
    <n v="0"/>
    <s v="East Sheen"/>
    <m/>
    <m/>
    <m/>
    <m/>
    <x v="0"/>
  </r>
  <r>
    <s v="17/2597/GPD15"/>
    <s v="CHU"/>
    <s v="PA"/>
    <s v="West House 108 And East House 109_x000a_South Worple Way_x000a_East Sheen_x000a_London"/>
    <s v="Conversion of East and West House from B1(a) offices to 1 x 2 bed house (C3) (West House) and 2 x 2 bed flats (C3) (East House)."/>
    <m/>
    <m/>
    <x v="2"/>
    <s v="Open Market"/>
    <n v="520541"/>
    <n v="175760"/>
    <m/>
    <n v="0"/>
    <n v="0"/>
    <n v="0"/>
    <n v="0"/>
    <m/>
    <m/>
    <m/>
    <n v="0"/>
    <m/>
    <n v="0"/>
    <n v="3"/>
    <n v="0"/>
    <n v="0"/>
    <m/>
    <m/>
    <m/>
    <n v="3"/>
    <m/>
    <n v="0"/>
    <n v="3"/>
    <n v="0"/>
    <n v="0"/>
    <n v="0"/>
    <n v="0"/>
    <n v="0"/>
    <n v="3"/>
    <m/>
    <n v="0"/>
    <n v="0.75"/>
    <n v="0.75"/>
    <n v="0.75"/>
    <n v="0.75"/>
    <n v="0"/>
    <n v="0"/>
    <s v="Y"/>
    <n v="0"/>
    <n v="0"/>
    <n v="0"/>
    <n v="0"/>
    <n v="0"/>
    <s v="East Sheen"/>
    <m/>
    <m/>
    <s v="East Sheen"/>
    <m/>
    <x v="0"/>
  </r>
  <r>
    <s v="17/2680/FUL"/>
    <s v="NEW"/>
    <m/>
    <s v="4 Warwick Close Hampton TW12 2TY"/>
    <s v="Demolition of existing detached house and erection of 3no. new residential units comprising 2x 4 bedroom semi detached houses and 1x detached 5 bedroom house, together with associated landscaping and parking"/>
    <m/>
    <m/>
    <x v="2"/>
    <s v="Open Market"/>
    <n v="514169"/>
    <n v="170167"/>
    <m/>
    <n v="0"/>
    <n v="0"/>
    <n v="0"/>
    <n v="1"/>
    <m/>
    <m/>
    <m/>
    <n v="1"/>
    <m/>
    <n v="0"/>
    <n v="0"/>
    <n v="0"/>
    <n v="2"/>
    <n v="1"/>
    <m/>
    <m/>
    <n v="3"/>
    <m/>
    <n v="0"/>
    <n v="0"/>
    <n v="0"/>
    <n v="1"/>
    <n v="1"/>
    <n v="0"/>
    <n v="0"/>
    <n v="2"/>
    <m/>
    <n v="0"/>
    <n v="0"/>
    <n v="0.66666666666666663"/>
    <n v="0.66666666666666663"/>
    <n v="0.66666666666666663"/>
    <n v="0"/>
    <n v="0"/>
    <s v="Y"/>
    <n v="0"/>
    <n v="0"/>
    <n v="0"/>
    <n v="0"/>
    <n v="0"/>
    <s v="Hampton"/>
    <m/>
    <m/>
    <m/>
    <m/>
    <x v="1"/>
  </r>
  <r>
    <s v="17/2693/GPD15"/>
    <s v="CHU"/>
    <s v="PA"/>
    <s v="246 Upper Richmond Road West_x000a_East Sheen_x000a_London_x000a_SW14 8AG"/>
    <s v="Change of use from Class B1(a) office to Class C3 residential."/>
    <m/>
    <m/>
    <x v="2"/>
    <s v="Open Market"/>
    <n v="520531"/>
    <n v="175416"/>
    <m/>
    <n v="0"/>
    <n v="0"/>
    <n v="0"/>
    <n v="0"/>
    <m/>
    <m/>
    <m/>
    <n v="0"/>
    <m/>
    <n v="1"/>
    <n v="0"/>
    <n v="0"/>
    <n v="0"/>
    <m/>
    <m/>
    <m/>
    <n v="1"/>
    <m/>
    <n v="1"/>
    <n v="0"/>
    <n v="0"/>
    <n v="0"/>
    <n v="0"/>
    <n v="0"/>
    <n v="0"/>
    <n v="1"/>
    <m/>
    <n v="0"/>
    <n v="0.25"/>
    <n v="0.25"/>
    <n v="0.25"/>
    <n v="0.25"/>
    <n v="0"/>
    <n v="0"/>
    <s v="Y"/>
    <n v="0"/>
    <n v="0"/>
    <n v="0"/>
    <n v="0"/>
    <n v="0"/>
    <s v="East Sheen"/>
    <m/>
    <m/>
    <s v="East Sheen"/>
    <m/>
    <x v="0"/>
  </r>
  <r>
    <s v="17/2957/FUL"/>
    <s v="CON"/>
    <m/>
    <s v="4A New Broadway_x000a_Hampton Hill_x000a_Hampton_x000a_TW12 1JG"/>
    <s v="Formation of additional floor of accommodation in the form of a mansard style roof extension to facilitate the conversion of existing first floor 3 bedroom flat into 2x1 bedroom flats and provision of 2x1 bedroom flats at second floor level through the m"/>
    <m/>
    <m/>
    <x v="2"/>
    <s v="Open Market"/>
    <n v="514558"/>
    <n v="171264"/>
    <m/>
    <n v="0"/>
    <n v="0"/>
    <n v="1"/>
    <n v="0"/>
    <m/>
    <m/>
    <m/>
    <n v="1"/>
    <m/>
    <n v="4"/>
    <n v="0"/>
    <n v="0"/>
    <n v="0"/>
    <m/>
    <m/>
    <m/>
    <n v="4"/>
    <m/>
    <n v="4"/>
    <n v="0"/>
    <n v="-1"/>
    <n v="0"/>
    <n v="0"/>
    <n v="0"/>
    <n v="0"/>
    <n v="3"/>
    <m/>
    <n v="0"/>
    <n v="0.75"/>
    <n v="0.75"/>
    <n v="0.75"/>
    <n v="0.75"/>
    <n v="0"/>
    <n v="0"/>
    <s v="Y"/>
    <n v="0"/>
    <n v="0"/>
    <n v="0"/>
    <n v="0"/>
    <n v="0"/>
    <s v="Fulwell and Hampton Hill"/>
    <m/>
    <s v="High Street"/>
    <m/>
    <m/>
    <x v="0"/>
  </r>
  <r>
    <s v="17/3001/GPD16"/>
    <s v="CHU"/>
    <s v="PA"/>
    <s v="Unit 3_x000a_Plough Lane_x000a_Teddington"/>
    <s v="Change of use from B8 (storage) to C3 (residential use) to create a 1 bedroom unit."/>
    <m/>
    <m/>
    <x v="2"/>
    <s v="Open Market"/>
    <n v="516215"/>
    <n v="171077"/>
    <m/>
    <n v="0"/>
    <n v="0"/>
    <n v="0"/>
    <n v="0"/>
    <m/>
    <m/>
    <m/>
    <n v="0"/>
    <m/>
    <n v="1"/>
    <n v="0"/>
    <n v="0"/>
    <n v="0"/>
    <m/>
    <m/>
    <m/>
    <n v="1"/>
    <m/>
    <n v="1"/>
    <n v="0"/>
    <n v="0"/>
    <n v="0"/>
    <n v="0"/>
    <n v="0"/>
    <n v="0"/>
    <n v="1"/>
    <m/>
    <n v="0"/>
    <n v="0.25"/>
    <n v="0.25"/>
    <n v="0.25"/>
    <n v="0.25"/>
    <n v="0"/>
    <n v="0"/>
    <s v="Y"/>
    <n v="0"/>
    <n v="0"/>
    <n v="0"/>
    <n v="0"/>
    <n v="0"/>
    <s v="Teddington"/>
    <m/>
    <m/>
    <s v="Teddington"/>
    <m/>
    <x v="0"/>
  </r>
  <r>
    <s v="17/3003/GPD16"/>
    <s v="CHU"/>
    <s v="PA"/>
    <s v="Unit 4 To 5A_x000a_Plough Lane_x000a_Teddington"/>
    <s v="Change of use from B8 (storage) to C3 (residential) to create 2 Studio units."/>
    <m/>
    <m/>
    <x v="2"/>
    <s v="Open Market"/>
    <n v="516224"/>
    <n v="171078"/>
    <m/>
    <n v="0"/>
    <n v="0"/>
    <n v="0"/>
    <n v="0"/>
    <m/>
    <m/>
    <m/>
    <n v="0"/>
    <n v="2"/>
    <n v="0"/>
    <n v="0"/>
    <n v="0"/>
    <n v="0"/>
    <m/>
    <m/>
    <m/>
    <n v="2"/>
    <n v="2"/>
    <n v="0"/>
    <n v="0"/>
    <n v="0"/>
    <n v="0"/>
    <n v="0"/>
    <n v="0"/>
    <n v="0"/>
    <n v="2"/>
    <m/>
    <n v="0"/>
    <n v="0.5"/>
    <n v="0.5"/>
    <n v="0.5"/>
    <n v="0.5"/>
    <n v="0"/>
    <n v="0"/>
    <s v="Y"/>
    <n v="0"/>
    <n v="0"/>
    <n v="0"/>
    <n v="0"/>
    <n v="0"/>
    <s v="Teddington"/>
    <m/>
    <m/>
    <s v="Teddington"/>
    <m/>
    <x v="0"/>
  </r>
  <r>
    <s v="17/3054/FUL"/>
    <s v="NEW"/>
    <m/>
    <s v="Garage Site Marys Terrace Twickenham TW1 3JB"/>
    <s v="Demolition of existing garages and erection of a pair of two-storey, 3-bedroom semi-detached houses (2 no.), with associated landscaping and 4 off-street parking bays."/>
    <m/>
    <m/>
    <x v="2"/>
    <s v="Open Market"/>
    <n v="516182"/>
    <n v="173653"/>
    <m/>
    <n v="0"/>
    <n v="0"/>
    <n v="0"/>
    <n v="0"/>
    <m/>
    <m/>
    <m/>
    <n v="0"/>
    <m/>
    <n v="0"/>
    <n v="0"/>
    <n v="2"/>
    <n v="0"/>
    <m/>
    <m/>
    <m/>
    <n v="2"/>
    <m/>
    <n v="0"/>
    <n v="0"/>
    <n v="2"/>
    <n v="0"/>
    <n v="0"/>
    <n v="0"/>
    <n v="0"/>
    <n v="2"/>
    <m/>
    <n v="0"/>
    <n v="0"/>
    <n v="0.66666666666666663"/>
    <n v="0.66666666666666663"/>
    <n v="0.66666666666666663"/>
    <n v="0"/>
    <n v="0"/>
    <s v="Y"/>
    <n v="0"/>
    <n v="0"/>
    <n v="0"/>
    <n v="0"/>
    <n v="0"/>
    <s v="Twickenham Riverside"/>
    <m/>
    <m/>
    <s v="Twickenham"/>
    <m/>
    <x v="0"/>
  </r>
  <r>
    <s v="17/3077/FUL"/>
    <s v="NEW"/>
    <m/>
    <s v="4 Church Street_x000a_Twickenham_x000a_TW1 3NJ"/>
    <s v="Erection of a 3 storey dwellinghouse with accommodation at basement level, associated landscaping works and rear outbuilding for garage."/>
    <m/>
    <m/>
    <x v="2"/>
    <s v="Open Market"/>
    <n v="516426"/>
    <n v="173349"/>
    <m/>
    <n v="0"/>
    <n v="0"/>
    <n v="0"/>
    <n v="0"/>
    <m/>
    <m/>
    <m/>
    <n v="0"/>
    <m/>
    <n v="0"/>
    <n v="0"/>
    <n v="0"/>
    <n v="1"/>
    <m/>
    <m/>
    <m/>
    <n v="1"/>
    <m/>
    <n v="0"/>
    <n v="0"/>
    <n v="0"/>
    <n v="1"/>
    <n v="0"/>
    <n v="0"/>
    <n v="0"/>
    <n v="1"/>
    <m/>
    <n v="0"/>
    <n v="0"/>
    <n v="0.33333333333333331"/>
    <n v="0.33333333333333331"/>
    <n v="0.33333333333333331"/>
    <n v="0"/>
    <n v="0"/>
    <s v="Y"/>
    <n v="0"/>
    <n v="0"/>
    <n v="0"/>
    <n v="0"/>
    <n v="0"/>
    <s v="Twickenham Riverside"/>
    <m/>
    <m/>
    <s v="Twickenham"/>
    <m/>
    <x v="0"/>
  </r>
  <r>
    <s v="17/3265/FUL"/>
    <s v="NEW"/>
    <m/>
    <s v="Lestock House 73B Castelnau Barnes SW13 9RT"/>
    <s v="Demolition of existing detached house and erection of a new detached single family dwellinghouse."/>
    <m/>
    <m/>
    <x v="2"/>
    <s v="Open Market"/>
    <n v="522475"/>
    <n v="177141"/>
    <m/>
    <n v="0"/>
    <n v="0"/>
    <n v="1"/>
    <n v="0"/>
    <m/>
    <m/>
    <m/>
    <n v="1"/>
    <m/>
    <n v="0"/>
    <n v="0"/>
    <n v="0"/>
    <n v="0"/>
    <n v="1"/>
    <m/>
    <m/>
    <n v="1"/>
    <m/>
    <n v="0"/>
    <n v="0"/>
    <n v="-1"/>
    <n v="0"/>
    <n v="1"/>
    <n v="0"/>
    <n v="0"/>
    <n v="0"/>
    <m/>
    <n v="0"/>
    <n v="0"/>
    <n v="0"/>
    <n v="0"/>
    <n v="0"/>
    <n v="0"/>
    <n v="0"/>
    <n v="0"/>
    <n v="0"/>
    <n v="0"/>
    <n v="0"/>
    <n v="0"/>
    <n v="0"/>
    <s v="Barnes"/>
    <m/>
    <m/>
    <m/>
    <m/>
    <x v="0"/>
  </r>
  <r>
    <s v="17/3402/GPD16"/>
    <s v="CHU"/>
    <s v="PA"/>
    <s v="Unit 1 Plough Lane Teddington"/>
    <s v="Change of use from B8 (Storage) to C3 (Residential) to create 1 no. studio flat."/>
    <m/>
    <m/>
    <x v="2"/>
    <s v="Open Market"/>
    <n v="516208"/>
    <n v="171077"/>
    <m/>
    <n v="0"/>
    <n v="0"/>
    <n v="0"/>
    <n v="0"/>
    <m/>
    <m/>
    <m/>
    <n v="0"/>
    <n v="1"/>
    <n v="0"/>
    <n v="0"/>
    <n v="0"/>
    <n v="0"/>
    <m/>
    <m/>
    <m/>
    <n v="1"/>
    <n v="1"/>
    <n v="0"/>
    <n v="0"/>
    <n v="0"/>
    <n v="0"/>
    <n v="0"/>
    <n v="0"/>
    <n v="0"/>
    <n v="1"/>
    <m/>
    <n v="0"/>
    <n v="0.25"/>
    <n v="0.25"/>
    <n v="0.25"/>
    <n v="0.25"/>
    <n v="0"/>
    <n v="0"/>
    <s v="Y"/>
    <n v="0"/>
    <n v="0"/>
    <n v="0"/>
    <n v="0"/>
    <n v="0"/>
    <s v="Teddington"/>
    <m/>
    <m/>
    <s v="Teddington"/>
    <m/>
    <x v="0"/>
  </r>
  <r>
    <s v="17/3404/FUL"/>
    <s v="CHU"/>
    <m/>
    <s v="91 Stanley Road_x000a_Teddington_x000a_TW11 8UB"/>
    <s v="Erection of a two storey side and single storey rear extension and change of existing C3(residential) use at first floor to facilitate the provision of B1(a) office floorspace with associated hard and soft landscaping, bin and cycle storage and 2 car par"/>
    <m/>
    <m/>
    <x v="2"/>
    <s v="Open Market"/>
    <n v="515091"/>
    <n v="171518"/>
    <m/>
    <n v="1"/>
    <n v="0"/>
    <n v="0"/>
    <n v="0"/>
    <m/>
    <m/>
    <m/>
    <n v="1"/>
    <m/>
    <n v="0"/>
    <n v="0"/>
    <n v="0"/>
    <n v="0"/>
    <m/>
    <m/>
    <m/>
    <n v="0"/>
    <m/>
    <n v="-1"/>
    <n v="0"/>
    <n v="0"/>
    <n v="0"/>
    <n v="0"/>
    <n v="0"/>
    <n v="0"/>
    <n v="-1"/>
    <m/>
    <n v="0"/>
    <n v="-0.25"/>
    <n v="-0.25"/>
    <n v="-0.25"/>
    <n v="-0.25"/>
    <n v="0"/>
    <n v="0"/>
    <s v="Y"/>
    <n v="0"/>
    <n v="0"/>
    <n v="0"/>
    <n v="0"/>
    <n v="0"/>
    <s v="Fulwell and Hampton Hill"/>
    <m/>
    <s v="Stanley Road"/>
    <m/>
    <m/>
    <x v="0"/>
  </r>
  <r>
    <s v="17/3590/FUL"/>
    <s v="NEW"/>
    <m/>
    <s v="Garages Rear Of 48-52 Anlaby Road Teddington"/>
    <s v="Demolition of the existing garages. Erection of 1 x 2 bed single storey house and 1 x 3 bed single storey house with basement with associated hard and soft landscaping, refuse and cycle stores."/>
    <m/>
    <m/>
    <x v="2"/>
    <s v="Open Market"/>
    <n v="514975"/>
    <n v="171285"/>
    <m/>
    <n v="0"/>
    <n v="0"/>
    <n v="0"/>
    <n v="0"/>
    <m/>
    <m/>
    <m/>
    <n v="0"/>
    <m/>
    <n v="0"/>
    <n v="1"/>
    <n v="1"/>
    <n v="0"/>
    <m/>
    <m/>
    <m/>
    <n v="2"/>
    <m/>
    <n v="0"/>
    <n v="1"/>
    <n v="1"/>
    <n v="0"/>
    <n v="0"/>
    <n v="0"/>
    <n v="0"/>
    <n v="2"/>
    <m/>
    <n v="0"/>
    <n v="0"/>
    <n v="0.66666666666666663"/>
    <n v="0.66666666666666663"/>
    <n v="0.66666666666666663"/>
    <n v="0"/>
    <n v="0"/>
    <s v="Y"/>
    <n v="0"/>
    <n v="0"/>
    <n v="0"/>
    <n v="0"/>
    <n v="0"/>
    <s v="Fulwell and Hampton Hill"/>
    <m/>
    <m/>
    <m/>
    <m/>
    <x v="0"/>
  </r>
  <r>
    <s v="17/3591/FUL"/>
    <s v="CON"/>
    <m/>
    <s v="94A High Street_x000a_Whitton_x000a_Twickenham_x000a_TW2 7LN"/>
    <s v="Erection of external rear steps with railings to the property, new door on first floor side elevation to the rear (first floor) and proposed flues to the front elevation to accommodate the conversion of the existing three bedroom flat into 2x1 bed (1 per"/>
    <m/>
    <m/>
    <x v="2"/>
    <s v="Open Market"/>
    <n v="514174"/>
    <n v="173697"/>
    <m/>
    <n v="0"/>
    <n v="0"/>
    <n v="1"/>
    <n v="0"/>
    <m/>
    <m/>
    <m/>
    <n v="1"/>
    <m/>
    <n v="2"/>
    <n v="0"/>
    <n v="0"/>
    <n v="0"/>
    <m/>
    <m/>
    <m/>
    <n v="2"/>
    <m/>
    <n v="2"/>
    <n v="0"/>
    <n v="-1"/>
    <n v="0"/>
    <n v="0"/>
    <n v="0"/>
    <n v="0"/>
    <n v="1"/>
    <m/>
    <n v="0"/>
    <n v="0.25"/>
    <n v="0.25"/>
    <n v="0.25"/>
    <n v="0.25"/>
    <n v="0"/>
    <n v="0"/>
    <s v="Y"/>
    <n v="0"/>
    <n v="0"/>
    <n v="0"/>
    <n v="0"/>
    <n v="0"/>
    <s v="Whitton"/>
    <m/>
    <m/>
    <s v="Whitton"/>
    <m/>
    <x v="0"/>
  </r>
  <r>
    <s v="17/3610/FUL"/>
    <s v="MIX"/>
    <m/>
    <s v="67 - 69 Barnes High Street Barnes"/>
    <s v="Partial demolition of existing buildings, refurbishment of  2  x commercial units (A2 use Class) on ground floor. Partial new build extensions to the roof in addition to ground, first and second floor extensions to the rear of the site to provide 2 x 2-b"/>
    <m/>
    <m/>
    <x v="2"/>
    <s v="Open Market"/>
    <n v="521762"/>
    <n v="176415"/>
    <m/>
    <n v="1"/>
    <n v="2"/>
    <n v="0"/>
    <n v="0"/>
    <m/>
    <m/>
    <m/>
    <n v="3"/>
    <n v="3"/>
    <n v="2"/>
    <n v="2"/>
    <n v="0"/>
    <n v="0"/>
    <m/>
    <m/>
    <m/>
    <n v="7"/>
    <n v="3"/>
    <n v="1"/>
    <n v="0"/>
    <n v="0"/>
    <n v="0"/>
    <n v="0"/>
    <n v="0"/>
    <n v="0"/>
    <n v="4"/>
    <m/>
    <n v="0"/>
    <n v="0"/>
    <n v="1.3333333333333333"/>
    <n v="1.3333333333333333"/>
    <n v="1.3333333333333333"/>
    <n v="0"/>
    <n v="0"/>
    <s v="Y"/>
    <n v="0"/>
    <n v="0"/>
    <n v="0"/>
    <n v="0"/>
    <n v="0"/>
    <s v="Barnes"/>
    <m/>
    <s v="High Street"/>
    <m/>
    <m/>
    <x v="0"/>
  </r>
  <r>
    <s v="17/3667/FUL"/>
    <s v="NEW"/>
    <m/>
    <s v="Manor Farm Riding School_x000a_Petersham Road_x000a_Petersham_x000a_Richmond_x000a_TW10 7AH"/>
    <s v="Demolition of existing staff accommodation caravans and storage barn and erection of replacement grooms accommodation."/>
    <m/>
    <m/>
    <x v="2"/>
    <s v="Open Market"/>
    <n v="517808"/>
    <n v="173353"/>
    <m/>
    <n v="0"/>
    <n v="0"/>
    <n v="0"/>
    <n v="0"/>
    <m/>
    <m/>
    <m/>
    <n v="0"/>
    <m/>
    <n v="0"/>
    <n v="0"/>
    <n v="1"/>
    <n v="0"/>
    <m/>
    <m/>
    <m/>
    <n v="1"/>
    <m/>
    <n v="0"/>
    <n v="0"/>
    <n v="1"/>
    <n v="0"/>
    <n v="0"/>
    <n v="0"/>
    <n v="0"/>
    <n v="1"/>
    <m/>
    <n v="0"/>
    <n v="0"/>
    <n v="0.33333333333333331"/>
    <n v="0.33333333333333331"/>
    <n v="0.33333333333333331"/>
    <n v="0"/>
    <n v="0"/>
    <s v="Y"/>
    <n v="0"/>
    <n v="0"/>
    <n v="0"/>
    <n v="0"/>
    <n v="0"/>
    <s v="Ham, Petersham and Richmond Riverside"/>
    <m/>
    <m/>
    <m/>
    <s v="Thames Policy Area"/>
    <x v="0"/>
  </r>
  <r>
    <s v="17/3696/GPD16"/>
    <s v="CHU"/>
    <s v="PA"/>
    <s v="1A St Leonards Road East Sheen SW14 7LY"/>
    <s v="Change of use of premises from B8 (warehouse/distrubtion) to C3 (residential - 6 x 1 bed flats)"/>
    <m/>
    <m/>
    <x v="2"/>
    <s v="Open Market"/>
    <n v="520442"/>
    <n v="175588"/>
    <m/>
    <n v="0"/>
    <n v="0"/>
    <n v="0"/>
    <n v="0"/>
    <m/>
    <m/>
    <m/>
    <n v="0"/>
    <m/>
    <n v="6"/>
    <n v="0"/>
    <n v="0"/>
    <n v="0"/>
    <m/>
    <m/>
    <m/>
    <n v="6"/>
    <m/>
    <n v="6"/>
    <n v="0"/>
    <n v="0"/>
    <n v="0"/>
    <n v="0"/>
    <n v="0"/>
    <n v="0"/>
    <n v="6"/>
    <m/>
    <n v="0"/>
    <n v="1.5"/>
    <n v="1.5"/>
    <n v="1.5"/>
    <n v="1.5"/>
    <n v="0"/>
    <n v="0"/>
    <s v="Y"/>
    <n v="0"/>
    <n v="0"/>
    <n v="0"/>
    <n v="0"/>
    <n v="0"/>
    <s v="East Sheen"/>
    <m/>
    <m/>
    <m/>
    <m/>
    <x v="0"/>
  </r>
  <r>
    <s v="17/3761/FUL"/>
    <s v="NEW"/>
    <m/>
    <s v="2 Belgrave Road Barnes SW13 9NS"/>
    <s v="Demolition of existing dwelling and erection of a replacement three-storey plus basement house (4 bedroom) with cycle parking and 1 off-street parking space."/>
    <m/>
    <m/>
    <x v="2"/>
    <s v="Open Market"/>
    <n v="521893"/>
    <n v="177129"/>
    <m/>
    <n v="0"/>
    <n v="0"/>
    <n v="1"/>
    <n v="0"/>
    <m/>
    <m/>
    <m/>
    <n v="1"/>
    <m/>
    <n v="0"/>
    <n v="0"/>
    <n v="0"/>
    <n v="1"/>
    <m/>
    <m/>
    <m/>
    <n v="1"/>
    <m/>
    <n v="0"/>
    <n v="0"/>
    <n v="-1"/>
    <n v="1"/>
    <n v="0"/>
    <n v="0"/>
    <n v="0"/>
    <n v="0"/>
    <m/>
    <n v="0"/>
    <n v="0"/>
    <n v="0"/>
    <n v="0"/>
    <n v="0"/>
    <n v="0"/>
    <n v="0"/>
    <n v="0"/>
    <n v="0"/>
    <n v="0"/>
    <n v="0"/>
    <n v="0"/>
    <n v="0"/>
    <s v="Barnes"/>
    <m/>
    <m/>
    <m/>
    <m/>
    <x v="0"/>
  </r>
  <r>
    <s v="17/3795/GPD15"/>
    <s v="CHU"/>
    <s v="PA"/>
    <s v="25 Church Road_x000a_Teddington_x000a_TW11 8PF"/>
    <s v="Change of use from Offices (B1) to Residential (C3)."/>
    <m/>
    <m/>
    <x v="2"/>
    <s v="Open Market"/>
    <n v="515664"/>
    <n v="171121"/>
    <m/>
    <n v="0"/>
    <n v="0"/>
    <n v="0"/>
    <n v="0"/>
    <m/>
    <m/>
    <m/>
    <n v="0"/>
    <m/>
    <n v="0"/>
    <n v="1"/>
    <n v="1"/>
    <n v="0"/>
    <m/>
    <m/>
    <m/>
    <n v="2"/>
    <m/>
    <n v="0"/>
    <n v="1"/>
    <n v="1"/>
    <n v="0"/>
    <n v="0"/>
    <n v="0"/>
    <n v="0"/>
    <n v="2"/>
    <m/>
    <n v="0"/>
    <n v="0.5"/>
    <n v="0.5"/>
    <n v="0.5"/>
    <n v="0.5"/>
    <n v="0"/>
    <n v="0"/>
    <s v="Y"/>
    <n v="0"/>
    <n v="0"/>
    <n v="0"/>
    <n v="0"/>
    <n v="0"/>
    <s v="Teddington"/>
    <m/>
    <m/>
    <m/>
    <m/>
    <x v="0"/>
  </r>
  <r>
    <s v="17/4014/FUL"/>
    <s v="MIX"/>
    <m/>
    <s v="126 Heath Road Twickenham TW1 4BN"/>
    <s v="Change of use of part front ground floor A5(hot food takeaways) use to C3(residential) use to facilitate the conversion of existing 3 bed maisonette above shop into 2 x 2 bed (2B3P) flats. Change of use of part rear ground floor rear from A5(retail) to C3(residential) use and erection of first floor rear extension to facilitate the creation of 1 no. studio flat with balcony. Alterations to side and rear fenestration arrangement."/>
    <m/>
    <m/>
    <x v="2"/>
    <s v="Open Market"/>
    <n v="515746"/>
    <n v="173156"/>
    <m/>
    <n v="0"/>
    <n v="0"/>
    <n v="1"/>
    <n v="0"/>
    <m/>
    <m/>
    <m/>
    <n v="1"/>
    <n v="1"/>
    <n v="0"/>
    <n v="2"/>
    <n v="0"/>
    <n v="0"/>
    <m/>
    <m/>
    <m/>
    <n v="3"/>
    <n v="1"/>
    <n v="0"/>
    <n v="2"/>
    <n v="-1"/>
    <n v="0"/>
    <n v="0"/>
    <n v="0"/>
    <n v="0"/>
    <n v="2"/>
    <m/>
    <n v="0"/>
    <n v="0.5"/>
    <n v="0.5"/>
    <n v="0.5"/>
    <n v="0.5"/>
    <n v="0"/>
    <n v="0"/>
    <s v="Y"/>
    <n v="0"/>
    <n v="0"/>
    <n v="0"/>
    <n v="0"/>
    <n v="0"/>
    <s v="Twickenham Riverside"/>
    <m/>
    <m/>
    <s v="Twickenham"/>
    <m/>
    <x v="0"/>
  </r>
  <r>
    <s v="17/4015/FUL"/>
    <s v="NEW"/>
    <m/>
    <s v="Land To Rear Of 34 - 40 The Quadrant Richmond"/>
    <s v="Erection of 2no. dwellings with associated cycle parking and refuse storage."/>
    <m/>
    <m/>
    <x v="2"/>
    <s v="Open Market"/>
    <n v="518028"/>
    <n v="175050"/>
    <m/>
    <n v="0"/>
    <n v="0"/>
    <n v="0"/>
    <n v="0"/>
    <m/>
    <m/>
    <m/>
    <n v="0"/>
    <m/>
    <n v="0"/>
    <n v="2"/>
    <n v="0"/>
    <n v="0"/>
    <m/>
    <m/>
    <m/>
    <n v="2"/>
    <m/>
    <n v="0"/>
    <n v="2"/>
    <n v="0"/>
    <n v="0"/>
    <n v="0"/>
    <n v="0"/>
    <n v="0"/>
    <n v="2"/>
    <m/>
    <n v="0"/>
    <n v="0"/>
    <n v="0.66666666666666663"/>
    <n v="0.66666666666666663"/>
    <n v="0.66666666666666663"/>
    <n v="0"/>
    <n v="0"/>
    <s v="Y"/>
    <n v="0"/>
    <n v="0"/>
    <n v="0"/>
    <n v="0"/>
    <n v="0"/>
    <s v="South Richmond"/>
    <m/>
    <m/>
    <s v="Richmond"/>
    <m/>
    <x v="0"/>
  </r>
  <r>
    <s v="17/4114/PS192"/>
    <s v="CHU"/>
    <m/>
    <s v="35A Broad Street_x000a_Teddington_x000a_TW11 8QZ"/>
    <s v="Change of use from Class C4 (House in Multiple Occupation) to C3 (residential) to provide 1 x 3 bed flat"/>
    <m/>
    <m/>
    <x v="2"/>
    <s v="Open Market"/>
    <n v="515625"/>
    <n v="170998"/>
    <m/>
    <n v="0"/>
    <n v="0"/>
    <n v="1"/>
    <n v="0"/>
    <m/>
    <m/>
    <m/>
    <n v="1"/>
    <m/>
    <n v="0"/>
    <n v="0"/>
    <n v="1"/>
    <n v="0"/>
    <m/>
    <m/>
    <m/>
    <n v="1"/>
    <m/>
    <n v="0"/>
    <n v="0"/>
    <n v="0"/>
    <n v="0"/>
    <n v="0"/>
    <n v="0"/>
    <n v="0"/>
    <n v="0"/>
    <m/>
    <n v="0"/>
    <n v="0"/>
    <n v="0"/>
    <n v="0"/>
    <n v="0"/>
    <n v="0"/>
    <n v="0"/>
    <n v="0"/>
    <n v="0"/>
    <n v="0"/>
    <n v="0"/>
    <n v="0"/>
    <n v="0"/>
    <s v="Teddington"/>
    <m/>
    <m/>
    <s v="Teddington"/>
    <m/>
    <x v="0"/>
  </r>
  <r>
    <s v="17/4122/FUL"/>
    <s v="NEW"/>
    <m/>
    <s v="Land Adjacent To 93_x000a_Elm Bank Gardens_x000a_Barnes_x000a_London"/>
    <s v="Demolition of garage and the erection of a three-storey two-bedroom detached dwelling with associated landscaping. (Re-consultation required for the following reason: Building line adjusted following a further site survey to accurately record the locatio"/>
    <m/>
    <m/>
    <x v="2"/>
    <s v="Open Market"/>
    <n v="521350"/>
    <n v="176123"/>
    <m/>
    <n v="0"/>
    <n v="0"/>
    <n v="0"/>
    <n v="0"/>
    <m/>
    <m/>
    <m/>
    <n v="0"/>
    <m/>
    <n v="0"/>
    <n v="1"/>
    <n v="0"/>
    <n v="0"/>
    <m/>
    <m/>
    <m/>
    <n v="1"/>
    <m/>
    <n v="0"/>
    <n v="1"/>
    <n v="0"/>
    <n v="0"/>
    <n v="0"/>
    <n v="0"/>
    <n v="0"/>
    <n v="1"/>
    <m/>
    <n v="0"/>
    <n v="0"/>
    <n v="0.33333333333333331"/>
    <n v="0.33333333333333331"/>
    <n v="0.33333333333333331"/>
    <n v="0"/>
    <n v="0"/>
    <s v="Y"/>
    <n v="0"/>
    <n v="0"/>
    <n v="0"/>
    <n v="0"/>
    <n v="0"/>
    <s v="Mortlake and Barnes Common"/>
    <m/>
    <m/>
    <m/>
    <s v="Thames Policy Area"/>
    <x v="0"/>
  </r>
  <r>
    <s v="17/4292/FUL"/>
    <s v="EXT"/>
    <m/>
    <s v="Cliveden House_x000d_Victoria Villas_x000d_Richmond_x000d_TW9 2JX"/>
    <s v="Proposed roof and side extension to the existing two storey residential building to provide three new apartment units and to increase the size of four of the existing units. Alterations to elevations including balconies at first and second floor."/>
    <m/>
    <m/>
    <x v="2"/>
    <s v="Open Market"/>
    <n v="518831"/>
    <n v="175436"/>
    <m/>
    <n v="0"/>
    <n v="0"/>
    <n v="0"/>
    <n v="0"/>
    <m/>
    <m/>
    <m/>
    <n v="0"/>
    <m/>
    <n v="1"/>
    <n v="2"/>
    <n v="0"/>
    <n v="0"/>
    <m/>
    <m/>
    <m/>
    <n v="3"/>
    <m/>
    <n v="1"/>
    <n v="2"/>
    <n v="0"/>
    <n v="0"/>
    <n v="0"/>
    <n v="0"/>
    <n v="0"/>
    <n v="3"/>
    <m/>
    <n v="0"/>
    <n v="0.75"/>
    <n v="0.75"/>
    <n v="0.75"/>
    <n v="0.75"/>
    <n v="0"/>
    <n v="0"/>
    <s v="Y"/>
    <n v="0"/>
    <n v="0"/>
    <n v="0"/>
    <n v="0"/>
    <n v="0"/>
    <s v="North Richmond"/>
    <m/>
    <m/>
    <m/>
    <m/>
    <x v="0"/>
  </r>
  <r>
    <s v="17/4303/FUL"/>
    <s v="EXT"/>
    <m/>
    <s v="16 Elmtree Road_x000a_Teddington"/>
    <s v="Erection of a second floor roof extension to create a. two-bed flat with roof terraces"/>
    <m/>
    <m/>
    <x v="2"/>
    <s v="Open Market"/>
    <n v="515426"/>
    <n v="171451"/>
    <m/>
    <n v="0"/>
    <n v="0"/>
    <n v="0"/>
    <n v="0"/>
    <m/>
    <m/>
    <m/>
    <n v="0"/>
    <m/>
    <n v="0"/>
    <n v="1"/>
    <n v="0"/>
    <n v="0"/>
    <m/>
    <m/>
    <m/>
    <n v="1"/>
    <m/>
    <n v="0"/>
    <n v="1"/>
    <n v="0"/>
    <n v="0"/>
    <n v="0"/>
    <n v="0"/>
    <n v="0"/>
    <n v="1"/>
    <m/>
    <n v="0"/>
    <n v="0.25"/>
    <n v="0.25"/>
    <n v="0.25"/>
    <n v="0.25"/>
    <n v="0"/>
    <n v="0"/>
    <s v="Y"/>
    <n v="0"/>
    <n v="0"/>
    <n v="0"/>
    <n v="0"/>
    <n v="0"/>
    <s v="Fulwell and Hampton Hill"/>
    <m/>
    <m/>
    <m/>
    <m/>
    <x v="0"/>
  </r>
  <r>
    <s v="17/4344/FUL"/>
    <s v="CHU"/>
    <m/>
    <s v="First To Third Floors 2 The Square Richmond"/>
    <s v="Change of use of first, second and third floors from Class A2 (offices) and Class A1 (ancillary office space) to 1 two-bedroom residential dwelling with roof terrace at fourth floor level with associated safety balustrade."/>
    <m/>
    <m/>
    <x v="2"/>
    <s v="Open Market"/>
    <n v="517967"/>
    <n v="174947"/>
    <m/>
    <n v="0"/>
    <n v="0"/>
    <n v="0"/>
    <n v="0"/>
    <m/>
    <m/>
    <m/>
    <n v="0"/>
    <m/>
    <n v="0"/>
    <n v="1"/>
    <n v="0"/>
    <n v="0"/>
    <m/>
    <m/>
    <m/>
    <n v="1"/>
    <m/>
    <n v="0"/>
    <n v="1"/>
    <n v="0"/>
    <n v="0"/>
    <n v="0"/>
    <n v="0"/>
    <n v="0"/>
    <n v="1"/>
    <m/>
    <n v="0"/>
    <n v="0.25"/>
    <n v="0.25"/>
    <n v="0.25"/>
    <n v="0.25"/>
    <n v="0"/>
    <n v="0"/>
    <s v="Y"/>
    <n v="0"/>
    <n v="0"/>
    <n v="0"/>
    <n v="0"/>
    <n v="0"/>
    <s v="South Richmond"/>
    <m/>
    <m/>
    <s v="Richmond"/>
    <m/>
    <x v="0"/>
  </r>
  <r>
    <s v="17/4360/FUL"/>
    <s v="NEW"/>
    <m/>
    <s v="25 Kew Foot Road_x000a_Richmond_x000a_TW9 2SS"/>
    <s v="Demolition of existing single storey building and redevelopment with a two storey building providing approximtely 870sqm of B1 floorspace (including in the roof space), off street car parking, upgrades to a public footpath, landscaping, improved access a"/>
    <m/>
    <m/>
    <x v="2"/>
    <s v="Open Market"/>
    <n v="518103"/>
    <n v="175457"/>
    <m/>
    <n v="0"/>
    <n v="0"/>
    <n v="0"/>
    <n v="0"/>
    <m/>
    <m/>
    <m/>
    <n v="0"/>
    <m/>
    <n v="0"/>
    <n v="0"/>
    <n v="0"/>
    <n v="0"/>
    <m/>
    <m/>
    <m/>
    <n v="0"/>
    <m/>
    <n v="0"/>
    <n v="0"/>
    <n v="0"/>
    <n v="0"/>
    <n v="0"/>
    <n v="0"/>
    <n v="0"/>
    <n v="0"/>
    <m/>
    <n v="0"/>
    <n v="0"/>
    <n v="0"/>
    <n v="0"/>
    <n v="0"/>
    <n v="0"/>
    <n v="0"/>
    <n v="0"/>
    <n v="0"/>
    <n v="0"/>
    <n v="0"/>
    <n v="0"/>
    <n v="0"/>
    <s v="North Richmond"/>
    <m/>
    <m/>
    <m/>
    <m/>
    <x v="0"/>
  </r>
  <r>
    <s v="17/4368/FUL"/>
    <s v="MIX"/>
    <m/>
    <s v="117 Rectory Grove_x000a_Hampton_x000a_TW12 1EG"/>
    <s v="Alterations to no. 117 to include demolition of existing two storey side extension, erection of a single storey rear extension and front porch.  New cycle store to rear. Subdivison of garden plot and demolition of existing garage at no. 117 to facilitate"/>
    <m/>
    <m/>
    <x v="2"/>
    <s v="Open Market"/>
    <n v="512731"/>
    <n v="171617"/>
    <m/>
    <n v="0"/>
    <n v="0"/>
    <n v="0"/>
    <n v="1"/>
    <m/>
    <m/>
    <m/>
    <n v="1"/>
    <m/>
    <n v="0"/>
    <n v="1"/>
    <n v="1"/>
    <n v="0"/>
    <m/>
    <m/>
    <m/>
    <n v="2"/>
    <m/>
    <n v="0"/>
    <n v="1"/>
    <n v="1"/>
    <n v="-1"/>
    <n v="0"/>
    <n v="0"/>
    <n v="0"/>
    <n v="1"/>
    <m/>
    <n v="0"/>
    <n v="0"/>
    <n v="0.33333333333333331"/>
    <n v="0.33333333333333331"/>
    <n v="0.33333333333333331"/>
    <n v="0"/>
    <n v="0"/>
    <s v="Y"/>
    <n v="0"/>
    <n v="0"/>
    <n v="0"/>
    <n v="0"/>
    <n v="0"/>
    <s v="Hampton North"/>
    <m/>
    <m/>
    <m/>
    <m/>
    <x v="0"/>
  </r>
  <r>
    <s v="17/4422/GPD15"/>
    <s v="CHU"/>
    <s v="PA"/>
    <s v="25 Church Road_x000a_Teddington_x000a_TW11 8PF"/>
    <s v="Change of use of the ground floor and accommodation above the rear workshop from Class B1(C) Light Industrial to Dwelling (Class C3)."/>
    <m/>
    <m/>
    <x v="2"/>
    <s v="Open Market"/>
    <n v="515664"/>
    <n v="171121"/>
    <m/>
    <n v="0"/>
    <n v="0"/>
    <n v="0"/>
    <n v="0"/>
    <m/>
    <m/>
    <m/>
    <n v="0"/>
    <m/>
    <n v="0"/>
    <n v="1"/>
    <n v="0"/>
    <n v="0"/>
    <m/>
    <m/>
    <m/>
    <n v="1"/>
    <m/>
    <n v="0"/>
    <n v="1"/>
    <n v="0"/>
    <n v="0"/>
    <n v="0"/>
    <n v="0"/>
    <n v="0"/>
    <n v="1"/>
    <m/>
    <n v="0"/>
    <n v="0.25"/>
    <n v="0.25"/>
    <n v="0.25"/>
    <n v="0.25"/>
    <n v="0"/>
    <n v="0"/>
    <s v="Y"/>
    <n v="0"/>
    <n v="0"/>
    <n v="0"/>
    <n v="0"/>
    <n v="0"/>
    <s v="Teddington"/>
    <m/>
    <m/>
    <m/>
    <m/>
    <x v="0"/>
  </r>
  <r>
    <s v="17/4453/FUL"/>
    <s v="MIX"/>
    <m/>
    <s v="286 Kew Road_x000a_Kew_x000a_Richmond_x000a_TW9 3DU"/>
    <s v="Single storey rear extension and basement extension, including lightwells to the front and rear, to create 1 no. additional new dwelling."/>
    <m/>
    <m/>
    <x v="2"/>
    <s v="Open Market"/>
    <n v="518955"/>
    <n v="177124"/>
    <m/>
    <n v="0"/>
    <n v="0"/>
    <n v="0"/>
    <n v="0"/>
    <m/>
    <m/>
    <m/>
    <n v="0"/>
    <m/>
    <n v="1"/>
    <n v="0"/>
    <n v="0"/>
    <n v="0"/>
    <m/>
    <m/>
    <m/>
    <n v="1"/>
    <m/>
    <n v="1"/>
    <n v="0"/>
    <n v="0"/>
    <n v="0"/>
    <n v="0"/>
    <n v="0"/>
    <n v="0"/>
    <n v="1"/>
    <m/>
    <n v="0"/>
    <n v="0"/>
    <n v="0.33333333333333331"/>
    <n v="0.33333333333333331"/>
    <n v="0.33333333333333331"/>
    <n v="0"/>
    <n v="0"/>
    <s v="Y"/>
    <n v="0"/>
    <n v="0"/>
    <n v="0"/>
    <n v="0"/>
    <n v="0"/>
    <s v="Kew"/>
    <m/>
    <m/>
    <m/>
    <m/>
    <x v="0"/>
  </r>
  <r>
    <s v="18/0111/FUL"/>
    <s v="NEW"/>
    <m/>
    <s v="1 Hospital Bridge Road_x000a_Twickenham_x000a_TW2 5UL"/>
    <s v="Demolition of the existing two-storey side extension to allow for the provision of a detached two-storey (3 bedroom) dwellinghouse; subdivision of land;  associated car parking, cycle storage, refuse and recycling storage, hard and soft landscaping to bo"/>
    <m/>
    <m/>
    <x v="2"/>
    <s v="Open Market"/>
    <n v="513875"/>
    <n v="172459"/>
    <m/>
    <n v="0"/>
    <n v="0"/>
    <n v="0"/>
    <n v="0"/>
    <m/>
    <m/>
    <m/>
    <n v="0"/>
    <m/>
    <n v="0"/>
    <n v="0"/>
    <n v="1"/>
    <n v="0"/>
    <m/>
    <m/>
    <m/>
    <n v="1"/>
    <m/>
    <n v="0"/>
    <n v="0"/>
    <n v="1"/>
    <n v="0"/>
    <n v="0"/>
    <n v="0"/>
    <n v="0"/>
    <n v="1"/>
    <m/>
    <n v="0"/>
    <n v="0"/>
    <n v="0.33333333333333331"/>
    <n v="0.33333333333333331"/>
    <n v="0.33333333333333331"/>
    <n v="0"/>
    <n v="0"/>
    <s v="Y"/>
    <n v="0"/>
    <n v="0"/>
    <n v="0"/>
    <n v="0"/>
    <n v="0"/>
    <s v="West Twickenham"/>
    <m/>
    <m/>
    <m/>
    <m/>
    <x v="1"/>
  </r>
  <r>
    <s v="18/0216/FUL"/>
    <s v="CON"/>
    <m/>
    <s v="34 Colston Road East Sheen SW14 7PG"/>
    <s v="The division of the existing single dwelling on the upper floors into two dwellings. Rear dormer and roof lights to the front roofslope."/>
    <m/>
    <m/>
    <x v="2"/>
    <s v="Open Market"/>
    <n v="520283"/>
    <n v="175305"/>
    <m/>
    <n v="0"/>
    <n v="0"/>
    <n v="0"/>
    <n v="1"/>
    <m/>
    <m/>
    <m/>
    <n v="1"/>
    <m/>
    <n v="1"/>
    <n v="0"/>
    <n v="1"/>
    <n v="0"/>
    <m/>
    <m/>
    <m/>
    <n v="2"/>
    <m/>
    <n v="1"/>
    <n v="0"/>
    <n v="1"/>
    <n v="-1"/>
    <n v="0"/>
    <n v="0"/>
    <n v="0"/>
    <n v="1"/>
    <m/>
    <n v="0"/>
    <n v="0.25"/>
    <n v="0.25"/>
    <n v="0.25"/>
    <n v="0.25"/>
    <n v="0"/>
    <n v="0"/>
    <s v="Y"/>
    <n v="0"/>
    <n v="0"/>
    <n v="0"/>
    <n v="0"/>
    <n v="0"/>
    <s v="East Sheen"/>
    <m/>
    <m/>
    <s v="East Sheen"/>
    <m/>
    <x v="0"/>
  </r>
  <r>
    <s v="18/0268/FUL"/>
    <s v="NEW"/>
    <m/>
    <s v="36 Sunnyside Road Teddington TW11 0RT"/>
    <s v="Demolition of the existing four bedroom house and garage and replace with a new build four bedroom house, together with associated hard and soft landscaping, cycle and refuse stores and parking."/>
    <m/>
    <m/>
    <x v="2"/>
    <s v="Open Market"/>
    <n v="514952"/>
    <n v="171606"/>
    <m/>
    <n v="0"/>
    <n v="0"/>
    <n v="0"/>
    <n v="1"/>
    <m/>
    <m/>
    <m/>
    <n v="1"/>
    <m/>
    <n v="0"/>
    <n v="0"/>
    <n v="0"/>
    <n v="1"/>
    <m/>
    <m/>
    <m/>
    <n v="1"/>
    <m/>
    <n v="0"/>
    <n v="0"/>
    <n v="0"/>
    <n v="0"/>
    <n v="0"/>
    <n v="0"/>
    <n v="0"/>
    <n v="0"/>
    <m/>
    <n v="0"/>
    <n v="0"/>
    <n v="0"/>
    <n v="0"/>
    <n v="0"/>
    <n v="0"/>
    <n v="0"/>
    <n v="0"/>
    <n v="0"/>
    <n v="0"/>
    <n v="0"/>
    <n v="0"/>
    <n v="0"/>
    <s v="Fulwell and Hampton Hill"/>
    <m/>
    <m/>
    <m/>
    <m/>
    <x v="0"/>
  </r>
  <r>
    <s v="18/0301/FUL"/>
    <s v="NEW"/>
    <m/>
    <s v="18 Cedar Heights_x000a_Petersham_x000a_Richmond_x000a_TW10 7AE"/>
    <s v="Demolition of the existing detached dwelling house and replacement with a new detached family home with associated off street parking."/>
    <m/>
    <m/>
    <x v="2"/>
    <s v="Open Market"/>
    <n v="518177"/>
    <n v="173103"/>
    <m/>
    <n v="0"/>
    <n v="0"/>
    <n v="0"/>
    <n v="1"/>
    <m/>
    <m/>
    <m/>
    <n v="1"/>
    <m/>
    <n v="0"/>
    <n v="0"/>
    <n v="0"/>
    <n v="0"/>
    <m/>
    <n v="1"/>
    <m/>
    <n v="1"/>
    <m/>
    <n v="0"/>
    <n v="0"/>
    <n v="0"/>
    <n v="-1"/>
    <n v="0"/>
    <n v="1"/>
    <n v="0"/>
    <n v="0"/>
    <m/>
    <n v="0"/>
    <n v="0"/>
    <n v="0"/>
    <n v="0"/>
    <n v="0"/>
    <n v="0"/>
    <n v="0"/>
    <n v="0"/>
    <n v="0"/>
    <n v="0"/>
    <n v="0"/>
    <n v="0"/>
    <n v="0"/>
    <s v="Ham, Petersham and Richmond Riverside"/>
    <m/>
    <m/>
    <m/>
    <m/>
    <x v="0"/>
  </r>
  <r>
    <s v="18/0305/GPD15"/>
    <s v="CHU"/>
    <s v="PA"/>
    <s v="Argyle House_x000a_1 Dee Road_x000a_Richmond"/>
    <s v="Change of use of basement from B1a (office use) to C3 (residential use) - creation of 1 x 2 bed flat"/>
    <m/>
    <m/>
    <x v="2"/>
    <s v="Open Market"/>
    <n v="518741"/>
    <n v="175360"/>
    <m/>
    <n v="0"/>
    <n v="0"/>
    <n v="0"/>
    <n v="0"/>
    <m/>
    <m/>
    <m/>
    <n v="0"/>
    <m/>
    <n v="0"/>
    <n v="1"/>
    <n v="0"/>
    <n v="0"/>
    <m/>
    <m/>
    <m/>
    <n v="1"/>
    <m/>
    <n v="0"/>
    <n v="1"/>
    <n v="0"/>
    <n v="0"/>
    <n v="0"/>
    <n v="0"/>
    <n v="0"/>
    <n v="1"/>
    <m/>
    <n v="0"/>
    <n v="0.25"/>
    <n v="0.25"/>
    <n v="0.25"/>
    <n v="0.25"/>
    <n v="0"/>
    <n v="0"/>
    <s v="Y"/>
    <n v="0"/>
    <n v="0"/>
    <n v="0"/>
    <n v="0"/>
    <n v="0"/>
    <s v="North Richmond"/>
    <m/>
    <m/>
    <m/>
    <m/>
    <x v="0"/>
  </r>
  <r>
    <s v="18/0433/FUL"/>
    <s v="CHU"/>
    <m/>
    <s v="26 Egerton Road Twickenham TW2 7SP"/>
    <s v="Change of Use from Respite Centre to Residential Use. To provide 1No. Studio &amp; 3No. 1 Bed Apartments, with associated Amenity Space &amp; Parking."/>
    <m/>
    <m/>
    <x v="2"/>
    <s v="Open Market"/>
    <n v="515424"/>
    <n v="173951"/>
    <m/>
    <n v="0"/>
    <n v="0"/>
    <n v="0"/>
    <n v="0"/>
    <m/>
    <m/>
    <m/>
    <n v="0"/>
    <n v="1"/>
    <n v="3"/>
    <n v="0"/>
    <n v="0"/>
    <n v="0"/>
    <m/>
    <m/>
    <m/>
    <n v="4"/>
    <n v="1"/>
    <n v="3"/>
    <n v="0"/>
    <n v="0"/>
    <n v="0"/>
    <n v="0"/>
    <n v="0"/>
    <n v="0"/>
    <n v="4"/>
    <m/>
    <n v="0"/>
    <n v="4"/>
    <n v="0"/>
    <n v="0"/>
    <n v="0"/>
    <n v="0"/>
    <n v="0"/>
    <n v="0"/>
    <n v="0"/>
    <n v="0"/>
    <n v="0"/>
    <n v="0"/>
    <n v="0"/>
    <s v="St. Margarets and North Twickenham"/>
    <m/>
    <m/>
    <m/>
    <m/>
    <x v="0"/>
  </r>
  <r>
    <s v="18/0584/GPD15"/>
    <s v="CHU"/>
    <s v="PA"/>
    <s v="1 High Street Hampton Hill"/>
    <s v="Change of use from B1c to C3 (Residential) to provide 2 x 2B4P flats."/>
    <m/>
    <m/>
    <x v="2"/>
    <s v="Open Market"/>
    <n v="514188"/>
    <n v="170550"/>
    <m/>
    <n v="0"/>
    <n v="0"/>
    <n v="0"/>
    <n v="0"/>
    <m/>
    <m/>
    <m/>
    <n v="0"/>
    <m/>
    <n v="0"/>
    <n v="2"/>
    <n v="0"/>
    <n v="0"/>
    <m/>
    <m/>
    <m/>
    <n v="2"/>
    <m/>
    <n v="0"/>
    <n v="2"/>
    <n v="0"/>
    <n v="0"/>
    <n v="0"/>
    <n v="0"/>
    <n v="0"/>
    <n v="2"/>
    <m/>
    <n v="0"/>
    <n v="0.5"/>
    <n v="0.5"/>
    <n v="0.5"/>
    <n v="0.5"/>
    <n v="0"/>
    <n v="0"/>
    <s v="Y"/>
    <n v="0"/>
    <n v="0"/>
    <n v="0"/>
    <n v="0"/>
    <n v="0"/>
    <s v="Fulwell and Hampton Hill"/>
    <m/>
    <m/>
    <m/>
    <m/>
    <x v="0"/>
  </r>
  <r>
    <s v="18/0692/FUL"/>
    <s v="NEW"/>
    <m/>
    <s v="83 Wensleydale Road_x000a_Hampton_x000a_TW12 2LP"/>
    <s v="Part two-storey rear extensions with two rear gable roofs; part raising of the ridge height; removal of rear chimney; new windows (including removal) and door to the side (south elevation) at ground and first floor level; removal of side windows at groun"/>
    <m/>
    <m/>
    <x v="2"/>
    <s v="Open Market"/>
    <n v="513446"/>
    <n v="170353"/>
    <m/>
    <n v="0"/>
    <n v="0"/>
    <n v="0"/>
    <n v="0"/>
    <m/>
    <m/>
    <m/>
    <n v="0"/>
    <m/>
    <n v="0"/>
    <n v="0"/>
    <n v="0"/>
    <n v="1"/>
    <m/>
    <m/>
    <m/>
    <n v="1"/>
    <m/>
    <n v="0"/>
    <n v="0"/>
    <n v="0"/>
    <n v="1"/>
    <n v="0"/>
    <n v="0"/>
    <n v="0"/>
    <n v="1"/>
    <m/>
    <n v="0"/>
    <n v="0"/>
    <n v="0.33333333333333331"/>
    <n v="0.33333333333333331"/>
    <n v="0.33333333333333331"/>
    <n v="0"/>
    <n v="0"/>
    <s v="Y"/>
    <n v="0"/>
    <n v="0"/>
    <n v="0"/>
    <n v="0"/>
    <n v="0"/>
    <s v="Hampton"/>
    <m/>
    <m/>
    <m/>
    <m/>
    <x v="1"/>
  </r>
  <r>
    <s v="18/0723/FUL"/>
    <s v="NEW"/>
    <m/>
    <s v="3 Queens Rise_x000a_Richmond_x000a_TW10 6HL"/>
    <s v="Demolition of existing dwelling and the erection of a replacement two storey, 4 bedroom dwelling"/>
    <m/>
    <m/>
    <x v="2"/>
    <s v="Open Market"/>
    <n v="518695"/>
    <n v="174476"/>
    <m/>
    <n v="0"/>
    <n v="0"/>
    <n v="0"/>
    <n v="1"/>
    <m/>
    <m/>
    <m/>
    <n v="1"/>
    <m/>
    <n v="0"/>
    <n v="0"/>
    <n v="0"/>
    <n v="1"/>
    <m/>
    <m/>
    <m/>
    <n v="1"/>
    <m/>
    <n v="0"/>
    <n v="0"/>
    <n v="0"/>
    <n v="0"/>
    <n v="0"/>
    <n v="0"/>
    <n v="0"/>
    <n v="0"/>
    <m/>
    <n v="0"/>
    <n v="0"/>
    <n v="0"/>
    <n v="0"/>
    <n v="0"/>
    <n v="0"/>
    <n v="0"/>
    <n v="0"/>
    <n v="0"/>
    <n v="0"/>
    <n v="0"/>
    <n v="0"/>
    <n v="0"/>
    <s v="South Richmond"/>
    <m/>
    <m/>
    <m/>
    <m/>
    <x v="0"/>
  </r>
  <r>
    <s v="18/0866/FUL"/>
    <s v="EXT"/>
    <m/>
    <s v="422 Upper Richmond Road West East Sheen"/>
    <s v="Extension and alterations to existing 2 no. retail units and 1 no. 3-bedroom residential unit to provide 1 no. A1/A2/B1 unit and 5 no. residential units, including provision of lower ground floor level and rear dormers."/>
    <m/>
    <m/>
    <x v="2"/>
    <s v="Open Market"/>
    <n v="519849"/>
    <n v="175357"/>
    <m/>
    <n v="0"/>
    <n v="0"/>
    <n v="1"/>
    <n v="0"/>
    <m/>
    <m/>
    <m/>
    <n v="1"/>
    <n v="1"/>
    <n v="4"/>
    <n v="0"/>
    <n v="0"/>
    <n v="0"/>
    <m/>
    <m/>
    <m/>
    <n v="5"/>
    <n v="1"/>
    <n v="4"/>
    <n v="0"/>
    <n v="-1"/>
    <n v="0"/>
    <n v="0"/>
    <n v="0"/>
    <n v="0"/>
    <n v="4"/>
    <m/>
    <n v="0"/>
    <n v="1"/>
    <n v="1"/>
    <n v="1"/>
    <n v="1"/>
    <n v="0"/>
    <n v="0"/>
    <s v="Y"/>
    <n v="0"/>
    <n v="0"/>
    <n v="0"/>
    <n v="0"/>
    <n v="0"/>
    <s v="North Richmond"/>
    <m/>
    <m/>
    <m/>
    <m/>
    <x v="0"/>
  </r>
  <r>
    <s v="18/0946/FUL"/>
    <s v="CHU"/>
    <m/>
    <s v="Second Floor Flat _x000a_302 Sandycombe Road_x000a_Richmond_x000a_TW9 3NG"/>
    <s v="Conversion of Second Floor Flat into 2 no. x 1-bedroom Flats"/>
    <m/>
    <m/>
    <x v="2"/>
    <s v="Open Market"/>
    <n v="519061"/>
    <n v="176659"/>
    <m/>
    <n v="0"/>
    <n v="1"/>
    <n v="0"/>
    <n v="0"/>
    <m/>
    <m/>
    <m/>
    <n v="1"/>
    <m/>
    <n v="2"/>
    <n v="0"/>
    <n v="0"/>
    <n v="0"/>
    <m/>
    <m/>
    <m/>
    <n v="2"/>
    <m/>
    <n v="2"/>
    <n v="-1"/>
    <n v="0"/>
    <n v="0"/>
    <n v="0"/>
    <n v="0"/>
    <n v="0"/>
    <n v="1"/>
    <m/>
    <n v="0"/>
    <n v="0"/>
    <n v="0"/>
    <n v="0"/>
    <n v="0"/>
    <n v="0"/>
    <n v="0"/>
    <n v="0"/>
    <n v="0"/>
    <n v="0"/>
    <n v="0"/>
    <n v="0"/>
    <n v="0"/>
    <s v="Kew"/>
    <m/>
    <m/>
    <m/>
    <m/>
    <x v="0"/>
  </r>
  <r>
    <s v="18/1022/FUL"/>
    <s v="CON"/>
    <m/>
    <s v="Elmfield House_x000a_High Street_x000a_Teddington_x000a_TW11 8EW"/>
    <s v="Change of use of 1st floor from C3 (Residential) use to D1 use (Dental Surgery). Replacement 5 no. windows on second floor front elevation."/>
    <m/>
    <m/>
    <x v="2"/>
    <s v="Open Market"/>
    <n v="515922"/>
    <n v="171125"/>
    <m/>
    <n v="1"/>
    <n v="0"/>
    <n v="0"/>
    <n v="0"/>
    <m/>
    <m/>
    <m/>
    <n v="1"/>
    <m/>
    <n v="0"/>
    <n v="0"/>
    <n v="0"/>
    <n v="0"/>
    <m/>
    <m/>
    <m/>
    <n v="0"/>
    <m/>
    <n v="-1"/>
    <n v="0"/>
    <n v="0"/>
    <n v="0"/>
    <n v="0"/>
    <n v="0"/>
    <n v="0"/>
    <n v="-1"/>
    <m/>
    <n v="0"/>
    <n v="-0.25"/>
    <n v="-0.25"/>
    <n v="-0.25"/>
    <n v="-0.25"/>
    <n v="0"/>
    <n v="0"/>
    <s v="Y"/>
    <n v="0"/>
    <n v="0"/>
    <n v="0"/>
    <n v="0"/>
    <n v="0"/>
    <s v="Teddington"/>
    <m/>
    <m/>
    <s v="Teddington"/>
    <m/>
    <x v="0"/>
  </r>
  <r>
    <s v="18/1038/FUL"/>
    <s v="NEW"/>
    <m/>
    <s v="21A St Leonards Road East Sheen SW14 7LY"/>
    <s v="Partial demolition and alterations to the existing building and the erection of 3 x 3-bedroom new build houses on the eastern part of the site, with associated parking and landscaping."/>
    <m/>
    <m/>
    <x v="2"/>
    <s v="Open Market"/>
    <n v="520397"/>
    <n v="175552"/>
    <m/>
    <n v="0"/>
    <n v="0"/>
    <n v="0"/>
    <n v="0"/>
    <m/>
    <m/>
    <m/>
    <n v="0"/>
    <m/>
    <n v="0"/>
    <n v="0"/>
    <n v="3"/>
    <n v="0"/>
    <m/>
    <m/>
    <m/>
    <n v="3"/>
    <m/>
    <n v="0"/>
    <n v="0"/>
    <n v="3"/>
    <n v="0"/>
    <n v="0"/>
    <n v="0"/>
    <n v="0"/>
    <n v="3"/>
    <m/>
    <n v="0"/>
    <n v="0"/>
    <n v="1"/>
    <n v="1"/>
    <n v="1"/>
    <n v="0"/>
    <n v="0"/>
    <s v="Y"/>
    <n v="0"/>
    <n v="0"/>
    <n v="0"/>
    <n v="0"/>
    <n v="0"/>
    <s v="East Sheen"/>
    <m/>
    <m/>
    <s v="East Sheen"/>
    <m/>
    <x v="0"/>
  </r>
  <r>
    <s v="18/1064/GPD15"/>
    <s v="CHU"/>
    <s v="PA"/>
    <s v="21A St Leonards Road East Sheen SW14 7LY"/>
    <s v="Change of use from offices (B1) to residential (C3)"/>
    <m/>
    <m/>
    <x v="2"/>
    <s v="Open Market"/>
    <n v="520397"/>
    <n v="175552"/>
    <m/>
    <n v="0"/>
    <n v="0"/>
    <n v="0"/>
    <n v="0"/>
    <m/>
    <m/>
    <m/>
    <n v="0"/>
    <m/>
    <n v="0"/>
    <n v="0"/>
    <n v="5"/>
    <n v="0"/>
    <m/>
    <m/>
    <m/>
    <n v="5"/>
    <m/>
    <n v="0"/>
    <n v="0"/>
    <n v="5"/>
    <n v="0"/>
    <n v="0"/>
    <n v="0"/>
    <n v="0"/>
    <n v="5"/>
    <m/>
    <n v="0"/>
    <n v="1.25"/>
    <n v="1.25"/>
    <n v="1.25"/>
    <n v="1.25"/>
    <n v="0"/>
    <n v="0"/>
    <s v="Y"/>
    <n v="0"/>
    <n v="0"/>
    <n v="0"/>
    <n v="0"/>
    <n v="0"/>
    <s v="East Sheen"/>
    <m/>
    <m/>
    <s v="East Sheen"/>
    <m/>
    <x v="0"/>
  </r>
  <r>
    <s v="18/1248/FUL"/>
    <s v="CHU"/>
    <m/>
    <s v="1 Trinity Road_x000a_Richmond_x000a_TW9 2LD"/>
    <s v="Conversion, refurbishment and extension of existing tyre shop with maisonette above (C3) into two self-contained one bedroom flats (C3)."/>
    <m/>
    <m/>
    <x v="2"/>
    <s v="Open Market"/>
    <n v="518862"/>
    <n v="175562"/>
    <m/>
    <n v="1"/>
    <n v="0"/>
    <n v="0"/>
    <n v="0"/>
    <m/>
    <m/>
    <m/>
    <n v="1"/>
    <m/>
    <n v="2"/>
    <n v="0"/>
    <n v="0"/>
    <n v="0"/>
    <m/>
    <m/>
    <m/>
    <n v="2"/>
    <m/>
    <n v="1"/>
    <n v="0"/>
    <n v="0"/>
    <n v="0"/>
    <n v="0"/>
    <n v="0"/>
    <n v="0"/>
    <n v="1"/>
    <m/>
    <n v="0"/>
    <n v="0.25"/>
    <n v="0.25"/>
    <n v="0.25"/>
    <n v="0.25"/>
    <n v="0"/>
    <n v="0"/>
    <s v="Y"/>
    <n v="0"/>
    <n v="0"/>
    <n v="0"/>
    <n v="0"/>
    <n v="0"/>
    <s v="North Richmond"/>
    <m/>
    <m/>
    <m/>
    <m/>
    <x v="0"/>
  </r>
  <r>
    <s v="18/1360/GPD15"/>
    <s v="CHU"/>
    <s v="PA"/>
    <s v="1 Coval Passage_x000a_East Sheen_x000a_London_x000a_SW14 7RE"/>
    <s v="Change of use of ground floor from B1 (office) to C3 (dwellinghouse) to provide a 1 bedroom unit."/>
    <m/>
    <m/>
    <x v="2"/>
    <s v="Open Market"/>
    <n v="520124"/>
    <n v="175293"/>
    <m/>
    <n v="0"/>
    <n v="0"/>
    <n v="0"/>
    <n v="0"/>
    <m/>
    <m/>
    <m/>
    <n v="0"/>
    <m/>
    <n v="1"/>
    <n v="0"/>
    <n v="0"/>
    <n v="0"/>
    <m/>
    <m/>
    <m/>
    <n v="1"/>
    <m/>
    <n v="1"/>
    <n v="0"/>
    <n v="0"/>
    <n v="0"/>
    <n v="0"/>
    <n v="0"/>
    <n v="0"/>
    <n v="1"/>
    <m/>
    <n v="0"/>
    <n v="1"/>
    <n v="0"/>
    <n v="0"/>
    <n v="0"/>
    <n v="0"/>
    <n v="0"/>
    <n v="0"/>
    <n v="0"/>
    <n v="0"/>
    <n v="0"/>
    <n v="0"/>
    <n v="0"/>
    <s v="East Sheen"/>
    <m/>
    <m/>
    <s v="East Sheen"/>
    <m/>
    <x v="0"/>
  </r>
  <r>
    <s v="18/1428/FUL"/>
    <s v="EXT"/>
    <m/>
    <s v="29 Rivermeads Avenue_x000a_Twickenham_x000a_TW2 5JL"/>
    <s v="Demolition of existing single storey garage/side extension and sub-division of plot to allow for the provision of a new dwellinghouse with associated hard and soft landscaping and boundary works, off-street car parking for the existing and proposed dwell"/>
    <m/>
    <m/>
    <x v="2"/>
    <s v="Open Market"/>
    <n v="513713"/>
    <n v="172406"/>
    <m/>
    <n v="0"/>
    <n v="0"/>
    <n v="0"/>
    <n v="0"/>
    <m/>
    <m/>
    <m/>
    <n v="0"/>
    <m/>
    <n v="0"/>
    <n v="0"/>
    <n v="1"/>
    <n v="0"/>
    <m/>
    <m/>
    <m/>
    <n v="1"/>
    <m/>
    <n v="0"/>
    <n v="0"/>
    <n v="1"/>
    <n v="0"/>
    <n v="0"/>
    <n v="0"/>
    <n v="0"/>
    <n v="1"/>
    <m/>
    <n v="0"/>
    <n v="0.25"/>
    <n v="0.25"/>
    <n v="0.25"/>
    <n v="0.25"/>
    <n v="0"/>
    <n v="0"/>
    <s v="Y"/>
    <n v="0"/>
    <n v="0"/>
    <n v="0"/>
    <n v="0"/>
    <n v="0"/>
    <s v="West Twickenham"/>
    <m/>
    <m/>
    <m/>
    <m/>
    <x v="0"/>
  </r>
  <r>
    <s v="18/1442/FUL"/>
    <s v="NEW"/>
    <m/>
    <s v="Land Rear Of 48 Fourth Cross Road Twickenham"/>
    <s v="Demolition of the existing outbuilding to the rear of no.48 Fourth Cross Road accessed via Rutland Road and construction of 1x2 bedroom dwelling including basement, with associated car parking, cycle parking and recycle/refuse storage."/>
    <m/>
    <m/>
    <x v="2"/>
    <s v="Open Market"/>
    <n v="514703"/>
    <n v="172701"/>
    <m/>
    <n v="0"/>
    <n v="0"/>
    <n v="0"/>
    <n v="0"/>
    <m/>
    <m/>
    <m/>
    <n v="0"/>
    <m/>
    <n v="0"/>
    <n v="1"/>
    <n v="0"/>
    <n v="0"/>
    <m/>
    <m/>
    <m/>
    <n v="1"/>
    <m/>
    <n v="0"/>
    <n v="1"/>
    <n v="0"/>
    <n v="0"/>
    <n v="0"/>
    <n v="0"/>
    <n v="0"/>
    <n v="1"/>
    <m/>
    <n v="0"/>
    <n v="0"/>
    <n v="0.33333333333333331"/>
    <n v="0.33333333333333331"/>
    <n v="0.33333333333333331"/>
    <n v="0"/>
    <n v="0"/>
    <s v="Y"/>
    <n v="0"/>
    <n v="0"/>
    <n v="0"/>
    <n v="0"/>
    <n v="0"/>
    <s v="West Twickenham"/>
    <m/>
    <m/>
    <m/>
    <m/>
    <x v="0"/>
  </r>
  <r>
    <s v="18/1743/FUL"/>
    <s v="NEW"/>
    <m/>
    <s v="168 Broom Road_x000a_Teddington_x000a_TW11 9PQ"/>
    <s v="Subdivision of existing curtilage at 168 Broom Road; alterations to existing garage to the rear of the site comprising single storey side extension; two rear dormer roof extensions; two rooflights to the front roofslope and fenestration alterations to fa"/>
    <m/>
    <m/>
    <x v="2"/>
    <s v="Open Market"/>
    <n v="517388"/>
    <n v="170706"/>
    <m/>
    <n v="0"/>
    <n v="0"/>
    <n v="0"/>
    <n v="0"/>
    <m/>
    <m/>
    <m/>
    <n v="0"/>
    <m/>
    <n v="1"/>
    <n v="0"/>
    <n v="0"/>
    <n v="0"/>
    <m/>
    <m/>
    <m/>
    <n v="1"/>
    <m/>
    <n v="1"/>
    <n v="0"/>
    <n v="0"/>
    <n v="0"/>
    <n v="0"/>
    <n v="0"/>
    <n v="0"/>
    <n v="1"/>
    <m/>
    <n v="0"/>
    <n v="0"/>
    <n v="0.33333333333333331"/>
    <n v="0.33333333333333331"/>
    <n v="0.33333333333333331"/>
    <n v="0"/>
    <n v="0"/>
    <s v="Y"/>
    <n v="0"/>
    <n v="0"/>
    <n v="0"/>
    <n v="0"/>
    <n v="0"/>
    <s v="Hampton Wick"/>
    <m/>
    <m/>
    <m/>
    <m/>
    <x v="1"/>
  </r>
  <r>
    <s v="18/1808/FUL"/>
    <s v="NEW"/>
    <m/>
    <s v="12 - 14 Church Lane_x000a_Teddington"/>
    <s v="Demolition of existing building in Use Class B8 (storage and distribution) and change of use of land to C3 (residential) use.  Erection of a part two storey part single storey building to provide 4 bed (4B8P) dwellinghouse with associated parking, hard a"/>
    <m/>
    <m/>
    <x v="2"/>
    <s v="Open Market"/>
    <n v="515803"/>
    <n v="171071"/>
    <m/>
    <n v="0"/>
    <n v="0"/>
    <n v="0"/>
    <n v="0"/>
    <m/>
    <m/>
    <m/>
    <n v="0"/>
    <m/>
    <n v="0"/>
    <n v="0"/>
    <n v="0"/>
    <n v="1"/>
    <m/>
    <m/>
    <m/>
    <n v="1"/>
    <m/>
    <n v="0"/>
    <n v="0"/>
    <n v="0"/>
    <n v="1"/>
    <n v="0"/>
    <n v="0"/>
    <n v="0"/>
    <n v="1"/>
    <m/>
    <n v="0"/>
    <n v="0"/>
    <n v="0.33333333333333331"/>
    <n v="0.33333333333333331"/>
    <n v="0.33333333333333331"/>
    <n v="0"/>
    <n v="0"/>
    <s v="Y"/>
    <n v="0"/>
    <n v="0"/>
    <n v="0"/>
    <n v="0"/>
    <n v="0"/>
    <s v="Teddington"/>
    <m/>
    <m/>
    <m/>
    <m/>
    <x v="0"/>
  </r>
  <r>
    <s v="18/1817/GPD15"/>
    <s v="CHU"/>
    <s v="PA"/>
    <s v="9 Elmtree Road_x000a_Teddington_x000a_TW11 8SJ"/>
    <s v="Change of use from an office (Use Class B1(a)) to residential (Use Class C3) to provide 1 x 4 bed dwellinghouse."/>
    <m/>
    <m/>
    <x v="2"/>
    <s v="Open Market"/>
    <n v="515379"/>
    <n v="171492"/>
    <m/>
    <n v="0"/>
    <n v="0"/>
    <n v="0"/>
    <n v="0"/>
    <m/>
    <m/>
    <m/>
    <n v="0"/>
    <m/>
    <n v="0"/>
    <n v="0"/>
    <n v="0"/>
    <n v="1"/>
    <m/>
    <m/>
    <m/>
    <n v="1"/>
    <m/>
    <n v="0"/>
    <n v="0"/>
    <n v="0"/>
    <n v="1"/>
    <n v="0"/>
    <n v="0"/>
    <n v="0"/>
    <n v="1"/>
    <m/>
    <n v="0"/>
    <n v="0.25"/>
    <n v="0.25"/>
    <n v="0.25"/>
    <n v="0.25"/>
    <n v="0"/>
    <n v="0"/>
    <s v="Y"/>
    <n v="0"/>
    <n v="0"/>
    <n v="0"/>
    <n v="0"/>
    <n v="0"/>
    <s v="Fulwell and Hampton Hill"/>
    <m/>
    <m/>
    <m/>
    <m/>
    <x v="0"/>
  </r>
  <r>
    <s v="18/1911/FUL"/>
    <s v="EXT"/>
    <m/>
    <s v="74 Copthall Gardens Twickenham TW1 4HJ"/>
    <s v="First floor side extension and internal alterations (loss of floor space to existing first floor flat) in connection with the formation of an additional studio flat."/>
    <m/>
    <m/>
    <x v="2"/>
    <s v="Open Market"/>
    <n v="515913"/>
    <n v="173384"/>
    <m/>
    <n v="0"/>
    <n v="0"/>
    <n v="0"/>
    <n v="0"/>
    <m/>
    <m/>
    <m/>
    <n v="0"/>
    <n v="1"/>
    <n v="0"/>
    <n v="0"/>
    <n v="0"/>
    <n v="0"/>
    <m/>
    <m/>
    <m/>
    <n v="1"/>
    <n v="1"/>
    <n v="0"/>
    <n v="0"/>
    <n v="0"/>
    <n v="0"/>
    <n v="0"/>
    <n v="0"/>
    <n v="0"/>
    <n v="1"/>
    <m/>
    <n v="0"/>
    <n v="0.25"/>
    <n v="0.25"/>
    <n v="0.25"/>
    <n v="0.25"/>
    <n v="0"/>
    <n v="0"/>
    <s v="Y"/>
    <n v="0"/>
    <n v="0"/>
    <n v="0"/>
    <n v="0"/>
    <n v="0"/>
    <s v="Twickenham Riverside"/>
    <m/>
    <m/>
    <m/>
    <m/>
    <x v="0"/>
  </r>
  <r>
    <s v="18/2038/FUL"/>
    <s v="NEW"/>
    <m/>
    <s v="33 Parke Road_x000a_Barnes_x000a_London_x000a_SW13 9NJ"/>
    <s v="Demolition of existing building and construction of new building with basement."/>
    <m/>
    <m/>
    <x v="2"/>
    <s v="Open Market"/>
    <n v="522063"/>
    <n v="177165"/>
    <m/>
    <n v="0"/>
    <n v="0"/>
    <n v="0"/>
    <n v="0"/>
    <m/>
    <n v="1"/>
    <m/>
    <n v="1"/>
    <m/>
    <n v="0"/>
    <n v="0"/>
    <n v="0"/>
    <n v="0"/>
    <n v="1"/>
    <m/>
    <m/>
    <n v="1"/>
    <m/>
    <n v="0"/>
    <n v="0"/>
    <n v="0"/>
    <n v="0"/>
    <n v="1"/>
    <n v="-1"/>
    <n v="0"/>
    <n v="0"/>
    <m/>
    <n v="0"/>
    <n v="0"/>
    <n v="0"/>
    <n v="0"/>
    <n v="0"/>
    <n v="0"/>
    <n v="0"/>
    <n v="0"/>
    <n v="0"/>
    <n v="0"/>
    <n v="0"/>
    <n v="0"/>
    <n v="0"/>
    <s v="Barnes"/>
    <m/>
    <m/>
    <m/>
    <m/>
    <x v="0"/>
  </r>
  <r>
    <s v="18/2112/FUL"/>
    <s v="NEW"/>
    <m/>
    <s v="23 Waldegrave Road_x000a_Teddington_x000a_TW11 8LA"/>
    <s v="Demolition of existing single storey side extension. New entrance gates and construction of new 2 storey detached building (Unit 2) and External alterations and extensions to existing buildings to facilitate the change of use of existing building to prov"/>
    <m/>
    <m/>
    <x v="2"/>
    <s v="Open Market"/>
    <n v="515852"/>
    <n v="171124"/>
    <m/>
    <n v="0"/>
    <n v="0"/>
    <n v="0"/>
    <n v="0"/>
    <m/>
    <m/>
    <m/>
    <n v="0"/>
    <m/>
    <n v="0"/>
    <n v="0"/>
    <n v="0"/>
    <n v="0"/>
    <m/>
    <m/>
    <m/>
    <n v="0"/>
    <m/>
    <n v="0"/>
    <n v="0"/>
    <n v="0"/>
    <n v="0"/>
    <n v="0"/>
    <n v="0"/>
    <n v="0"/>
    <n v="0"/>
    <m/>
    <n v="0"/>
    <n v="0"/>
    <n v="0"/>
    <n v="0"/>
    <n v="0"/>
    <n v="0"/>
    <n v="0"/>
    <n v="0"/>
    <n v="0"/>
    <n v="0"/>
    <n v="0"/>
    <n v="0"/>
    <n v="0"/>
    <s v="Teddington"/>
    <m/>
    <m/>
    <m/>
    <m/>
    <x v="0"/>
  </r>
  <r>
    <s v="18/2235/VRC"/>
    <s v="CHU"/>
    <m/>
    <s v="Jolly Coopers 16 High Street Hampton TW12 2SJ"/>
    <s v="Removal of Condition U35386 (Residential-Ancillary Accommodation) and vary condition U35387 (Mixed use A4/C1) of planning permission 17/2301/FUL to exclude the reference to the stable block."/>
    <m/>
    <m/>
    <x v="2"/>
    <s v="Open Market"/>
    <n v="514005"/>
    <n v="169556"/>
    <m/>
    <n v="0"/>
    <n v="0"/>
    <n v="1"/>
    <n v="0"/>
    <m/>
    <m/>
    <m/>
    <n v="1"/>
    <m/>
    <n v="0"/>
    <n v="1"/>
    <n v="0"/>
    <n v="0"/>
    <m/>
    <m/>
    <m/>
    <n v="1"/>
    <m/>
    <n v="0"/>
    <n v="1"/>
    <n v="-1"/>
    <n v="0"/>
    <n v="0"/>
    <n v="0"/>
    <n v="0"/>
    <n v="0"/>
    <m/>
    <n v="0"/>
    <n v="0"/>
    <n v="0"/>
    <n v="0"/>
    <n v="0"/>
    <n v="0"/>
    <n v="0"/>
    <n v="0"/>
    <n v="0"/>
    <n v="0"/>
    <n v="0"/>
    <n v="0"/>
    <n v="0"/>
    <s v="Hampton"/>
    <m/>
    <s v="Thames Street"/>
    <m/>
    <m/>
    <x v="0"/>
  </r>
  <r>
    <s v="18/2322/FUL"/>
    <s v="CHU"/>
    <m/>
    <s v="300 - 302 Sandycombe Road Richmond TW9 3NG"/>
    <s v="Demolition of existing single-storey rear lean-to extension and formation of new external patio and other external alterations to elevations.  Change of use of rear part of ground floor level from A1(retail) to C3 (residential) to faciliate its conversio"/>
    <m/>
    <m/>
    <x v="2"/>
    <s v="Open Market"/>
    <n v="519061"/>
    <n v="176662"/>
    <m/>
    <n v="0"/>
    <n v="0"/>
    <n v="0"/>
    <n v="0"/>
    <m/>
    <m/>
    <m/>
    <n v="0"/>
    <m/>
    <n v="0"/>
    <n v="1"/>
    <n v="0"/>
    <n v="0"/>
    <m/>
    <m/>
    <m/>
    <n v="1"/>
    <m/>
    <n v="0"/>
    <n v="1"/>
    <n v="0"/>
    <n v="0"/>
    <n v="0"/>
    <n v="0"/>
    <n v="0"/>
    <n v="1"/>
    <m/>
    <n v="0"/>
    <n v="0.25"/>
    <n v="0.25"/>
    <n v="0.25"/>
    <n v="0.25"/>
    <n v="0"/>
    <n v="0"/>
    <s v="Y"/>
    <n v="0"/>
    <n v="0"/>
    <n v="0"/>
    <n v="0"/>
    <n v="0"/>
    <s v="Kew"/>
    <m/>
    <m/>
    <m/>
    <m/>
    <x v="0"/>
  </r>
  <r>
    <s v="18/2328/GPD15"/>
    <s v="CHU"/>
    <s v="PA"/>
    <s v="4 Udney Park Road Teddington TW11 9BG"/>
    <s v="Change of use from B1 to C3 (1No. studio flat and 2No. one bed apartments)."/>
    <m/>
    <m/>
    <x v="2"/>
    <s v="Open Market"/>
    <n v="516288"/>
    <n v="171091"/>
    <m/>
    <n v="0"/>
    <n v="0"/>
    <n v="0"/>
    <n v="0"/>
    <m/>
    <m/>
    <m/>
    <n v="0"/>
    <n v="1"/>
    <n v="2"/>
    <n v="0"/>
    <n v="0"/>
    <n v="0"/>
    <m/>
    <m/>
    <m/>
    <n v="3"/>
    <n v="1"/>
    <n v="2"/>
    <n v="0"/>
    <n v="0"/>
    <n v="0"/>
    <n v="0"/>
    <n v="0"/>
    <n v="0"/>
    <n v="3"/>
    <m/>
    <n v="0"/>
    <n v="0.75"/>
    <n v="0.75"/>
    <n v="0.75"/>
    <n v="0.75"/>
    <n v="0"/>
    <n v="0"/>
    <s v="Y"/>
    <n v="0"/>
    <n v="0"/>
    <n v="0"/>
    <n v="0"/>
    <n v="0"/>
    <s v="Teddington"/>
    <m/>
    <m/>
    <s v="Teddington"/>
    <m/>
    <x v="0"/>
  </r>
  <r>
    <s v="18/2494/FUL"/>
    <s v="NEW"/>
    <m/>
    <s v="4 West Temple Sheen_x000a_East Sheen_x000a_London_x000a_SW14 7RT"/>
    <s v="Demolition of an existing dwelling and erection of 2no. two-storey three-bedroom dwelling houses with roof space accommodation  and associated landscaping. Replacement of front boundary wall. Removal of crossover and closure of vehicular access."/>
    <m/>
    <m/>
    <x v="2"/>
    <s v="Open Market"/>
    <n v="519884"/>
    <n v="175023"/>
    <m/>
    <n v="0"/>
    <n v="1"/>
    <n v="0"/>
    <n v="0"/>
    <m/>
    <m/>
    <m/>
    <n v="1"/>
    <m/>
    <n v="0"/>
    <n v="0"/>
    <n v="2"/>
    <n v="0"/>
    <m/>
    <m/>
    <m/>
    <n v="2"/>
    <m/>
    <n v="0"/>
    <n v="-1"/>
    <n v="2"/>
    <n v="0"/>
    <n v="0"/>
    <n v="0"/>
    <n v="0"/>
    <n v="1"/>
    <m/>
    <n v="0"/>
    <n v="0"/>
    <n v="0.33333333333333331"/>
    <n v="0.33333333333333331"/>
    <n v="0.33333333333333331"/>
    <n v="0"/>
    <n v="0"/>
    <s v="Y"/>
    <n v="0"/>
    <n v="0"/>
    <n v="0"/>
    <n v="0"/>
    <n v="0"/>
    <s v="East Sheen"/>
    <m/>
    <m/>
    <m/>
    <m/>
    <x v="1"/>
  </r>
  <r>
    <s v="18/2654/FUL"/>
    <s v="EXT"/>
    <m/>
    <s v="East Sheen Baptist Church _x000a_Temple Sheen Road_x000a_East Sheen_x000a_London_x000a_SW14 7PY"/>
    <s v="Erection of single-storey extension to front elevation of existing church hall building."/>
    <m/>
    <m/>
    <x v="2"/>
    <s v="Open Market"/>
    <n v="520162"/>
    <n v="175278"/>
    <m/>
    <n v="0"/>
    <n v="0"/>
    <n v="0"/>
    <n v="0"/>
    <m/>
    <m/>
    <m/>
    <n v="0"/>
    <m/>
    <n v="0"/>
    <n v="0"/>
    <n v="0"/>
    <n v="0"/>
    <m/>
    <m/>
    <m/>
    <n v="0"/>
    <m/>
    <n v="0"/>
    <n v="0"/>
    <n v="0"/>
    <n v="0"/>
    <n v="0"/>
    <n v="0"/>
    <n v="0"/>
    <n v="0"/>
    <m/>
    <n v="0"/>
    <n v="0"/>
    <n v="0"/>
    <n v="0"/>
    <n v="0"/>
    <n v="0"/>
    <n v="0"/>
    <n v="0"/>
    <n v="0"/>
    <n v="0"/>
    <n v="0"/>
    <n v="0"/>
    <n v="0"/>
    <s v="East Sheen"/>
    <m/>
    <m/>
    <s v="East Sheen"/>
    <m/>
    <x v="0"/>
  </r>
  <r>
    <s v="18/2716/GPD13"/>
    <s v="CHU"/>
    <s v="PA"/>
    <s v="561 - 563 Upper Richmond Road West_x000a_East Sheen_x000a_London_x000a_SW14 7ED"/>
    <s v="Change of use of premises from a A1 use to to C3 (residential use - 2 no studio flats and 1 x 1 bed flat with existing first floor flat above no. 561 to remain)"/>
    <m/>
    <m/>
    <x v="2"/>
    <s v="Open Market"/>
    <n v="519756"/>
    <n v="175319"/>
    <m/>
    <n v="0"/>
    <n v="0"/>
    <n v="0"/>
    <n v="0"/>
    <m/>
    <m/>
    <m/>
    <n v="0"/>
    <n v="2"/>
    <n v="1"/>
    <n v="0"/>
    <n v="0"/>
    <n v="0"/>
    <m/>
    <m/>
    <m/>
    <n v="3"/>
    <n v="2"/>
    <n v="1"/>
    <n v="0"/>
    <n v="0"/>
    <n v="0"/>
    <n v="0"/>
    <n v="0"/>
    <n v="0"/>
    <n v="3"/>
    <m/>
    <n v="0"/>
    <n v="0.75"/>
    <n v="0.75"/>
    <n v="0.75"/>
    <n v="0.75"/>
    <n v="0"/>
    <n v="0"/>
    <s v="Y"/>
    <n v="0"/>
    <n v="0"/>
    <n v="0"/>
    <n v="0"/>
    <n v="0"/>
    <s v="East Sheen"/>
    <m/>
    <m/>
    <m/>
    <m/>
    <x v="0"/>
  </r>
  <r>
    <s v="18/3195/GPD15"/>
    <s v="CHU"/>
    <s v="PA"/>
    <s v="75 Sheen Lane_x000a_East Sheen_x000a_London_x000a_SW14 8AD"/>
    <s v="Change of use of first and second floor B1(a) office accommodation to 1 x three bedroom C3 residential unit."/>
    <m/>
    <m/>
    <x v="2"/>
    <s v="Open Market"/>
    <n v="520495"/>
    <n v="175597"/>
    <m/>
    <n v="0"/>
    <n v="0"/>
    <n v="0"/>
    <n v="0"/>
    <m/>
    <m/>
    <m/>
    <n v="0"/>
    <m/>
    <n v="0"/>
    <n v="0"/>
    <n v="1"/>
    <n v="0"/>
    <m/>
    <m/>
    <m/>
    <n v="1"/>
    <m/>
    <n v="0"/>
    <n v="0"/>
    <n v="1"/>
    <n v="0"/>
    <n v="0"/>
    <n v="0"/>
    <n v="0"/>
    <n v="1"/>
    <m/>
    <n v="0"/>
    <n v="0.25"/>
    <n v="0.25"/>
    <n v="0.25"/>
    <n v="0.25"/>
    <n v="0"/>
    <n v="0"/>
    <s v="Y"/>
    <n v="0"/>
    <n v="0"/>
    <n v="0"/>
    <n v="0"/>
    <n v="0"/>
    <s v="East Sheen"/>
    <m/>
    <m/>
    <s v="East Sheen"/>
    <m/>
    <x v="0"/>
  </r>
  <r>
    <s v="18/3210/GPD15"/>
    <s v="CHU"/>
    <s v="PA"/>
    <s v="59 North Worple Way_x000a_Mortlake_x000a_London"/>
    <s v="Change use from B1a offices to C3 residential, as a 1 x 2 bedroom flat."/>
    <m/>
    <m/>
    <x v="2"/>
    <s v="Open Market"/>
    <n v="520890"/>
    <n v="175755"/>
    <m/>
    <n v="0"/>
    <n v="0"/>
    <n v="0"/>
    <n v="0"/>
    <m/>
    <m/>
    <m/>
    <n v="0"/>
    <m/>
    <n v="0"/>
    <n v="1"/>
    <n v="0"/>
    <n v="0"/>
    <m/>
    <m/>
    <m/>
    <n v="1"/>
    <m/>
    <n v="0"/>
    <n v="1"/>
    <n v="0"/>
    <n v="0"/>
    <n v="0"/>
    <n v="0"/>
    <n v="0"/>
    <n v="1"/>
    <m/>
    <n v="0"/>
    <n v="0.25"/>
    <n v="0.25"/>
    <n v="0.25"/>
    <n v="0.25"/>
    <n v="0"/>
    <n v="0"/>
    <s v="Y"/>
    <n v="0"/>
    <n v="0"/>
    <n v="0"/>
    <n v="0"/>
    <n v="0"/>
    <s v="Mortlake and Barnes Common"/>
    <m/>
    <m/>
    <m/>
    <m/>
    <x v="0"/>
  </r>
  <r>
    <s v="18/3285/FUL"/>
    <s v="NEW"/>
    <m/>
    <s v="74 Lowther Road_x000a_Barnes_x000a_London_x000a_SW13 9NU"/>
    <s v="Demolition of existing house and construction of a new 5 bed house with basement"/>
    <m/>
    <m/>
    <x v="2"/>
    <s v="Open Market"/>
    <n v="521978"/>
    <n v="177062"/>
    <m/>
    <n v="0"/>
    <n v="0"/>
    <n v="0"/>
    <n v="1"/>
    <m/>
    <m/>
    <m/>
    <n v="1"/>
    <m/>
    <n v="0"/>
    <n v="0"/>
    <n v="0"/>
    <n v="0"/>
    <n v="1"/>
    <m/>
    <m/>
    <n v="1"/>
    <m/>
    <n v="0"/>
    <n v="0"/>
    <n v="0"/>
    <n v="-1"/>
    <n v="1"/>
    <n v="0"/>
    <n v="0"/>
    <n v="0"/>
    <m/>
    <n v="0"/>
    <n v="0"/>
    <n v="0"/>
    <n v="0"/>
    <n v="0"/>
    <n v="0"/>
    <n v="0"/>
    <n v="0"/>
    <n v="0"/>
    <n v="0"/>
    <n v="0"/>
    <n v="0"/>
    <n v="0"/>
    <s v="Barnes"/>
    <m/>
    <m/>
    <m/>
    <m/>
    <x v="0"/>
  </r>
  <r>
    <s v="18/3460/FUL"/>
    <s v="CON"/>
    <m/>
    <s v="20A Red Lion Street_x000a_Richmond_x000a_TW9 1RW"/>
    <s v="Infill of internal void with new roof section over to facilitate conversion of existing three-bedroom dwelling (flat) above a retail unit to 2no. one-bed dwellings (flats) above retail unit."/>
    <m/>
    <m/>
    <x v="2"/>
    <s v="Open Market"/>
    <n v="517894"/>
    <n v="174757"/>
    <m/>
    <n v="0"/>
    <n v="0"/>
    <n v="1"/>
    <n v="0"/>
    <m/>
    <m/>
    <m/>
    <n v="1"/>
    <m/>
    <n v="2"/>
    <n v="0"/>
    <n v="0"/>
    <n v="0"/>
    <m/>
    <m/>
    <m/>
    <n v="2"/>
    <m/>
    <n v="2"/>
    <n v="0"/>
    <n v="-1"/>
    <n v="0"/>
    <n v="0"/>
    <n v="0"/>
    <n v="0"/>
    <n v="1"/>
    <m/>
    <n v="0"/>
    <n v="0.25"/>
    <n v="0.25"/>
    <n v="0.25"/>
    <n v="0.25"/>
    <n v="0"/>
    <n v="0"/>
    <s v="Y"/>
    <n v="0"/>
    <n v="0"/>
    <n v="0"/>
    <n v="0"/>
    <n v="0"/>
    <s v="South Richmond"/>
    <m/>
    <m/>
    <s v="Richmond"/>
    <m/>
    <x v="0"/>
  </r>
  <r>
    <s v="18/3515/FUL"/>
    <s v="CON"/>
    <m/>
    <s v="311 Upper Richmond Road West_x000a_East Sheen_x000a_London_x000a_SW14 8QR"/>
    <s v="Conversion of first and second floor flat and construction of rear dormer roof extension to provide 4no. (3 x 1B1P and 1 x 2B3P) residential dwellings and other alterations."/>
    <m/>
    <m/>
    <x v="2"/>
    <s v="Open Market"/>
    <n v="520700"/>
    <n v="175411"/>
    <m/>
    <n v="0"/>
    <n v="2"/>
    <n v="0"/>
    <n v="0"/>
    <m/>
    <m/>
    <m/>
    <n v="0"/>
    <m/>
    <n v="3"/>
    <n v="1"/>
    <n v="0"/>
    <n v="0"/>
    <m/>
    <m/>
    <m/>
    <n v="4"/>
    <m/>
    <n v="3"/>
    <n v="-1"/>
    <n v="0"/>
    <n v="0"/>
    <n v="0"/>
    <n v="0"/>
    <n v="0"/>
    <n v="4"/>
    <m/>
    <n v="0"/>
    <n v="1"/>
    <n v="1"/>
    <n v="1"/>
    <n v="1"/>
    <n v="0"/>
    <n v="0"/>
    <s v="Y"/>
    <n v="0"/>
    <n v="0"/>
    <n v="0"/>
    <n v="0"/>
    <n v="0"/>
    <s v="East Sheen"/>
    <m/>
    <m/>
    <s v="East Sheen"/>
    <m/>
    <x v="0"/>
  </r>
  <r>
    <s v="18/3613/GPD15"/>
    <s v="CHU"/>
    <s v="PA"/>
    <s v="108 Shacklegate Lane_x000a_Teddington_x000a_TW11 8SH"/>
    <s v="Change of use from office B1(a) to C3 (Resdiential) use to provide 1 x 1 bed dwellinghouse."/>
    <m/>
    <m/>
    <x v="2"/>
    <s v="Open Market"/>
    <n v="515394"/>
    <n v="171656"/>
    <m/>
    <n v="0"/>
    <n v="0"/>
    <n v="0"/>
    <n v="0"/>
    <m/>
    <m/>
    <m/>
    <n v="0"/>
    <m/>
    <n v="1"/>
    <n v="0"/>
    <n v="0"/>
    <n v="0"/>
    <m/>
    <m/>
    <m/>
    <n v="1"/>
    <m/>
    <n v="1"/>
    <n v="0"/>
    <n v="0"/>
    <n v="0"/>
    <n v="0"/>
    <n v="0"/>
    <n v="0"/>
    <n v="1"/>
    <m/>
    <n v="0"/>
    <n v="0.25"/>
    <n v="0.25"/>
    <n v="0.25"/>
    <n v="0.25"/>
    <n v="0"/>
    <n v="0"/>
    <s v="Y"/>
    <n v="0"/>
    <n v="0"/>
    <n v="0"/>
    <n v="0"/>
    <n v="0"/>
    <s v="Fulwell and Hampton Hill"/>
    <m/>
    <m/>
    <m/>
    <m/>
    <x v="0"/>
  </r>
  <r>
    <s v="18/3696/FUL"/>
    <s v="CHU"/>
    <m/>
    <s v="192 Heath Road_x000a_Twickenham_x000a_TW2 5TX"/>
    <s v="Change of use of existing A2 (Financial and professional services) to C3 (Residential) to create 1No. 1 bed flat; Fenestration alterations; Insertion of rooflights to single storey front projection and single storey side/rear extension."/>
    <m/>
    <m/>
    <x v="2"/>
    <s v="Open Market"/>
    <n v="515502"/>
    <n v="173093"/>
    <m/>
    <n v="0"/>
    <n v="0"/>
    <n v="0"/>
    <n v="0"/>
    <m/>
    <m/>
    <m/>
    <n v="0"/>
    <m/>
    <n v="1"/>
    <n v="0"/>
    <n v="0"/>
    <n v="0"/>
    <m/>
    <m/>
    <m/>
    <n v="1"/>
    <m/>
    <n v="1"/>
    <n v="0"/>
    <n v="0"/>
    <n v="0"/>
    <n v="0"/>
    <n v="0"/>
    <n v="0"/>
    <n v="1"/>
    <m/>
    <n v="0"/>
    <n v="0.25"/>
    <n v="0.25"/>
    <n v="0.25"/>
    <n v="0.25"/>
    <n v="0"/>
    <n v="0"/>
    <s v="Y"/>
    <n v="0"/>
    <n v="0"/>
    <n v="0"/>
    <n v="0"/>
    <n v="0"/>
    <s v="South Twickenham"/>
    <m/>
    <s v="Twickenham Green"/>
    <m/>
    <m/>
    <x v="0"/>
  </r>
  <r>
    <s v="18/3768/FUL"/>
    <s v="CHU"/>
    <m/>
    <s v="58 Oldfield Road Hampton TW12 2AE"/>
    <s v="Demolition of two existing workshop buildings. Change of use from current vacant B1 use to C3. Construction of 2No. semi-detached 5-bedroom family houses consisting of 2 storeys plus loft space with integral garaging.  Associated hard &amp; soft landscaping"/>
    <m/>
    <m/>
    <x v="2"/>
    <s v="Open Market"/>
    <n v="513264"/>
    <n v="169738"/>
    <m/>
    <n v="0"/>
    <n v="0"/>
    <n v="0"/>
    <n v="0"/>
    <m/>
    <m/>
    <m/>
    <n v="0"/>
    <m/>
    <n v="0"/>
    <n v="0"/>
    <n v="0"/>
    <n v="0"/>
    <n v="2"/>
    <m/>
    <m/>
    <n v="2"/>
    <m/>
    <n v="0"/>
    <n v="0"/>
    <n v="0"/>
    <n v="0"/>
    <n v="2"/>
    <n v="0"/>
    <n v="0"/>
    <n v="2"/>
    <m/>
    <n v="0"/>
    <n v="0.5"/>
    <n v="0.5"/>
    <n v="0.5"/>
    <n v="0.5"/>
    <n v="0"/>
    <n v="0"/>
    <s v="Y"/>
    <n v="0"/>
    <n v="0"/>
    <n v="0"/>
    <n v="0"/>
    <n v="0"/>
    <s v="Hampton"/>
    <m/>
    <m/>
    <m/>
    <m/>
    <x v="0"/>
  </r>
  <r>
    <s v="18/3815/GPD15"/>
    <s v="CHU"/>
    <s v="PA"/>
    <s v="42 - 42A High Street_x000a_Hampton Wick_x000a_Kingston Upon Thames_x000a_KT1 4DB"/>
    <s v="Change of use of two detached buildings and the associated curtilage from light industrial use (Class B1(c)) to residential use (Class C3) to provide 7 x 1 bedroom units and 1 x 2 bedroom unit."/>
    <m/>
    <m/>
    <x v="2"/>
    <s v="Open Market"/>
    <n v="517565"/>
    <n v="169582"/>
    <m/>
    <n v="0"/>
    <n v="0"/>
    <n v="0"/>
    <n v="0"/>
    <m/>
    <m/>
    <m/>
    <n v="0"/>
    <m/>
    <n v="7"/>
    <n v="1"/>
    <n v="0"/>
    <n v="0"/>
    <m/>
    <m/>
    <m/>
    <n v="8"/>
    <m/>
    <n v="7"/>
    <n v="1"/>
    <n v="0"/>
    <n v="0"/>
    <n v="0"/>
    <n v="0"/>
    <n v="0"/>
    <n v="8"/>
    <m/>
    <n v="0"/>
    <n v="2"/>
    <n v="2"/>
    <n v="2"/>
    <n v="2"/>
    <n v="0"/>
    <n v="0"/>
    <s v="Y"/>
    <n v="0"/>
    <n v="0"/>
    <n v="0"/>
    <n v="0"/>
    <n v="0"/>
    <s v="Hampton Wick"/>
    <m/>
    <s v="Hampton Wick"/>
    <m/>
    <m/>
    <x v="0"/>
  </r>
  <r>
    <s v="18/3952/FUL"/>
    <s v="NEW"/>
    <m/>
    <s v="45 Ormond Crescent_x000a_Hampton_x000a_TW12 2TJ"/>
    <s v="Replacement of existing dwelling with 1 no. 2 storey with accommodation in the roof (5B10P) dwellinghouse and new pedestrian gate."/>
    <m/>
    <m/>
    <x v="2"/>
    <s v="Open Market"/>
    <n v="513943"/>
    <n v="170016"/>
    <m/>
    <n v="0"/>
    <n v="0"/>
    <n v="0"/>
    <n v="0"/>
    <n v="1"/>
    <m/>
    <m/>
    <n v="1"/>
    <m/>
    <n v="0"/>
    <n v="0"/>
    <n v="0"/>
    <n v="0"/>
    <n v="1"/>
    <m/>
    <m/>
    <n v="1"/>
    <m/>
    <n v="0"/>
    <n v="0"/>
    <n v="0"/>
    <n v="0"/>
    <n v="0"/>
    <n v="0"/>
    <n v="0"/>
    <n v="0"/>
    <m/>
    <n v="0"/>
    <n v="0"/>
    <n v="0"/>
    <n v="0"/>
    <n v="0"/>
    <n v="0"/>
    <n v="0"/>
    <n v="0"/>
    <n v="0"/>
    <n v="0"/>
    <n v="0"/>
    <n v="0"/>
    <n v="0"/>
    <s v="Hampton"/>
    <m/>
    <m/>
    <m/>
    <m/>
    <x v="0"/>
  </r>
  <r>
    <s v="18/4125/FUL"/>
    <s v="CON"/>
    <m/>
    <s v="85 Connaught Road Teddington TW11 0QQ"/>
    <s v="Alterations and extensions to existing building comprising 1) single storey side/rear extension, 2) new gable roof extension, new window, pitched roof to existing two storey bay window and 1 rooflight to front elevation; 3) dormer roof extension to main"/>
    <m/>
    <m/>
    <x v="2"/>
    <s v="Open Market"/>
    <n v="514632"/>
    <n v="171370"/>
    <m/>
    <n v="0"/>
    <n v="1"/>
    <n v="0"/>
    <n v="1"/>
    <m/>
    <m/>
    <m/>
    <n v="0"/>
    <m/>
    <n v="2"/>
    <n v="1"/>
    <n v="1"/>
    <n v="0"/>
    <m/>
    <m/>
    <m/>
    <n v="4"/>
    <m/>
    <n v="2"/>
    <n v="0"/>
    <n v="1"/>
    <n v="-1"/>
    <n v="0"/>
    <n v="0"/>
    <n v="0"/>
    <n v="4"/>
    <m/>
    <n v="0"/>
    <n v="1"/>
    <n v="1"/>
    <n v="1"/>
    <n v="1"/>
    <n v="0"/>
    <n v="0"/>
    <s v="Y"/>
    <n v="0"/>
    <n v="0"/>
    <n v="0"/>
    <n v="0"/>
    <n v="0"/>
    <s v="Fulwell and Hampton Hill"/>
    <m/>
    <m/>
    <m/>
    <m/>
    <x v="0"/>
  </r>
  <r>
    <s v="19/0171/GPD15"/>
    <s v="CHU"/>
    <s v="PA"/>
    <s v="62 Glentham Road Barnes SW13 9JJ"/>
    <s v="Change of use from B1 (Offices) to C3(a) (Dwellings) (2 x 2 bed)."/>
    <m/>
    <m/>
    <x v="2"/>
    <s v="Open Market"/>
    <n v="522531"/>
    <n v="177884"/>
    <m/>
    <n v="0"/>
    <n v="0"/>
    <n v="0"/>
    <n v="0"/>
    <m/>
    <m/>
    <m/>
    <n v="0"/>
    <m/>
    <n v="0"/>
    <n v="2"/>
    <n v="0"/>
    <n v="0"/>
    <m/>
    <m/>
    <m/>
    <n v="2"/>
    <m/>
    <n v="0"/>
    <n v="2"/>
    <n v="0"/>
    <n v="0"/>
    <n v="0"/>
    <n v="0"/>
    <n v="0"/>
    <n v="2"/>
    <m/>
    <n v="0"/>
    <n v="0.5"/>
    <n v="0.5"/>
    <n v="0.5"/>
    <n v="0.5"/>
    <n v="0"/>
    <n v="0"/>
    <s v="Y"/>
    <n v="0"/>
    <n v="0"/>
    <n v="0"/>
    <n v="0"/>
    <n v="0"/>
    <s v="Barnes"/>
    <m/>
    <m/>
    <m/>
    <m/>
    <x v="0"/>
  </r>
  <r>
    <s v="19/0181/GPD15"/>
    <s v="CHU"/>
    <s v="PA"/>
    <s v="95 South Worple Way_x000a_East Sheen_x000a_London_x000a_SW14 8ND"/>
    <s v="Change of use from B1 (Offices) to C3(a) (Dwellings) (1 x 1 bed)."/>
    <m/>
    <m/>
    <x v="2"/>
    <s v="Open Market"/>
    <n v="520540"/>
    <n v="175748"/>
    <m/>
    <n v="0"/>
    <n v="0"/>
    <n v="0"/>
    <n v="0"/>
    <m/>
    <m/>
    <m/>
    <n v="0"/>
    <m/>
    <n v="1"/>
    <n v="0"/>
    <n v="0"/>
    <n v="0"/>
    <m/>
    <m/>
    <m/>
    <n v="1"/>
    <m/>
    <n v="1"/>
    <n v="0"/>
    <n v="0"/>
    <n v="0"/>
    <n v="0"/>
    <n v="0"/>
    <n v="0"/>
    <n v="1"/>
    <m/>
    <n v="0"/>
    <n v="0.25"/>
    <n v="0.25"/>
    <n v="0.25"/>
    <n v="0.25"/>
    <n v="0"/>
    <n v="0"/>
    <s v="Y"/>
    <n v="0"/>
    <n v="0"/>
    <n v="0"/>
    <n v="0"/>
    <n v="0"/>
    <s v="East Sheen"/>
    <m/>
    <m/>
    <s v="East Sheen"/>
    <m/>
    <x v="0"/>
  </r>
  <r>
    <s v="Local Plan SA 12"/>
    <m/>
    <s v="Identified Site 5 year"/>
    <s v="Mereway Day Centre, Mereway Road"/>
    <m/>
    <m/>
    <m/>
    <x v="3"/>
    <s v="Affordable"/>
    <m/>
    <m/>
    <n v="0"/>
    <n v="0"/>
    <n v="0"/>
    <n v="0"/>
    <n v="0"/>
    <n v="0"/>
    <n v="0"/>
    <n v="0"/>
    <n v="0"/>
    <n v="0"/>
    <n v="0"/>
    <n v="0"/>
    <n v="0"/>
    <n v="0"/>
    <n v="0"/>
    <n v="0"/>
    <n v="0"/>
    <n v="0"/>
    <n v="0"/>
    <n v="0"/>
    <n v="0"/>
    <n v="0"/>
    <n v="0"/>
    <n v="0"/>
    <n v="0"/>
    <n v="0"/>
    <n v="10"/>
    <m/>
    <n v="0"/>
    <n v="0"/>
    <n v="0"/>
    <n v="0"/>
    <n v="0"/>
    <n v="0"/>
    <n v="0"/>
    <n v="0"/>
    <n v="2"/>
    <n v="2"/>
    <n v="2"/>
    <n v="2"/>
    <n v="2"/>
    <s v="South Twickenham"/>
    <m/>
    <m/>
    <m/>
    <m/>
    <x v="0"/>
  </r>
  <r>
    <s v="Local Plan SA 12"/>
    <m/>
    <s v="Identified Site 5 year"/>
    <s v="Mereway Day Centre, Mereway Road"/>
    <m/>
    <m/>
    <m/>
    <x v="3"/>
    <s v="Open Market"/>
    <m/>
    <m/>
    <n v="0"/>
    <n v="0"/>
    <n v="0"/>
    <n v="0"/>
    <n v="0"/>
    <n v="0"/>
    <n v="0"/>
    <n v="0"/>
    <n v="0"/>
    <n v="0"/>
    <n v="0"/>
    <n v="0"/>
    <n v="0"/>
    <n v="0"/>
    <n v="0"/>
    <n v="0"/>
    <n v="0"/>
    <n v="0"/>
    <n v="0"/>
    <n v="0"/>
    <n v="0"/>
    <n v="0"/>
    <n v="0"/>
    <n v="0"/>
    <n v="0"/>
    <n v="0"/>
    <n v="10"/>
    <m/>
    <n v="0"/>
    <n v="0"/>
    <n v="0"/>
    <n v="0"/>
    <n v="0"/>
    <n v="0"/>
    <n v="0"/>
    <n v="0"/>
    <n v="2"/>
    <n v="2"/>
    <n v="2"/>
    <n v="2"/>
    <n v="2"/>
    <s v="South Twickenham"/>
    <m/>
    <m/>
    <m/>
    <m/>
    <x v="0"/>
  </r>
  <r>
    <s v="Local Plan SA 13"/>
    <m/>
    <s v="Identified Site 5 year"/>
    <s v="Telephone Exchange, Ashdale Road"/>
    <m/>
    <m/>
    <m/>
    <x v="3"/>
    <s v="Affordable"/>
    <m/>
    <m/>
    <n v="0"/>
    <n v="0"/>
    <n v="0"/>
    <n v="0"/>
    <n v="0"/>
    <n v="0"/>
    <n v="0"/>
    <n v="0"/>
    <n v="0"/>
    <n v="0"/>
    <n v="0"/>
    <n v="0"/>
    <n v="0"/>
    <n v="0"/>
    <n v="0"/>
    <n v="0"/>
    <n v="0"/>
    <n v="0"/>
    <n v="0"/>
    <n v="0"/>
    <n v="0"/>
    <n v="0"/>
    <n v="0"/>
    <n v="0"/>
    <n v="0"/>
    <n v="0"/>
    <n v="10"/>
    <m/>
    <n v="0"/>
    <n v="0"/>
    <n v="0"/>
    <n v="0"/>
    <n v="0"/>
    <n v="0"/>
    <n v="0"/>
    <n v="0"/>
    <n v="2"/>
    <n v="2"/>
    <n v="2"/>
    <n v="2"/>
    <n v="2"/>
    <s v="Whitton"/>
    <m/>
    <m/>
    <m/>
    <m/>
    <x v="0"/>
  </r>
  <r>
    <s v="Local Plan SA 13"/>
    <m/>
    <s v="Identified Site 5 year"/>
    <s v="Telephone Exchange, Ashdale Road"/>
    <m/>
    <m/>
    <m/>
    <x v="3"/>
    <s v="Open Market"/>
    <m/>
    <m/>
    <n v="0"/>
    <n v="0"/>
    <n v="0"/>
    <n v="0"/>
    <n v="0"/>
    <n v="0"/>
    <n v="0"/>
    <n v="0"/>
    <n v="0"/>
    <n v="0"/>
    <n v="0"/>
    <n v="0"/>
    <n v="0"/>
    <n v="0"/>
    <n v="0"/>
    <n v="0"/>
    <n v="0"/>
    <n v="0"/>
    <n v="0"/>
    <n v="0"/>
    <n v="0"/>
    <n v="0"/>
    <n v="0"/>
    <n v="0"/>
    <n v="0"/>
    <n v="0"/>
    <n v="10"/>
    <m/>
    <n v="0"/>
    <n v="0"/>
    <n v="0"/>
    <n v="0"/>
    <n v="0"/>
    <n v="0"/>
    <n v="0"/>
    <n v="0"/>
    <n v="2"/>
    <n v="2"/>
    <n v="2"/>
    <n v="2"/>
    <n v="2"/>
    <s v="Whitton"/>
    <m/>
    <m/>
    <m/>
    <m/>
    <x v="0"/>
  </r>
  <r>
    <s v="Local Plan SA 14"/>
    <m/>
    <s v="Identified Site 5 year"/>
    <s v="Kneller Hall, Whitton"/>
    <m/>
    <m/>
    <m/>
    <x v="3"/>
    <s v="Affordable"/>
    <m/>
    <m/>
    <n v="0"/>
    <n v="0"/>
    <n v="0"/>
    <n v="0"/>
    <n v="0"/>
    <n v="0"/>
    <n v="0"/>
    <n v="0"/>
    <n v="0"/>
    <n v="0"/>
    <n v="0"/>
    <n v="0"/>
    <n v="0"/>
    <n v="0"/>
    <n v="0"/>
    <n v="0"/>
    <n v="0"/>
    <n v="0"/>
    <n v="0"/>
    <n v="0"/>
    <n v="0"/>
    <n v="0"/>
    <n v="0"/>
    <n v="0"/>
    <n v="0"/>
    <n v="0"/>
    <n v="15"/>
    <m/>
    <n v="0"/>
    <n v="0"/>
    <n v="0"/>
    <n v="0"/>
    <n v="0"/>
    <n v="0"/>
    <n v="0"/>
    <n v="0"/>
    <n v="3"/>
    <n v="3"/>
    <n v="3"/>
    <n v="3"/>
    <n v="3"/>
    <s v="Whitton"/>
    <m/>
    <m/>
    <m/>
    <m/>
    <x v="0"/>
  </r>
  <r>
    <s v="Local Plan SA 14"/>
    <m/>
    <s v="Identified Site 5 year"/>
    <s v="Kneller Hall, Whitton"/>
    <m/>
    <m/>
    <m/>
    <x v="3"/>
    <s v="Open Market"/>
    <m/>
    <m/>
    <n v="0"/>
    <n v="0"/>
    <n v="0"/>
    <n v="0"/>
    <n v="0"/>
    <n v="0"/>
    <n v="0"/>
    <n v="0"/>
    <n v="0"/>
    <n v="0"/>
    <n v="0"/>
    <n v="0"/>
    <n v="0"/>
    <n v="0"/>
    <n v="0"/>
    <n v="0"/>
    <n v="0"/>
    <n v="0"/>
    <n v="0"/>
    <n v="0"/>
    <n v="0"/>
    <n v="0"/>
    <n v="0"/>
    <n v="0"/>
    <n v="0"/>
    <n v="0"/>
    <n v="15"/>
    <m/>
    <n v="0"/>
    <n v="0"/>
    <n v="0"/>
    <n v="0"/>
    <n v="0"/>
    <n v="0"/>
    <n v="0"/>
    <n v="0"/>
    <n v="3"/>
    <n v="3"/>
    <n v="3"/>
    <n v="3"/>
    <n v="3"/>
    <s v="Whitton"/>
    <m/>
    <m/>
    <m/>
    <m/>
    <x v="0"/>
  </r>
  <r>
    <s v="Local Plan SA 15"/>
    <m/>
    <s v="Identified Site 5 year"/>
    <s v="Ham Central Area"/>
    <m/>
    <m/>
    <m/>
    <x v="3"/>
    <s v="Affordable"/>
    <m/>
    <m/>
    <n v="0"/>
    <n v="0"/>
    <n v="0"/>
    <n v="0"/>
    <n v="0"/>
    <n v="0"/>
    <n v="0"/>
    <n v="0"/>
    <n v="0"/>
    <n v="0"/>
    <n v="0"/>
    <n v="0"/>
    <n v="0"/>
    <n v="0"/>
    <n v="0"/>
    <n v="0"/>
    <n v="0"/>
    <n v="0"/>
    <n v="0"/>
    <n v="0"/>
    <n v="0"/>
    <n v="0"/>
    <n v="0"/>
    <n v="0"/>
    <n v="0"/>
    <n v="0"/>
    <n v="80"/>
    <m/>
    <n v="0"/>
    <n v="0"/>
    <n v="0"/>
    <n v="0"/>
    <n v="20"/>
    <n v="20"/>
    <n v="20"/>
    <s v="Y"/>
    <n v="20"/>
    <n v="0"/>
    <n v="0"/>
    <n v="0"/>
    <n v="0"/>
    <s v="Ham, Petersham and Richmond Riverside"/>
    <m/>
    <m/>
    <m/>
    <m/>
    <x v="0"/>
  </r>
  <r>
    <s v="Local Plan SA 15"/>
    <m/>
    <s v="Identified Site 5 year"/>
    <s v="Ham Central Area"/>
    <m/>
    <m/>
    <m/>
    <x v="3"/>
    <s v="Open Market"/>
    <m/>
    <m/>
    <n v="0"/>
    <n v="0"/>
    <n v="0"/>
    <n v="0"/>
    <n v="0"/>
    <n v="0"/>
    <n v="0"/>
    <n v="0"/>
    <n v="0"/>
    <n v="0"/>
    <n v="0"/>
    <n v="0"/>
    <n v="0"/>
    <n v="0"/>
    <n v="0"/>
    <n v="0"/>
    <n v="0"/>
    <n v="0"/>
    <n v="0"/>
    <n v="0"/>
    <n v="0"/>
    <n v="0"/>
    <n v="0"/>
    <n v="0"/>
    <n v="0"/>
    <n v="0"/>
    <n v="160"/>
    <m/>
    <n v="0"/>
    <n v="0"/>
    <n v="0"/>
    <n v="0"/>
    <n v="40"/>
    <n v="40"/>
    <n v="40"/>
    <s v="Y"/>
    <n v="40"/>
    <n v="0"/>
    <n v="0"/>
    <n v="0"/>
    <n v="0"/>
    <s v="Ham, Petersham and Richmond Riverside"/>
    <m/>
    <m/>
    <m/>
    <m/>
    <x v="0"/>
  </r>
  <r>
    <s v="Local Plan SA 16"/>
    <m/>
    <s v="Identified Site 5 year"/>
    <s v="Cassel Hospital, Ham Common, Ham"/>
    <m/>
    <m/>
    <m/>
    <x v="3"/>
    <s v="Affordable"/>
    <m/>
    <m/>
    <n v="0"/>
    <n v="0"/>
    <n v="0"/>
    <n v="0"/>
    <n v="0"/>
    <n v="0"/>
    <n v="0"/>
    <n v="0"/>
    <n v="0"/>
    <n v="0"/>
    <n v="0"/>
    <n v="0"/>
    <n v="0"/>
    <n v="0"/>
    <n v="0"/>
    <n v="0"/>
    <n v="0"/>
    <n v="0"/>
    <n v="0"/>
    <n v="0"/>
    <n v="0"/>
    <n v="0"/>
    <n v="0"/>
    <n v="0"/>
    <n v="0"/>
    <n v="0"/>
    <n v="10"/>
    <m/>
    <n v="0"/>
    <n v="0"/>
    <n v="0"/>
    <n v="0"/>
    <n v="0"/>
    <n v="0"/>
    <n v="0"/>
    <n v="0"/>
    <n v="2"/>
    <n v="2"/>
    <n v="2"/>
    <n v="2"/>
    <n v="2"/>
    <s v="Ham, Petersham and Richmond Riverside"/>
    <m/>
    <m/>
    <m/>
    <m/>
    <x v="0"/>
  </r>
  <r>
    <s v="Local Plan SA 16"/>
    <m/>
    <s v="Identified Site 5 year"/>
    <s v="Cassel Hospital, Ham Common, Ham"/>
    <m/>
    <m/>
    <m/>
    <x v="3"/>
    <s v="Open Market"/>
    <m/>
    <m/>
    <n v="0"/>
    <n v="0"/>
    <n v="0"/>
    <n v="0"/>
    <n v="0"/>
    <n v="0"/>
    <n v="0"/>
    <n v="0"/>
    <n v="0"/>
    <n v="0"/>
    <n v="0"/>
    <n v="0"/>
    <n v="0"/>
    <n v="0"/>
    <n v="0"/>
    <n v="0"/>
    <n v="0"/>
    <n v="0"/>
    <n v="0"/>
    <n v="0"/>
    <n v="0"/>
    <n v="0"/>
    <n v="0"/>
    <n v="0"/>
    <n v="0"/>
    <n v="0"/>
    <n v="10"/>
    <m/>
    <n v="0"/>
    <n v="0"/>
    <n v="0"/>
    <n v="0"/>
    <n v="0"/>
    <n v="0"/>
    <n v="0"/>
    <n v="0"/>
    <n v="2"/>
    <n v="2"/>
    <n v="2"/>
    <n v="2"/>
    <n v="2"/>
    <s v="Ham, Petersham and Richmond Riverside"/>
    <m/>
    <m/>
    <m/>
    <m/>
    <x v="0"/>
  </r>
  <r>
    <s v="Local Plan SA 19"/>
    <m/>
    <s v="Identified Site 5 year"/>
    <s v="Richmond Station and above track, The Quadrant"/>
    <m/>
    <m/>
    <m/>
    <x v="3"/>
    <s v="Affordable"/>
    <m/>
    <m/>
    <n v="0"/>
    <n v="0"/>
    <n v="0"/>
    <n v="0"/>
    <n v="0"/>
    <n v="0"/>
    <n v="0"/>
    <n v="0"/>
    <n v="0"/>
    <n v="0"/>
    <n v="0"/>
    <n v="0"/>
    <n v="0"/>
    <n v="0"/>
    <n v="0"/>
    <n v="0"/>
    <n v="0"/>
    <n v="0"/>
    <n v="0"/>
    <n v="0"/>
    <n v="0"/>
    <n v="0"/>
    <n v="0"/>
    <n v="0"/>
    <n v="0"/>
    <n v="0"/>
    <n v="10"/>
    <m/>
    <n v="0"/>
    <n v="0"/>
    <n v="0"/>
    <n v="0"/>
    <n v="0"/>
    <n v="0"/>
    <n v="0"/>
    <n v="0"/>
    <n v="2"/>
    <n v="2"/>
    <n v="2"/>
    <n v="2"/>
    <n v="2"/>
    <s v="South Richmond"/>
    <m/>
    <m/>
    <m/>
    <m/>
    <x v="0"/>
  </r>
  <r>
    <s v="Local Plan SA 19"/>
    <m/>
    <s v="Identified Site 5 year"/>
    <s v="Richmond Station and above track, The Quadrant"/>
    <m/>
    <m/>
    <m/>
    <x v="3"/>
    <s v="Open Market"/>
    <m/>
    <m/>
    <n v="0"/>
    <n v="0"/>
    <n v="0"/>
    <n v="0"/>
    <n v="0"/>
    <n v="0"/>
    <n v="0"/>
    <n v="0"/>
    <n v="0"/>
    <n v="0"/>
    <n v="0"/>
    <n v="0"/>
    <n v="0"/>
    <n v="0"/>
    <n v="0"/>
    <n v="0"/>
    <n v="0"/>
    <n v="0"/>
    <n v="0"/>
    <n v="0"/>
    <n v="0"/>
    <n v="0"/>
    <n v="0"/>
    <n v="0"/>
    <n v="0"/>
    <n v="0"/>
    <n v="10"/>
    <m/>
    <n v="0"/>
    <n v="0"/>
    <n v="0"/>
    <n v="0"/>
    <n v="0"/>
    <n v="0"/>
    <n v="0"/>
    <n v="0"/>
    <n v="2"/>
    <n v="2"/>
    <n v="2"/>
    <n v="2"/>
    <n v="2"/>
    <s v="South Richmond"/>
    <m/>
    <m/>
    <m/>
    <m/>
    <x v="0"/>
  </r>
  <r>
    <s v="Local Plan SA 2"/>
    <m/>
    <s v="Identified Site 5 year"/>
    <s v="Platts Eyot"/>
    <m/>
    <m/>
    <m/>
    <x v="3"/>
    <s v="Open Market"/>
    <m/>
    <m/>
    <n v="0"/>
    <n v="0"/>
    <n v="0"/>
    <n v="0"/>
    <n v="0"/>
    <n v="0"/>
    <n v="0"/>
    <n v="0"/>
    <n v="0"/>
    <n v="0"/>
    <n v="0"/>
    <n v="0"/>
    <n v="0"/>
    <n v="0"/>
    <n v="0"/>
    <n v="0"/>
    <n v="0"/>
    <n v="0"/>
    <n v="0"/>
    <n v="0"/>
    <n v="0"/>
    <n v="0"/>
    <n v="0"/>
    <n v="0"/>
    <n v="0"/>
    <n v="0"/>
    <n v="20"/>
    <m/>
    <n v="0"/>
    <n v="0"/>
    <n v="0"/>
    <n v="0"/>
    <n v="0"/>
    <n v="0"/>
    <n v="0"/>
    <n v="0"/>
    <n v="4"/>
    <n v="4"/>
    <n v="4"/>
    <n v="4"/>
    <n v="4"/>
    <s v="Hampton North"/>
    <m/>
    <m/>
    <m/>
    <m/>
    <x v="0"/>
  </r>
  <r>
    <s v="Local Plan SA 20"/>
    <m/>
    <s v="Identified Site 5 year"/>
    <s v="Friars Lane Car Park"/>
    <m/>
    <m/>
    <m/>
    <x v="3"/>
    <s v="Affordable"/>
    <m/>
    <m/>
    <n v="0"/>
    <n v="0"/>
    <n v="0"/>
    <n v="0"/>
    <n v="0"/>
    <n v="0"/>
    <n v="0"/>
    <n v="0"/>
    <n v="0"/>
    <n v="0"/>
    <n v="0"/>
    <n v="0"/>
    <n v="0"/>
    <n v="0"/>
    <n v="0"/>
    <n v="0"/>
    <n v="0"/>
    <n v="0"/>
    <n v="0"/>
    <n v="0"/>
    <n v="0"/>
    <n v="0"/>
    <n v="0"/>
    <n v="0"/>
    <n v="0"/>
    <n v="0"/>
    <n v="10"/>
    <m/>
    <n v="0"/>
    <n v="0"/>
    <n v="0"/>
    <n v="0"/>
    <n v="0"/>
    <n v="0"/>
    <n v="0"/>
    <n v="0"/>
    <n v="2"/>
    <n v="2"/>
    <n v="2"/>
    <n v="2"/>
    <n v="2"/>
    <s v="South Richmond"/>
    <m/>
    <m/>
    <m/>
    <m/>
    <x v="0"/>
  </r>
  <r>
    <s v="Local Plan SA 20"/>
    <m/>
    <s v="Identified Site 5 year"/>
    <s v="Friars Lane Car Park"/>
    <m/>
    <m/>
    <m/>
    <x v="3"/>
    <s v="Open Market"/>
    <m/>
    <m/>
    <n v="0"/>
    <n v="0"/>
    <n v="0"/>
    <n v="0"/>
    <n v="0"/>
    <n v="0"/>
    <n v="0"/>
    <n v="0"/>
    <n v="0"/>
    <n v="0"/>
    <n v="0"/>
    <n v="0"/>
    <n v="0"/>
    <n v="0"/>
    <n v="0"/>
    <n v="0"/>
    <n v="0"/>
    <n v="0"/>
    <n v="0"/>
    <n v="0"/>
    <n v="0"/>
    <n v="0"/>
    <n v="0"/>
    <n v="0"/>
    <n v="0"/>
    <n v="0"/>
    <n v="10"/>
    <m/>
    <n v="0"/>
    <n v="0"/>
    <n v="0"/>
    <n v="0"/>
    <n v="0"/>
    <n v="0"/>
    <n v="0"/>
    <n v="0"/>
    <n v="2"/>
    <n v="2"/>
    <n v="2"/>
    <n v="2"/>
    <n v="2"/>
    <s v="South Richmond"/>
    <m/>
    <m/>
    <m/>
    <m/>
    <x v="0"/>
  </r>
  <r>
    <s v="Local Plan SA 24"/>
    <m/>
    <s v="Identified Site 5 year"/>
    <s v="Budweiser Stag Brewery, Mortlake"/>
    <m/>
    <m/>
    <m/>
    <x v="3"/>
    <s v="Affordable"/>
    <m/>
    <m/>
    <n v="0"/>
    <n v="0"/>
    <n v="0"/>
    <n v="0"/>
    <n v="0"/>
    <n v="0"/>
    <n v="0"/>
    <n v="0"/>
    <n v="0"/>
    <n v="0"/>
    <n v="0"/>
    <n v="0"/>
    <n v="0"/>
    <n v="0"/>
    <n v="0"/>
    <n v="0"/>
    <n v="0"/>
    <n v="0"/>
    <n v="0"/>
    <n v="0"/>
    <n v="0"/>
    <n v="0"/>
    <n v="0"/>
    <n v="0"/>
    <n v="0"/>
    <n v="0"/>
    <n v="350"/>
    <m/>
    <n v="0"/>
    <n v="0"/>
    <n v="0"/>
    <n v="0"/>
    <n v="0"/>
    <n v="75"/>
    <n v="75"/>
    <s v="Y"/>
    <n v="40"/>
    <n v="40"/>
    <n v="40"/>
    <n v="40"/>
    <n v="40"/>
    <s v="Mortlake and Barnes Common"/>
    <m/>
    <m/>
    <m/>
    <m/>
    <x v="0"/>
  </r>
  <r>
    <s v="Local Plan SA 24"/>
    <m/>
    <s v="Identified Site 5 year"/>
    <s v="Budweiser Stag Brewery, Mortlake"/>
    <m/>
    <m/>
    <m/>
    <x v="3"/>
    <s v="Open Market"/>
    <m/>
    <m/>
    <n v="0"/>
    <n v="0"/>
    <n v="0"/>
    <n v="0"/>
    <n v="0"/>
    <n v="0"/>
    <n v="0"/>
    <n v="0"/>
    <n v="0"/>
    <n v="0"/>
    <n v="0"/>
    <n v="0"/>
    <n v="0"/>
    <n v="0"/>
    <n v="0"/>
    <n v="0"/>
    <n v="0"/>
    <n v="0"/>
    <n v="0"/>
    <n v="0"/>
    <n v="0"/>
    <n v="0"/>
    <n v="0"/>
    <n v="0"/>
    <n v="0"/>
    <n v="0"/>
    <n v="350"/>
    <m/>
    <n v="0"/>
    <n v="0"/>
    <n v="0"/>
    <n v="0"/>
    <n v="0"/>
    <n v="75"/>
    <n v="75"/>
    <s v="Y"/>
    <n v="40"/>
    <n v="40"/>
    <n v="40"/>
    <n v="40"/>
    <n v="40"/>
    <s v="Mortlake and Barnes Common"/>
    <m/>
    <m/>
    <m/>
    <m/>
    <x v="0"/>
  </r>
  <r>
    <s v="Local Plan SA 25"/>
    <m/>
    <s v="Identified Site 5 year"/>
    <s v="Mortlake And Barnes Delivery Office, 2-12 Mortlake High Street, Mortlake"/>
    <m/>
    <m/>
    <m/>
    <x v="3"/>
    <s v="Affordable"/>
    <m/>
    <m/>
    <n v="0"/>
    <n v="0"/>
    <n v="0"/>
    <n v="0"/>
    <n v="0"/>
    <n v="0"/>
    <n v="0"/>
    <n v="0"/>
    <n v="0"/>
    <n v="0"/>
    <n v="0"/>
    <n v="0"/>
    <n v="0"/>
    <n v="0"/>
    <n v="0"/>
    <n v="0"/>
    <n v="0"/>
    <n v="0"/>
    <n v="0"/>
    <n v="0"/>
    <n v="0"/>
    <n v="0"/>
    <n v="0"/>
    <n v="0"/>
    <n v="0"/>
    <n v="0"/>
    <n v="5"/>
    <m/>
    <n v="0"/>
    <n v="0"/>
    <n v="0"/>
    <n v="0"/>
    <n v="0"/>
    <n v="0"/>
    <n v="0"/>
    <n v="0"/>
    <n v="1"/>
    <n v="1"/>
    <n v="1"/>
    <n v="1"/>
    <n v="1"/>
    <s v="Mortlake and Barnes Common"/>
    <m/>
    <m/>
    <m/>
    <m/>
    <x v="0"/>
  </r>
  <r>
    <s v="Local Plan SA 25"/>
    <m/>
    <s v="Identified Site 5 year"/>
    <s v="Mortlake And Barnes Delivery Office, 2-12 Mortlake High Street, Mortlake"/>
    <m/>
    <m/>
    <m/>
    <x v="3"/>
    <s v="Open Market"/>
    <m/>
    <m/>
    <n v="0"/>
    <n v="0"/>
    <n v="0"/>
    <n v="0"/>
    <n v="0"/>
    <n v="0"/>
    <n v="0"/>
    <n v="0"/>
    <n v="0"/>
    <n v="0"/>
    <n v="0"/>
    <n v="0"/>
    <n v="0"/>
    <n v="0"/>
    <n v="0"/>
    <n v="0"/>
    <n v="0"/>
    <n v="0"/>
    <n v="0"/>
    <n v="0"/>
    <n v="0"/>
    <n v="0"/>
    <n v="0"/>
    <n v="0"/>
    <n v="0"/>
    <n v="0"/>
    <n v="5"/>
    <m/>
    <n v="0"/>
    <n v="0"/>
    <n v="0"/>
    <n v="0"/>
    <n v="0"/>
    <n v="0"/>
    <n v="0"/>
    <n v="0"/>
    <n v="1"/>
    <n v="1"/>
    <n v="1"/>
    <n v="1"/>
    <n v="1"/>
    <s v="Mortlake and Barnes Common"/>
    <m/>
    <m/>
    <m/>
    <m/>
    <x v="0"/>
  </r>
  <r>
    <s v="Local Plan SA 26"/>
    <m/>
    <s v="Identified Site 5 year"/>
    <s v="Kew Biothane Plant, Mellis Avenue"/>
    <m/>
    <m/>
    <m/>
    <x v="3"/>
    <s v="Affordable"/>
    <m/>
    <m/>
    <n v="0"/>
    <n v="0"/>
    <n v="0"/>
    <n v="0"/>
    <n v="0"/>
    <n v="0"/>
    <n v="0"/>
    <n v="0"/>
    <n v="0"/>
    <n v="0"/>
    <n v="0"/>
    <n v="0"/>
    <n v="0"/>
    <n v="0"/>
    <n v="0"/>
    <n v="0"/>
    <n v="0"/>
    <n v="0"/>
    <n v="0"/>
    <n v="0"/>
    <n v="0"/>
    <n v="0"/>
    <n v="0"/>
    <n v="0"/>
    <n v="0"/>
    <n v="0"/>
    <n v="10"/>
    <m/>
    <n v="0"/>
    <n v="0"/>
    <n v="0"/>
    <n v="0"/>
    <n v="0"/>
    <n v="0"/>
    <n v="0"/>
    <n v="0"/>
    <n v="2"/>
    <n v="2"/>
    <n v="2"/>
    <n v="2"/>
    <n v="2"/>
    <s v="Kew"/>
    <m/>
    <m/>
    <m/>
    <m/>
    <x v="0"/>
  </r>
  <r>
    <s v="Local Plan SA 26"/>
    <m/>
    <s v="Identified Site 5 year"/>
    <s v="Kew Biothane Plant, Mellis Avenue"/>
    <m/>
    <m/>
    <m/>
    <x v="3"/>
    <s v="Open Market"/>
    <m/>
    <m/>
    <n v="0"/>
    <n v="0"/>
    <n v="0"/>
    <n v="0"/>
    <n v="0"/>
    <n v="0"/>
    <n v="0"/>
    <n v="0"/>
    <n v="0"/>
    <n v="0"/>
    <n v="0"/>
    <n v="0"/>
    <n v="0"/>
    <n v="0"/>
    <n v="0"/>
    <n v="0"/>
    <n v="0"/>
    <n v="0"/>
    <n v="0"/>
    <n v="0"/>
    <n v="0"/>
    <n v="0"/>
    <n v="0"/>
    <n v="0"/>
    <n v="0"/>
    <n v="0"/>
    <n v="10"/>
    <m/>
    <n v="0"/>
    <n v="0"/>
    <n v="0"/>
    <n v="0"/>
    <n v="0"/>
    <n v="0"/>
    <n v="0"/>
    <n v="0"/>
    <n v="2"/>
    <n v="2"/>
    <n v="2"/>
    <n v="2"/>
    <n v="2"/>
    <s v="Kew"/>
    <m/>
    <m/>
    <m/>
    <m/>
    <x v="0"/>
  </r>
  <r>
    <s v="Local Plan SA 27"/>
    <m/>
    <s v="Identified Site 5 year"/>
    <s v="Telephone Exchange, Upper Richmond Road, East Sheen"/>
    <m/>
    <m/>
    <m/>
    <x v="3"/>
    <s v="Affordable"/>
    <m/>
    <m/>
    <n v="0"/>
    <n v="0"/>
    <n v="0"/>
    <n v="0"/>
    <n v="0"/>
    <n v="0"/>
    <n v="0"/>
    <n v="0"/>
    <n v="0"/>
    <n v="0"/>
    <n v="0"/>
    <n v="0"/>
    <n v="0"/>
    <n v="0"/>
    <n v="0"/>
    <n v="0"/>
    <n v="0"/>
    <n v="0"/>
    <n v="0"/>
    <n v="0"/>
    <n v="0"/>
    <n v="0"/>
    <n v="0"/>
    <n v="0"/>
    <n v="0"/>
    <n v="0"/>
    <n v="5"/>
    <m/>
    <n v="0"/>
    <n v="0"/>
    <n v="0"/>
    <n v="0"/>
    <n v="0"/>
    <n v="0"/>
    <n v="0"/>
    <n v="0"/>
    <n v="1"/>
    <n v="1"/>
    <n v="1"/>
    <n v="1"/>
    <n v="1"/>
    <s v="East Sheen"/>
    <m/>
    <m/>
    <m/>
    <m/>
    <x v="0"/>
  </r>
  <r>
    <s v="Local Plan SA 27"/>
    <m/>
    <s v="Identified Site 5 year"/>
    <s v="Telephone Exchange, Upper Richmond Road, East Sheen"/>
    <m/>
    <m/>
    <m/>
    <x v="3"/>
    <s v="Open Market"/>
    <m/>
    <m/>
    <n v="0"/>
    <n v="0"/>
    <n v="0"/>
    <n v="0"/>
    <n v="0"/>
    <n v="0"/>
    <n v="0"/>
    <n v="0"/>
    <n v="0"/>
    <n v="0"/>
    <n v="0"/>
    <n v="0"/>
    <n v="0"/>
    <n v="0"/>
    <n v="0"/>
    <n v="0"/>
    <n v="0"/>
    <n v="0"/>
    <n v="0"/>
    <n v="0"/>
    <n v="0"/>
    <n v="0"/>
    <n v="0"/>
    <n v="0"/>
    <n v="0"/>
    <n v="0"/>
    <n v="5"/>
    <m/>
    <n v="0"/>
    <n v="0"/>
    <n v="0"/>
    <n v="0"/>
    <n v="0"/>
    <n v="0"/>
    <n v="0"/>
    <n v="0"/>
    <n v="1"/>
    <n v="1"/>
    <n v="1"/>
    <n v="1"/>
    <n v="1"/>
    <s v="East Sheen"/>
    <m/>
    <m/>
    <m/>
    <m/>
    <x v="0"/>
  </r>
  <r>
    <s v="Local Plan SA 28"/>
    <m/>
    <s v="Identified Site 5 year"/>
    <s v="Barnes Hospital"/>
    <m/>
    <m/>
    <m/>
    <x v="3"/>
    <s v="Affordable"/>
    <m/>
    <m/>
    <n v="0"/>
    <n v="0"/>
    <n v="0"/>
    <n v="0"/>
    <n v="0"/>
    <n v="0"/>
    <n v="0"/>
    <n v="0"/>
    <n v="0"/>
    <n v="0"/>
    <n v="0"/>
    <n v="0"/>
    <n v="0"/>
    <n v="0"/>
    <n v="0"/>
    <n v="0"/>
    <n v="0"/>
    <n v="0"/>
    <n v="0"/>
    <n v="0"/>
    <n v="0"/>
    <n v="0"/>
    <n v="0"/>
    <n v="0"/>
    <n v="0"/>
    <n v="0"/>
    <n v="65"/>
    <m/>
    <n v="0"/>
    <n v="0"/>
    <n v="13"/>
    <n v="13"/>
    <n v="13"/>
    <n v="13"/>
    <n v="13"/>
    <s v="Y"/>
    <n v="0"/>
    <n v="0"/>
    <n v="0"/>
    <n v="0"/>
    <n v="0"/>
    <s v="Mortlake and Barnes Common"/>
    <m/>
    <m/>
    <m/>
    <m/>
    <x v="0"/>
  </r>
  <r>
    <s v="Local Plan SA 28"/>
    <m/>
    <s v="Identified Site 5 year"/>
    <s v="Barnes Hospital"/>
    <m/>
    <m/>
    <m/>
    <x v="3"/>
    <s v="Open Market"/>
    <m/>
    <m/>
    <n v="0"/>
    <n v="0"/>
    <n v="0"/>
    <n v="0"/>
    <n v="0"/>
    <n v="0"/>
    <n v="0"/>
    <n v="0"/>
    <n v="0"/>
    <n v="0"/>
    <n v="0"/>
    <n v="0"/>
    <n v="0"/>
    <n v="0"/>
    <n v="0"/>
    <n v="0"/>
    <n v="0"/>
    <n v="0"/>
    <n v="0"/>
    <n v="0"/>
    <n v="0"/>
    <n v="0"/>
    <n v="0"/>
    <n v="0"/>
    <n v="0"/>
    <n v="0"/>
    <n v="18"/>
    <m/>
    <n v="0"/>
    <n v="0"/>
    <n v="3.6"/>
    <n v="3.6"/>
    <n v="3.6"/>
    <n v="3.6"/>
    <n v="3.6"/>
    <s v="Y"/>
    <n v="0"/>
    <n v="0"/>
    <n v="0"/>
    <n v="0"/>
    <n v="0"/>
    <s v="Mortlake and Barnes Common"/>
    <m/>
    <m/>
    <m/>
    <m/>
    <x v="0"/>
  </r>
  <r>
    <s v="Local Plan SA 4"/>
    <m/>
    <s v="Identified Site 5 year"/>
    <s v="Hampton Delivery Office, Rosehill, Hampton"/>
    <m/>
    <m/>
    <m/>
    <x v="3"/>
    <s v="Affordable"/>
    <m/>
    <m/>
    <n v="0"/>
    <n v="0"/>
    <n v="0"/>
    <n v="0"/>
    <n v="0"/>
    <n v="0"/>
    <n v="0"/>
    <n v="0"/>
    <n v="0"/>
    <n v="0"/>
    <n v="0"/>
    <n v="0"/>
    <n v="0"/>
    <n v="0"/>
    <n v="0"/>
    <n v="0"/>
    <n v="0"/>
    <n v="0"/>
    <n v="0"/>
    <n v="0"/>
    <n v="0"/>
    <n v="0"/>
    <n v="0"/>
    <n v="0"/>
    <n v="0"/>
    <n v="0"/>
    <n v="5"/>
    <m/>
    <n v="0"/>
    <n v="0"/>
    <n v="0"/>
    <n v="0"/>
    <n v="0"/>
    <n v="0"/>
    <n v="0"/>
    <n v="0"/>
    <n v="1"/>
    <n v="1"/>
    <n v="1"/>
    <n v="1"/>
    <n v="1"/>
    <s v="Hampton North"/>
    <m/>
    <m/>
    <m/>
    <m/>
    <x v="0"/>
  </r>
  <r>
    <s v="Local Plan SA 4"/>
    <m/>
    <s v="Identified Site 5 year"/>
    <s v="Hampton Delivery Office, Rosehill, Hampton"/>
    <m/>
    <m/>
    <m/>
    <x v="3"/>
    <s v="Open Market"/>
    <m/>
    <m/>
    <n v="0"/>
    <n v="0"/>
    <n v="0"/>
    <n v="0"/>
    <n v="0"/>
    <n v="0"/>
    <n v="0"/>
    <n v="0"/>
    <n v="0"/>
    <n v="0"/>
    <n v="0"/>
    <n v="0"/>
    <n v="0"/>
    <n v="0"/>
    <n v="0"/>
    <n v="0"/>
    <n v="0"/>
    <n v="0"/>
    <n v="0"/>
    <n v="0"/>
    <n v="0"/>
    <n v="0"/>
    <n v="0"/>
    <n v="0"/>
    <n v="0"/>
    <n v="0"/>
    <n v="5"/>
    <m/>
    <n v="0"/>
    <n v="0"/>
    <n v="0"/>
    <n v="0"/>
    <n v="0"/>
    <n v="0"/>
    <n v="0"/>
    <n v="0"/>
    <n v="1"/>
    <n v="1"/>
    <n v="1"/>
    <n v="1"/>
    <n v="1"/>
    <s v="Hampton North"/>
    <m/>
    <m/>
    <m/>
    <m/>
    <x v="0"/>
  </r>
  <r>
    <s v="Local Plan SA 4"/>
    <m/>
    <s v="Identified Site 5 year"/>
    <s v="Teddington Delivery Office, 19 High Street, Teddington"/>
    <m/>
    <m/>
    <m/>
    <x v="3"/>
    <s v="Affordable"/>
    <m/>
    <m/>
    <n v="0"/>
    <n v="0"/>
    <n v="0"/>
    <n v="0"/>
    <n v="0"/>
    <n v="0"/>
    <n v="0"/>
    <n v="0"/>
    <n v="0"/>
    <n v="0"/>
    <n v="0"/>
    <n v="0"/>
    <n v="0"/>
    <n v="0"/>
    <n v="0"/>
    <n v="0"/>
    <n v="0"/>
    <n v="0"/>
    <n v="0"/>
    <n v="0"/>
    <n v="0"/>
    <n v="0"/>
    <n v="0"/>
    <n v="0"/>
    <n v="0"/>
    <n v="0"/>
    <n v="5"/>
    <m/>
    <n v="0"/>
    <n v="0"/>
    <n v="0"/>
    <n v="0"/>
    <n v="0"/>
    <n v="0"/>
    <n v="0"/>
    <n v="0"/>
    <n v="1"/>
    <n v="1"/>
    <n v="1"/>
    <n v="1"/>
    <n v="1"/>
    <s v="Teddington"/>
    <m/>
    <m/>
    <m/>
    <m/>
    <x v="0"/>
  </r>
  <r>
    <s v="Local Plan SA 4"/>
    <m/>
    <s v="Identified Site 5 year"/>
    <s v="Teddington Delivery Office, 19 High Street, Teddington"/>
    <m/>
    <m/>
    <m/>
    <x v="3"/>
    <s v="Open Market"/>
    <m/>
    <m/>
    <n v="0"/>
    <n v="0"/>
    <n v="0"/>
    <n v="0"/>
    <n v="0"/>
    <n v="0"/>
    <n v="0"/>
    <n v="0"/>
    <n v="0"/>
    <n v="0"/>
    <n v="0"/>
    <n v="0"/>
    <n v="0"/>
    <n v="0"/>
    <n v="0"/>
    <n v="0"/>
    <n v="0"/>
    <n v="0"/>
    <n v="0"/>
    <n v="0"/>
    <n v="0"/>
    <n v="0"/>
    <n v="0"/>
    <n v="0"/>
    <n v="0"/>
    <n v="0"/>
    <n v="5"/>
    <m/>
    <n v="0"/>
    <n v="0"/>
    <n v="0"/>
    <n v="0"/>
    <n v="0"/>
    <n v="0"/>
    <n v="0"/>
    <n v="0"/>
    <n v="1"/>
    <n v="1"/>
    <n v="1"/>
    <n v="1"/>
    <n v="1"/>
    <s v="Teddington"/>
    <m/>
    <m/>
    <m/>
    <m/>
    <x v="0"/>
  </r>
  <r>
    <s v="Local Plan SA 5"/>
    <m/>
    <s v="Identified Site 5 year"/>
    <s v="Telephone Exchange, High Street, Teddington"/>
    <m/>
    <m/>
    <m/>
    <x v="3"/>
    <s v="Affordable"/>
    <m/>
    <m/>
    <n v="0"/>
    <n v="0"/>
    <n v="0"/>
    <n v="0"/>
    <n v="0"/>
    <n v="0"/>
    <n v="0"/>
    <n v="0"/>
    <n v="0"/>
    <n v="0"/>
    <n v="0"/>
    <n v="0"/>
    <n v="0"/>
    <n v="0"/>
    <n v="0"/>
    <n v="0"/>
    <n v="0"/>
    <n v="0"/>
    <n v="0"/>
    <n v="0"/>
    <n v="0"/>
    <n v="0"/>
    <n v="0"/>
    <n v="0"/>
    <n v="0"/>
    <n v="0"/>
    <n v="10"/>
    <m/>
    <n v="0"/>
    <n v="0"/>
    <n v="0"/>
    <n v="0"/>
    <n v="0"/>
    <n v="0"/>
    <n v="0"/>
    <n v="0"/>
    <n v="2"/>
    <n v="2"/>
    <n v="2"/>
    <n v="2"/>
    <n v="2"/>
    <s v="Teddington"/>
    <m/>
    <m/>
    <m/>
    <m/>
    <x v="0"/>
  </r>
  <r>
    <s v="Local Plan SA 5"/>
    <m/>
    <s v="Identified Site 5 year"/>
    <s v="Telephone Exchange, High Street, Teddington"/>
    <m/>
    <m/>
    <m/>
    <x v="3"/>
    <s v="Open Market"/>
    <m/>
    <m/>
    <n v="0"/>
    <n v="0"/>
    <n v="0"/>
    <n v="0"/>
    <n v="0"/>
    <n v="0"/>
    <n v="0"/>
    <n v="0"/>
    <n v="0"/>
    <n v="0"/>
    <n v="0"/>
    <n v="0"/>
    <n v="0"/>
    <n v="0"/>
    <n v="0"/>
    <n v="0"/>
    <n v="0"/>
    <n v="0"/>
    <n v="0"/>
    <n v="0"/>
    <n v="0"/>
    <n v="0"/>
    <n v="0"/>
    <n v="0"/>
    <n v="0"/>
    <n v="0"/>
    <n v="10"/>
    <m/>
    <n v="0"/>
    <n v="0"/>
    <n v="0"/>
    <n v="0"/>
    <n v="0"/>
    <n v="0"/>
    <n v="0"/>
    <n v="0"/>
    <n v="2"/>
    <n v="2"/>
    <n v="2"/>
    <n v="2"/>
    <n v="2"/>
    <s v="Teddington"/>
    <m/>
    <m/>
    <m/>
    <m/>
    <x v="0"/>
  </r>
  <r>
    <s v="Local Plan SA 7"/>
    <m/>
    <s v="Identified Site 5 year"/>
    <s v="Strathmore Centre, Strathmore Road"/>
    <m/>
    <m/>
    <m/>
    <x v="3"/>
    <s v="Affordable"/>
    <m/>
    <m/>
    <n v="0"/>
    <n v="0"/>
    <n v="0"/>
    <n v="0"/>
    <n v="0"/>
    <n v="0"/>
    <n v="0"/>
    <n v="0"/>
    <n v="0"/>
    <n v="0"/>
    <n v="0"/>
    <n v="0"/>
    <n v="0"/>
    <n v="0"/>
    <n v="0"/>
    <n v="0"/>
    <n v="0"/>
    <n v="0"/>
    <n v="0"/>
    <n v="0"/>
    <n v="0"/>
    <n v="0"/>
    <n v="0"/>
    <n v="0"/>
    <n v="0"/>
    <n v="0"/>
    <n v="15"/>
    <m/>
    <n v="0"/>
    <n v="0"/>
    <n v="0"/>
    <n v="0"/>
    <n v="0"/>
    <n v="0"/>
    <n v="0"/>
    <n v="0"/>
    <n v="3"/>
    <n v="3"/>
    <n v="3"/>
    <n v="3"/>
    <n v="3"/>
    <s v="Fulwell and Hampton Hill"/>
    <m/>
    <m/>
    <m/>
    <m/>
    <x v="0"/>
  </r>
  <r>
    <s v="Local Plan SA 7"/>
    <m/>
    <s v="Identified Site 5 year"/>
    <s v="Strathmore Centre, Strathmore Road"/>
    <m/>
    <m/>
    <m/>
    <x v="3"/>
    <s v="Open Market"/>
    <m/>
    <m/>
    <n v="0"/>
    <n v="0"/>
    <n v="0"/>
    <n v="0"/>
    <n v="0"/>
    <n v="0"/>
    <n v="0"/>
    <n v="0"/>
    <n v="0"/>
    <n v="0"/>
    <n v="0"/>
    <n v="0"/>
    <n v="0"/>
    <n v="0"/>
    <n v="0"/>
    <n v="0"/>
    <n v="0"/>
    <n v="0"/>
    <n v="0"/>
    <n v="0"/>
    <n v="0"/>
    <n v="0"/>
    <n v="0"/>
    <n v="0"/>
    <n v="0"/>
    <n v="0"/>
    <n v="15"/>
    <m/>
    <n v="0"/>
    <n v="0"/>
    <n v="0"/>
    <n v="0"/>
    <n v="0"/>
    <n v="0"/>
    <n v="0"/>
    <n v="0"/>
    <n v="3"/>
    <n v="3"/>
    <n v="3"/>
    <n v="3"/>
    <n v="3"/>
    <s v="Fulwell and Hampton Hill"/>
    <m/>
    <m/>
    <m/>
    <m/>
    <x v="0"/>
  </r>
  <r>
    <s v="Other known large site"/>
    <m/>
    <s v="Identified Site 5 year"/>
    <s v="Richmond Royal Hospital"/>
    <m/>
    <m/>
    <m/>
    <x v="3"/>
    <s v="Open Market"/>
    <m/>
    <m/>
    <n v="0"/>
    <n v="0"/>
    <n v="0"/>
    <n v="0"/>
    <n v="0"/>
    <n v="0"/>
    <n v="0"/>
    <n v="0"/>
    <n v="0"/>
    <n v="0"/>
    <n v="0"/>
    <n v="0"/>
    <n v="0"/>
    <n v="0"/>
    <n v="0"/>
    <n v="0"/>
    <n v="0"/>
    <n v="0"/>
    <n v="0"/>
    <n v="0"/>
    <n v="0"/>
    <n v="0"/>
    <n v="0"/>
    <n v="0"/>
    <n v="0"/>
    <n v="0"/>
    <n v="56"/>
    <m/>
    <n v="0"/>
    <n v="0"/>
    <n v="0"/>
    <n v="14"/>
    <n v="14"/>
    <n v="14"/>
    <n v="14"/>
    <s v="Y"/>
    <n v="0"/>
    <n v="0"/>
    <n v="0"/>
    <n v="0"/>
    <n v="0"/>
    <s v="North Richmond"/>
    <m/>
    <m/>
    <m/>
    <m/>
    <x v="0"/>
  </r>
  <r>
    <s v="Other known large site"/>
    <m/>
    <s v="Identified Site 5 year"/>
    <s v="Richmond Royal Hospital"/>
    <m/>
    <m/>
    <m/>
    <x v="3"/>
    <s v="Affordable"/>
    <m/>
    <m/>
    <n v="0"/>
    <n v="0"/>
    <n v="0"/>
    <n v="0"/>
    <n v="0"/>
    <n v="0"/>
    <n v="0"/>
    <n v="0"/>
    <n v="0"/>
    <n v="0"/>
    <n v="0"/>
    <n v="0"/>
    <n v="0"/>
    <n v="0"/>
    <n v="0"/>
    <n v="0"/>
    <n v="0"/>
    <n v="0"/>
    <n v="0"/>
    <n v="0"/>
    <n v="0"/>
    <n v="0"/>
    <n v="0"/>
    <n v="0"/>
    <n v="0"/>
    <n v="0"/>
    <n v="15"/>
    <m/>
    <n v="0"/>
    <n v="0"/>
    <n v="0"/>
    <n v="3.75"/>
    <n v="3.75"/>
    <n v="3.75"/>
    <n v="3.75"/>
    <s v="Y"/>
    <n v="0"/>
    <n v="0"/>
    <n v="0"/>
    <n v="0"/>
    <n v="0"/>
    <s v="North Richmond"/>
    <m/>
    <m/>
    <m/>
    <m/>
    <x v="0"/>
  </r>
  <r>
    <s v="Other known large site"/>
    <m/>
    <s v="Identified Site 5 year"/>
    <s v="Sainsbury’s, Manor Road/Lower Richmond Road"/>
    <m/>
    <m/>
    <m/>
    <x v="3"/>
    <s v="Open Market"/>
    <m/>
    <m/>
    <n v="0"/>
    <n v="0"/>
    <n v="0"/>
    <n v="0"/>
    <n v="0"/>
    <n v="0"/>
    <n v="0"/>
    <n v="0"/>
    <n v="0"/>
    <n v="0"/>
    <n v="0"/>
    <n v="0"/>
    <n v="0"/>
    <n v="0"/>
    <n v="0"/>
    <n v="0"/>
    <n v="0"/>
    <n v="0"/>
    <n v="0"/>
    <n v="0"/>
    <n v="0"/>
    <n v="0"/>
    <n v="0"/>
    <n v="0"/>
    <n v="0"/>
    <n v="0"/>
    <n v="128"/>
    <m/>
    <n v="0"/>
    <n v="0"/>
    <n v="0"/>
    <n v="0"/>
    <n v="0"/>
    <n v="0"/>
    <n v="0"/>
    <n v="0"/>
    <n v="25.6"/>
    <n v="25.6"/>
    <n v="25.6"/>
    <n v="25.6"/>
    <n v="25.6"/>
    <s v="North Richmond"/>
    <m/>
    <m/>
    <m/>
    <m/>
    <x v="0"/>
  </r>
  <r>
    <s v="Other known large site"/>
    <m/>
    <s v="Identified Site 5 year"/>
    <s v="Sainsbury’s, Manor Road/Lower Richmond Road"/>
    <m/>
    <m/>
    <m/>
    <x v="3"/>
    <s v="Affordable"/>
    <m/>
    <m/>
    <n v="0"/>
    <n v="0"/>
    <n v="0"/>
    <n v="0"/>
    <n v="0"/>
    <n v="0"/>
    <n v="0"/>
    <n v="0"/>
    <n v="0"/>
    <n v="0"/>
    <n v="0"/>
    <n v="0"/>
    <n v="0"/>
    <n v="0"/>
    <n v="0"/>
    <n v="0"/>
    <n v="0"/>
    <n v="0"/>
    <n v="0"/>
    <n v="0"/>
    <n v="0"/>
    <n v="0"/>
    <n v="0"/>
    <n v="0"/>
    <n v="0"/>
    <n v="0"/>
    <n v="127"/>
    <m/>
    <n v="0"/>
    <n v="0"/>
    <n v="0"/>
    <n v="0"/>
    <n v="0"/>
    <n v="0"/>
    <n v="0"/>
    <n v="0"/>
    <n v="25.4"/>
    <n v="25.4"/>
    <n v="25.4"/>
    <n v="25.4"/>
    <n v="25.4"/>
    <s v="North Richmond"/>
    <m/>
    <m/>
    <m/>
    <m/>
    <x v="0"/>
  </r>
  <r>
    <s v="Other known large site"/>
    <m/>
    <s v="Identified Site 5 year"/>
    <s v="Homebase, 84 Manor Road, Richmond"/>
    <m/>
    <m/>
    <m/>
    <x v="3"/>
    <s v="Open Market"/>
    <m/>
    <m/>
    <n v="0"/>
    <n v="0"/>
    <n v="0"/>
    <n v="0"/>
    <n v="0"/>
    <n v="0"/>
    <n v="0"/>
    <n v="0"/>
    <n v="0"/>
    <n v="0"/>
    <n v="0"/>
    <n v="0"/>
    <n v="0"/>
    <n v="0"/>
    <n v="0"/>
    <n v="0"/>
    <n v="0"/>
    <n v="0"/>
    <n v="0"/>
    <n v="0"/>
    <n v="0"/>
    <n v="0"/>
    <n v="0"/>
    <n v="0"/>
    <n v="0"/>
    <n v="0"/>
    <n v="150"/>
    <m/>
    <n v="0"/>
    <n v="0"/>
    <n v="0"/>
    <n v="0"/>
    <n v="0"/>
    <n v="30"/>
    <n v="30"/>
    <s v="Y"/>
    <n v="30"/>
    <n v="30"/>
    <n v="30"/>
    <n v="0"/>
    <n v="0"/>
    <s v="North Richmond"/>
    <m/>
    <m/>
    <m/>
    <m/>
    <x v="0"/>
  </r>
  <r>
    <s v="Other known large site"/>
    <m/>
    <s v="Identified Site 5 year"/>
    <s v="Homebase, 84 Manor Road, Richmond"/>
    <m/>
    <m/>
    <m/>
    <x v="3"/>
    <s v="Affordable"/>
    <m/>
    <m/>
    <n v="0"/>
    <n v="0"/>
    <n v="0"/>
    <n v="0"/>
    <n v="0"/>
    <n v="0"/>
    <n v="0"/>
    <n v="0"/>
    <n v="0"/>
    <n v="0"/>
    <n v="0"/>
    <n v="0"/>
    <n v="0"/>
    <n v="0"/>
    <n v="0"/>
    <n v="0"/>
    <n v="0"/>
    <n v="0"/>
    <n v="0"/>
    <n v="0"/>
    <n v="0"/>
    <n v="0"/>
    <n v="0"/>
    <n v="0"/>
    <n v="0"/>
    <n v="0"/>
    <n v="150"/>
    <m/>
    <n v="0"/>
    <n v="0"/>
    <n v="0"/>
    <n v="0"/>
    <n v="0"/>
    <n v="30"/>
    <n v="30"/>
    <s v="Y"/>
    <n v="30"/>
    <n v="30"/>
    <n v="30"/>
    <n v="0"/>
    <n v="0"/>
    <s v="North Richmond"/>
    <m/>
    <m/>
    <m/>
    <m/>
    <x v="0"/>
  </r>
  <r>
    <s v="TAAP TW2"/>
    <m/>
    <s v="Identified Site 5 year"/>
    <s v="Station Yard, Twickenham"/>
    <m/>
    <m/>
    <m/>
    <x v="3"/>
    <s v="Affordable"/>
    <m/>
    <m/>
    <n v="0"/>
    <n v="0"/>
    <n v="0"/>
    <n v="0"/>
    <n v="0"/>
    <n v="0"/>
    <n v="0"/>
    <n v="0"/>
    <n v="0"/>
    <n v="0"/>
    <n v="0"/>
    <n v="0"/>
    <n v="0"/>
    <n v="0"/>
    <n v="0"/>
    <n v="0"/>
    <n v="0"/>
    <n v="0"/>
    <n v="0"/>
    <n v="0"/>
    <n v="0"/>
    <n v="0"/>
    <n v="0"/>
    <n v="0"/>
    <n v="0"/>
    <n v="0"/>
    <n v="10"/>
    <m/>
    <n v="0"/>
    <n v="0"/>
    <n v="0"/>
    <n v="0"/>
    <n v="0"/>
    <n v="0"/>
    <n v="0"/>
    <n v="0"/>
    <n v="2"/>
    <n v="2"/>
    <n v="2"/>
    <n v="2"/>
    <n v="2"/>
    <s v="Twickenham Riverside"/>
    <m/>
    <m/>
    <m/>
    <m/>
    <x v="0"/>
  </r>
  <r>
    <s v="TAAP TW2"/>
    <m/>
    <s v="Identified Site 5 year"/>
    <s v="Station Yard, Twickenham"/>
    <m/>
    <m/>
    <m/>
    <x v="3"/>
    <s v="Open Market"/>
    <m/>
    <m/>
    <n v="0"/>
    <n v="0"/>
    <n v="0"/>
    <n v="0"/>
    <n v="0"/>
    <n v="0"/>
    <n v="0"/>
    <n v="0"/>
    <n v="0"/>
    <n v="0"/>
    <n v="0"/>
    <n v="0"/>
    <n v="0"/>
    <n v="0"/>
    <n v="0"/>
    <n v="0"/>
    <n v="0"/>
    <n v="0"/>
    <n v="0"/>
    <n v="0"/>
    <n v="0"/>
    <n v="0"/>
    <n v="0"/>
    <n v="0"/>
    <n v="0"/>
    <n v="0"/>
    <n v="10"/>
    <m/>
    <n v="0"/>
    <n v="0"/>
    <n v="0"/>
    <n v="0"/>
    <n v="0"/>
    <n v="0"/>
    <n v="0"/>
    <n v="0"/>
    <n v="2"/>
    <n v="2"/>
    <n v="2"/>
    <n v="2"/>
    <n v="2"/>
    <s v="Twickenham Riverside"/>
    <m/>
    <m/>
    <m/>
    <m/>
    <x v="0"/>
  </r>
  <r>
    <s v="TAAP TW5"/>
    <m/>
    <s v="Identified Site 5 year"/>
    <s v="Telephone Exchange, Garfield Road, Twickenham"/>
    <m/>
    <m/>
    <m/>
    <x v="3"/>
    <s v="Affordable"/>
    <m/>
    <m/>
    <n v="0"/>
    <n v="0"/>
    <n v="0"/>
    <n v="0"/>
    <n v="0"/>
    <n v="0"/>
    <n v="0"/>
    <n v="0"/>
    <n v="0"/>
    <n v="0"/>
    <n v="0"/>
    <n v="0"/>
    <n v="0"/>
    <n v="0"/>
    <n v="0"/>
    <n v="0"/>
    <n v="0"/>
    <n v="0"/>
    <n v="0"/>
    <n v="0"/>
    <n v="0"/>
    <n v="0"/>
    <n v="0"/>
    <n v="0"/>
    <n v="0"/>
    <n v="0"/>
    <n v="10"/>
    <m/>
    <n v="0"/>
    <n v="0"/>
    <n v="0"/>
    <n v="0"/>
    <n v="0"/>
    <n v="0"/>
    <n v="0"/>
    <n v="0"/>
    <n v="2"/>
    <n v="2"/>
    <n v="2"/>
    <n v="2"/>
    <n v="2"/>
    <s v="Twickenham Riverside"/>
    <m/>
    <m/>
    <m/>
    <m/>
    <x v="0"/>
  </r>
  <r>
    <s v="TAAP TW5"/>
    <m/>
    <s v="Identified Site 5 year"/>
    <s v="Telephone Exchange, Garfield Road, Twickenham"/>
    <m/>
    <m/>
    <m/>
    <x v="3"/>
    <s v="Open Market"/>
    <m/>
    <m/>
    <n v="0"/>
    <n v="0"/>
    <n v="0"/>
    <n v="0"/>
    <n v="0"/>
    <n v="0"/>
    <n v="0"/>
    <n v="0"/>
    <n v="0"/>
    <n v="0"/>
    <n v="0"/>
    <n v="0"/>
    <n v="0"/>
    <n v="0"/>
    <n v="0"/>
    <n v="0"/>
    <n v="0"/>
    <n v="0"/>
    <n v="0"/>
    <n v="0"/>
    <n v="0"/>
    <n v="0"/>
    <n v="0"/>
    <n v="0"/>
    <n v="0"/>
    <n v="0"/>
    <n v="10"/>
    <m/>
    <n v="0"/>
    <n v="0"/>
    <n v="0"/>
    <n v="0"/>
    <n v="0"/>
    <n v="0"/>
    <n v="0"/>
    <n v="0"/>
    <n v="2"/>
    <n v="2"/>
    <n v="2"/>
    <n v="2"/>
    <n v="2"/>
    <s v="Twickenham Riverside"/>
    <m/>
    <m/>
    <m/>
    <m/>
    <x v="0"/>
  </r>
  <r>
    <s v="TAAP TW6"/>
    <m/>
    <s v="Identified Site 5 year"/>
    <s v="Police Station, London Road, Twickenham"/>
    <m/>
    <m/>
    <m/>
    <x v="3"/>
    <s v="Affordable"/>
    <m/>
    <m/>
    <n v="0"/>
    <n v="0"/>
    <n v="0"/>
    <n v="0"/>
    <n v="0"/>
    <n v="0"/>
    <n v="0"/>
    <n v="0"/>
    <n v="0"/>
    <n v="0"/>
    <n v="0"/>
    <n v="0"/>
    <n v="0"/>
    <n v="0"/>
    <n v="0"/>
    <n v="0"/>
    <n v="0"/>
    <n v="0"/>
    <n v="0"/>
    <n v="0"/>
    <n v="0"/>
    <n v="0"/>
    <n v="0"/>
    <n v="0"/>
    <n v="0"/>
    <n v="0"/>
    <n v="10"/>
    <m/>
    <n v="0"/>
    <n v="0"/>
    <n v="0"/>
    <n v="0"/>
    <n v="0"/>
    <n v="0"/>
    <n v="0"/>
    <n v="0"/>
    <n v="2"/>
    <n v="2"/>
    <n v="2"/>
    <n v="2"/>
    <n v="2"/>
    <s v="Twickenham Riverside"/>
    <m/>
    <m/>
    <m/>
    <m/>
    <x v="0"/>
  </r>
  <r>
    <s v="TAAP TW6"/>
    <m/>
    <s v="Identified Site 5 year"/>
    <s v="Police Station, London Road, Twickenham"/>
    <m/>
    <m/>
    <m/>
    <x v="3"/>
    <s v="Open Market"/>
    <m/>
    <m/>
    <n v="0"/>
    <n v="0"/>
    <n v="0"/>
    <n v="0"/>
    <n v="0"/>
    <n v="0"/>
    <n v="0"/>
    <n v="0"/>
    <n v="0"/>
    <n v="0"/>
    <n v="0"/>
    <n v="0"/>
    <n v="0"/>
    <n v="0"/>
    <n v="0"/>
    <n v="0"/>
    <n v="0"/>
    <n v="0"/>
    <n v="0"/>
    <n v="0"/>
    <n v="0"/>
    <n v="0"/>
    <n v="0"/>
    <n v="0"/>
    <n v="0"/>
    <n v="0"/>
    <n v="10"/>
    <m/>
    <n v="0"/>
    <n v="0"/>
    <n v="0"/>
    <n v="0"/>
    <n v="0"/>
    <n v="0"/>
    <n v="0"/>
    <n v="0"/>
    <n v="2"/>
    <n v="2"/>
    <n v="2"/>
    <n v="2"/>
    <n v="2"/>
    <s v="Twickenham Riverside"/>
    <m/>
    <m/>
    <m/>
    <m/>
    <x v="0"/>
  </r>
  <r>
    <s v="TAAP TW7"/>
    <m/>
    <s v="Identified Site 5 year"/>
    <s v="Twickenham Riverside (Former Pool Site) and south of King Street"/>
    <m/>
    <m/>
    <m/>
    <x v="3"/>
    <s v="Affordable"/>
    <m/>
    <m/>
    <n v="0"/>
    <n v="0"/>
    <n v="0"/>
    <n v="0"/>
    <n v="0"/>
    <n v="0"/>
    <n v="0"/>
    <n v="0"/>
    <n v="0"/>
    <n v="0"/>
    <n v="0"/>
    <n v="0"/>
    <n v="0"/>
    <n v="0"/>
    <n v="0"/>
    <n v="0"/>
    <n v="0"/>
    <n v="0"/>
    <n v="0"/>
    <n v="0"/>
    <n v="0"/>
    <n v="0"/>
    <n v="0"/>
    <n v="0"/>
    <n v="0"/>
    <n v="0"/>
    <n v="5"/>
    <m/>
    <n v="0"/>
    <n v="0"/>
    <n v="0"/>
    <n v="0"/>
    <n v="0"/>
    <n v="0"/>
    <n v="0"/>
    <n v="0"/>
    <n v="1"/>
    <n v="1"/>
    <n v="1"/>
    <n v="1"/>
    <n v="1"/>
    <s v="Twickenham Riverside"/>
    <m/>
    <m/>
    <m/>
    <m/>
    <x v="0"/>
  </r>
  <r>
    <s v="TAAP TW7"/>
    <m/>
    <s v="Identified Site 5 year"/>
    <s v="Twickenham Riverside (Former Pool Site) and south of King Street"/>
    <m/>
    <m/>
    <m/>
    <x v="3"/>
    <s v="Open Market"/>
    <m/>
    <m/>
    <n v="0"/>
    <n v="0"/>
    <n v="0"/>
    <n v="0"/>
    <n v="0"/>
    <n v="0"/>
    <n v="0"/>
    <n v="0"/>
    <n v="0"/>
    <n v="0"/>
    <n v="0"/>
    <n v="0"/>
    <n v="0"/>
    <n v="0"/>
    <n v="0"/>
    <n v="0"/>
    <n v="0"/>
    <n v="0"/>
    <n v="0"/>
    <n v="0"/>
    <n v="0"/>
    <n v="0"/>
    <n v="0"/>
    <n v="0"/>
    <n v="0"/>
    <n v="0"/>
    <n v="5"/>
    <m/>
    <n v="0"/>
    <n v="0"/>
    <n v="0"/>
    <n v="0"/>
    <n v="0"/>
    <n v="0"/>
    <n v="0"/>
    <n v="0"/>
    <n v="1"/>
    <n v="1"/>
    <n v="1"/>
    <n v="1"/>
    <n v="1"/>
    <s v="Twickenham Riverside"/>
    <m/>
    <m/>
    <m/>
    <m/>
    <x v="0"/>
  </r>
  <r>
    <s v="Small Sites"/>
    <m/>
    <m/>
    <s v="Small Sites Trend"/>
    <m/>
    <m/>
    <m/>
    <x v="4"/>
    <s v="Unknown"/>
    <m/>
    <m/>
    <n v="0"/>
    <n v="0"/>
    <n v="0"/>
    <n v="0"/>
    <n v="0"/>
    <n v="0"/>
    <n v="0"/>
    <n v="0"/>
    <n v="0"/>
    <n v="0"/>
    <n v="0"/>
    <n v="0"/>
    <n v="0"/>
    <n v="0"/>
    <n v="0"/>
    <n v="0"/>
    <n v="0"/>
    <n v="0"/>
    <n v="0"/>
    <n v="0"/>
    <n v="0"/>
    <n v="0"/>
    <n v="0"/>
    <n v="0"/>
    <n v="0"/>
    <n v="0"/>
    <m/>
    <m/>
    <n v="0"/>
    <n v="0"/>
    <n v="0"/>
    <n v="0"/>
    <n v="0"/>
    <n v="0"/>
    <n v="0"/>
    <n v="0"/>
    <n v="204"/>
    <n v="204"/>
    <n v="204"/>
    <n v="204"/>
    <n v="204"/>
    <m/>
    <m/>
    <m/>
    <m/>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9B7F06F-61FA-48F0-8D09-2233D13CFEC3}" name="PivotTable83"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365:J369" firstHeaderRow="0" firstDataRow="1" firstDataCol="1" rowPageCount="2"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Row" multipleItemSelectionAllowed="1" showAll="0" defaultSubtotal="0">
      <items count="7">
        <item x="1"/>
        <item x="2"/>
        <item x="0"/>
        <item x="5"/>
        <item x="6"/>
        <item x="4"/>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defaultSubtotal="0"/>
    <pivotField showAll="0" defaultSubtotal="0"/>
    <pivotField showAll="0" defaultSubtotal="0"/>
    <pivotField showAll="0" defaultSubtotal="0"/>
    <pivotField showAll="0"/>
  </pivotFields>
  <rowFields count="1">
    <field x="8"/>
  </rowFields>
  <rowItems count="4">
    <i>
      <x/>
    </i>
    <i>
      <x v="1"/>
    </i>
    <i>
      <x v="2"/>
    </i>
    <i t="grand">
      <x/>
    </i>
  </rowItems>
  <colFields count="1">
    <field x="-2"/>
  </colFields>
  <colItems count="8">
    <i>
      <x/>
    </i>
    <i i="1">
      <x v="1"/>
    </i>
    <i i="2">
      <x v="2"/>
    </i>
    <i i="3">
      <x v="3"/>
    </i>
    <i i="4">
      <x v="4"/>
    </i>
    <i i="5">
      <x v="5"/>
    </i>
    <i i="6">
      <x v="6"/>
    </i>
    <i i="7">
      <x v="7"/>
    </i>
  </colItems>
  <pageFields count="2">
    <pageField fld="7" hier="-1"/>
    <pageField fld="1" hier="-1"/>
  </pageFields>
  <dataFields count="8">
    <dataField name="Sum of 0 bed net" fld="29" baseField="0" baseItem="0"/>
    <dataField name="Sum of 1 bed net" fld="30" baseField="0" baseItem="0"/>
    <dataField name="Sum of 2 bed net" fld="31" baseField="0" baseItem="0"/>
    <dataField name="Sum of 3 bed net" fld="32" baseField="0" baseItem="0"/>
    <dataField name="Sum of 4 bed net" fld="33" baseField="0" baseItem="0"/>
    <dataField name="Sum of 5 bed net" fld="34" baseField="0" baseItem="0"/>
    <dataField name="Sum of 6 bed net" fld="35" baseField="0" baseItem="0"/>
    <dataField name="Sum of 7 bed net" fld="36" baseField="0" baseItem="0"/>
  </dataFields>
  <formats count="16">
    <format dxfId="15">
      <pivotArea type="all" dataOnly="0" outline="0" fieldPosition="0"/>
    </format>
    <format dxfId="14">
      <pivotArea type="all" dataOnly="0" outline="0" fieldPosition="0"/>
    </format>
    <format dxfId="13">
      <pivotArea type="all" dataOnly="0" outline="0" fieldPosition="0"/>
    </format>
    <format dxfId="12">
      <pivotArea type="all" dataOnly="0" outline="0" fieldPosition="0"/>
    </format>
    <format dxfId="11">
      <pivotArea type="all" dataOnly="0" outline="0" fieldPosition="0"/>
    </format>
    <format dxfId="10">
      <pivotArea type="all" dataOnly="0" outline="0" fieldPosition="0"/>
    </format>
    <format dxfId="9">
      <pivotArea type="all" dataOnly="0" outline="0" fieldPosition="0"/>
    </format>
    <format dxfId="8">
      <pivotArea type="all" dataOnly="0" outline="0" fieldPosition="0"/>
    </format>
    <format dxfId="7">
      <pivotArea type="all" dataOnly="0" outline="0" fieldPosition="0"/>
    </format>
    <format dxfId="6">
      <pivotArea type="all" dataOnly="0" outline="0" fieldPosition="0"/>
    </format>
    <format dxfId="5">
      <pivotArea type="all" dataOnly="0" outline="0" fieldPosition="0"/>
    </format>
    <format dxfId="4">
      <pivotArea outline="0" collapsedLevelsAreSubtotals="1" fieldPosition="0"/>
    </format>
    <format dxfId="3">
      <pivotArea field="8" type="button" dataOnly="0" labelOnly="1" outline="0" axis="axisRow" fieldPosition="0"/>
    </format>
    <format dxfId="2">
      <pivotArea dataOnly="0" labelOnly="1" fieldPosition="0">
        <references count="1">
          <reference field="8" count="3">
            <x v="0"/>
            <x v="1"/>
            <x v="2"/>
          </reference>
        </references>
      </pivotArea>
    </format>
    <format dxfId="1">
      <pivotArea dataOnly="0" labelOnly="1" grandRow="1" outline="0" fieldPosition="0"/>
    </format>
    <format dxfId="0">
      <pivotArea dataOnly="0" labelOnly="1" outline="0" fieldPosition="0">
        <references count="1">
          <reference field="4294967294" count="8">
            <x v="0"/>
            <x v="1"/>
            <x v="2"/>
            <x v="3"/>
            <x v="4"/>
            <x v="5"/>
            <x v="6"/>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91847C30-9A09-431A-9405-E7C4952B8179}" name="PivotTable38"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63:H164"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7">
        <item x="1"/>
        <item h="1" x="2"/>
        <item h="1"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Units Proposed" fld="28" baseField="0" baseItem="0"/>
  </dataFields>
  <formats count="13">
    <format dxfId="134">
      <pivotArea type="all" dataOnly="0" outline="0" fieldPosition="0"/>
    </format>
    <format dxfId="133">
      <pivotArea type="all" dataOnly="0" outline="0" fieldPosition="0"/>
    </format>
    <format dxfId="132">
      <pivotArea type="all" dataOnly="0" outline="0" fieldPosition="0"/>
    </format>
    <format dxfId="131">
      <pivotArea type="all" dataOnly="0" outline="0" fieldPosition="0"/>
    </format>
    <format dxfId="130">
      <pivotArea type="all" dataOnly="0" outline="0" fieldPosition="0"/>
    </format>
    <format dxfId="129">
      <pivotArea type="all" dataOnly="0" outline="0" fieldPosition="0"/>
    </format>
    <format dxfId="128">
      <pivotArea type="all" dataOnly="0" outline="0" fieldPosition="0"/>
    </format>
    <format dxfId="127">
      <pivotArea type="all" dataOnly="0" outline="0" fieldPosition="0"/>
    </format>
    <format dxfId="126">
      <pivotArea type="all" dataOnly="0" outline="0" fieldPosition="0"/>
    </format>
    <format dxfId="125">
      <pivotArea type="all" dataOnly="0" outline="0" fieldPosition="0"/>
    </format>
    <format dxfId="124">
      <pivotArea type="all" dataOnly="0" outline="0" fieldPosition="0"/>
    </format>
    <format dxfId="123">
      <pivotArea outline="0" collapsedLevelsAreSubtotals="1" fieldPosition="0"/>
    </format>
    <format dxfId="12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734C374D-128A-428E-A291-8278D0535298}" name="PivotTable95" cacheId="2"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477:C480" firstHeaderRow="1" firstDataRow="1" firstDataCol="1" rowPageCount="1" colPageCount="1"/>
  <pivotFields count="58">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6">
        <item x="0"/>
        <item h="1" x="1"/>
        <item h="1" x="2"/>
        <item h="1" x="3"/>
        <item h="1" x="4"/>
        <item h="1" m="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 axis="axisRow" showAll="0">
      <items count="4">
        <item m="1" x="2"/>
        <item x="0"/>
        <item x="1"/>
        <item t="default"/>
      </items>
    </pivotField>
  </pivotFields>
  <rowFields count="1">
    <field x="57"/>
  </rowFields>
  <rowItems count="3">
    <i>
      <x v="1"/>
    </i>
    <i>
      <x v="2"/>
    </i>
    <i t="grand">
      <x/>
    </i>
  </rowItems>
  <colItems count="1">
    <i/>
  </colItems>
  <pageFields count="1">
    <pageField fld="7" hier="-1"/>
  </pageFields>
  <dataFields count="1">
    <dataField name="Sum of Net Dwellings" fld="37" baseField="0" baseItem="0"/>
  </dataFields>
  <formats count="16">
    <format dxfId="150">
      <pivotArea type="all" dataOnly="0" outline="0" fieldPosition="0"/>
    </format>
    <format dxfId="149">
      <pivotArea type="all" dataOnly="0" outline="0" fieldPosition="0"/>
    </format>
    <format dxfId="148">
      <pivotArea type="all" dataOnly="0" outline="0" fieldPosition="0"/>
    </format>
    <format dxfId="147">
      <pivotArea type="all" dataOnly="0" outline="0" fieldPosition="0"/>
    </format>
    <format dxfId="146">
      <pivotArea type="all" dataOnly="0" outline="0" fieldPosition="0"/>
    </format>
    <format dxfId="145">
      <pivotArea type="all" dataOnly="0" outline="0" fieldPosition="0"/>
    </format>
    <format dxfId="144">
      <pivotArea type="all" dataOnly="0" outline="0" fieldPosition="0"/>
    </format>
    <format dxfId="143">
      <pivotArea type="all" dataOnly="0" outline="0" fieldPosition="0"/>
    </format>
    <format dxfId="142">
      <pivotArea type="all" dataOnly="0" outline="0" fieldPosition="0"/>
    </format>
    <format dxfId="141">
      <pivotArea type="all" dataOnly="0" outline="0" fieldPosition="0"/>
    </format>
    <format dxfId="140">
      <pivotArea type="all" dataOnly="0" outline="0" fieldPosition="0"/>
    </format>
    <format dxfId="139">
      <pivotArea outline="0" collapsedLevelsAreSubtotals="1" fieldPosition="0"/>
    </format>
    <format dxfId="138">
      <pivotArea field="57" type="button" dataOnly="0" labelOnly="1" outline="0" axis="axisRow" fieldPosition="0"/>
    </format>
    <format dxfId="137">
      <pivotArea dataOnly="0" labelOnly="1" fieldPosition="0">
        <references count="1">
          <reference field="57" count="0"/>
        </references>
      </pivotArea>
    </format>
    <format dxfId="136">
      <pivotArea dataOnly="0" labelOnly="1" grandRow="1" outline="0" fieldPosition="0"/>
    </format>
    <format dxfId="13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27B9152F-5626-4685-B179-FCCC3C50B1F6}" name="PivotTable6"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80:B81" firstHeaderRow="1" firstDataRow="1" firstDataCol="0" rowPageCount="2"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Units Proposed" fld="28" baseField="0" baseItem="0"/>
  </dataFields>
  <formats count="13">
    <format dxfId="163">
      <pivotArea type="all" dataOnly="0" outline="0" fieldPosition="0"/>
    </format>
    <format dxfId="162">
      <pivotArea type="all" dataOnly="0" outline="0" fieldPosition="0"/>
    </format>
    <format dxfId="161">
      <pivotArea type="all" dataOnly="0" outline="0" fieldPosition="0"/>
    </format>
    <format dxfId="160">
      <pivotArea type="all" dataOnly="0" outline="0" fieldPosition="0"/>
    </format>
    <format dxfId="159">
      <pivotArea type="all" dataOnly="0" outline="0" fieldPosition="0"/>
    </format>
    <format dxfId="158">
      <pivotArea type="all" dataOnly="0" outline="0" fieldPosition="0"/>
    </format>
    <format dxfId="157">
      <pivotArea type="all" dataOnly="0" outline="0" fieldPosition="0"/>
    </format>
    <format dxfId="156">
      <pivotArea type="all" dataOnly="0" outline="0" fieldPosition="0"/>
    </format>
    <format dxfId="155">
      <pivotArea type="all" dataOnly="0" outline="0" fieldPosition="0"/>
    </format>
    <format dxfId="154">
      <pivotArea type="all" dataOnly="0" outline="0" fieldPosition="0"/>
    </format>
    <format dxfId="153">
      <pivotArea type="all" dataOnly="0" outline="0" fieldPosition="0"/>
    </format>
    <format dxfId="152">
      <pivotArea outline="0" collapsedLevelsAreSubtotals="1" fieldPosition="0"/>
    </format>
    <format dxfId="15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C6CE8817-08CD-46B8-AF6F-A291E06E1596}" name="PivotTable60"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223:B224" firstHeaderRow="1" firstDataRow="1" firstDataCol="0" rowPageCount="3"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7">
        <item x="1"/>
        <item h="1" x="2"/>
        <item h="1"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37" baseField="0" baseItem="0"/>
  </dataFields>
  <formats count="13">
    <format dxfId="176">
      <pivotArea type="all" dataOnly="0" outline="0" fieldPosition="0"/>
    </format>
    <format dxfId="175">
      <pivotArea type="all" dataOnly="0" outline="0" fieldPosition="0"/>
    </format>
    <format dxfId="174">
      <pivotArea type="all" dataOnly="0" outline="0" fieldPosition="0"/>
    </format>
    <format dxfId="173">
      <pivotArea type="all" dataOnly="0" outline="0" fieldPosition="0"/>
    </format>
    <format dxfId="172">
      <pivotArea type="all" dataOnly="0" outline="0" fieldPosition="0"/>
    </format>
    <format dxfId="171">
      <pivotArea type="all" dataOnly="0" outline="0" fieldPosition="0"/>
    </format>
    <format dxfId="170">
      <pivotArea type="all" dataOnly="0" outline="0" fieldPosition="0"/>
    </format>
    <format dxfId="169">
      <pivotArea type="all" dataOnly="0" outline="0" fieldPosition="0"/>
    </format>
    <format dxfId="168">
      <pivotArea type="all" dataOnly="0" outline="0" fieldPosition="0"/>
    </format>
    <format dxfId="167">
      <pivotArea type="all" dataOnly="0" outline="0" fieldPosition="0"/>
    </format>
    <format dxfId="166">
      <pivotArea type="all" dataOnly="0" outline="0" fieldPosition="0"/>
    </format>
    <format dxfId="165">
      <pivotArea outline="0" collapsedLevelsAreSubtotals="1" fieldPosition="0"/>
    </format>
    <format dxfId="16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766DA743-BB53-4999-9329-618F11844FB8}" name="PivotTable8"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89:B90" firstHeaderRow="1" firstDataRow="1" firstDataCol="0" rowPageCount="2" colPageCount="1"/>
  <pivotFields count="57">
    <pivotField showAll="0" defaultSubtotal="0"/>
    <pivotField axis="axisPage" multipleItemSelectionAllowed="1" showAll="0" defaultSubtotal="0">
      <items count="6">
        <item x="3"/>
        <item x="0"/>
        <item x="2"/>
        <item h="1" x="4"/>
        <item h="1"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Net Dwellings" fld="37" baseField="0" baseItem="0"/>
  </dataFields>
  <formats count="13">
    <format dxfId="189">
      <pivotArea type="all" dataOnly="0" outline="0" fieldPosition="0"/>
    </format>
    <format dxfId="188">
      <pivotArea type="all" dataOnly="0" outline="0" fieldPosition="0"/>
    </format>
    <format dxfId="187">
      <pivotArea type="all" dataOnly="0" outline="0" fieldPosition="0"/>
    </format>
    <format dxfId="186">
      <pivotArea type="all" dataOnly="0" outline="0" fieldPosition="0"/>
    </format>
    <format dxfId="185">
      <pivotArea type="all" dataOnly="0" outline="0" fieldPosition="0"/>
    </format>
    <format dxfId="184">
      <pivotArea type="all" dataOnly="0" outline="0" fieldPosition="0"/>
    </format>
    <format dxfId="183">
      <pivotArea type="all" dataOnly="0" outline="0" fieldPosition="0"/>
    </format>
    <format dxfId="182">
      <pivotArea type="all" dataOnly="0" outline="0" fieldPosition="0"/>
    </format>
    <format dxfId="181">
      <pivotArea type="all" dataOnly="0" outline="0" fieldPosition="0"/>
    </format>
    <format dxfId="180">
      <pivotArea type="all" dataOnly="0" outline="0" fieldPosition="0"/>
    </format>
    <format dxfId="179">
      <pivotArea type="all" dataOnly="0" outline="0" fieldPosition="0"/>
    </format>
    <format dxfId="178">
      <pivotArea outline="0" collapsedLevelsAreSubtotals="1" fieldPosition="0"/>
    </format>
    <format dxfId="17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FC0A3E8C-9F63-48A3-ACF0-3C14754D6ED8}" name="PivotTable80"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334:E352" firstHeaderRow="0" firstDataRow="1" firstDataCol="1" rowPageCount="1"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axis="axisRow" showAll="0" defaultSubtotal="0">
      <items count="19">
        <item x="14"/>
        <item x="6"/>
        <item x="5"/>
        <item x="7"/>
        <item x="8"/>
        <item x="13"/>
        <item x="9"/>
        <item x="0"/>
        <item x="10"/>
        <item x="11"/>
        <item x="16"/>
        <item x="12"/>
        <item x="17"/>
        <item x="3"/>
        <item x="2"/>
        <item x="4"/>
        <item x="1"/>
        <item x="15"/>
        <item x="18"/>
      </items>
    </pivotField>
    <pivotField showAll="0" defaultSubtotal="0"/>
    <pivotField showAll="0" defaultSubtotal="0"/>
    <pivotField showAll="0" defaultSubtotal="0"/>
    <pivotField showAll="0"/>
  </pivotFields>
  <rowFields count="1">
    <field x="52"/>
  </rowFields>
  <rowItems count="18">
    <i>
      <x/>
    </i>
    <i>
      <x v="1"/>
    </i>
    <i>
      <x v="2"/>
    </i>
    <i>
      <x v="3"/>
    </i>
    <i>
      <x v="4"/>
    </i>
    <i>
      <x v="5"/>
    </i>
    <i>
      <x v="6"/>
    </i>
    <i>
      <x v="7"/>
    </i>
    <i>
      <x v="8"/>
    </i>
    <i>
      <x v="9"/>
    </i>
    <i>
      <x v="10"/>
    </i>
    <i>
      <x v="11"/>
    </i>
    <i>
      <x v="13"/>
    </i>
    <i>
      <x v="14"/>
    </i>
    <i>
      <x v="15"/>
    </i>
    <i>
      <x v="16"/>
    </i>
    <i>
      <x v="17"/>
    </i>
    <i t="grand">
      <x/>
    </i>
  </rowItems>
  <colFields count="1">
    <field x="-2"/>
  </colFields>
  <colItems count="3">
    <i>
      <x/>
    </i>
    <i i="1">
      <x v="1"/>
    </i>
    <i i="2">
      <x v="2"/>
    </i>
  </colItems>
  <pageFields count="1">
    <pageField fld="7" hier="-1"/>
  </pageFields>
  <dataFields count="3">
    <dataField name="Sum of Units Proposed" fld="28" baseField="0" baseItem="0"/>
    <dataField name="Sum of Units Existing" fld="19" baseField="0" baseItem="0"/>
    <dataField name="Sum of Net Dwellings" fld="37" baseField="0" baseItem="0"/>
  </dataFields>
  <formats count="22">
    <format dxfId="211">
      <pivotArea type="all" dataOnly="0" outline="0" fieldPosition="0"/>
    </format>
    <format dxfId="210">
      <pivotArea type="all" dataOnly="0" outline="0" fieldPosition="0"/>
    </format>
    <format dxfId="209">
      <pivotArea type="all" dataOnly="0" outline="0" fieldPosition="0"/>
    </format>
    <format dxfId="208">
      <pivotArea type="all" dataOnly="0" outline="0" fieldPosition="0"/>
    </format>
    <format dxfId="207">
      <pivotArea type="all" dataOnly="0" outline="0" fieldPosition="0"/>
    </format>
    <format dxfId="206">
      <pivotArea type="all" dataOnly="0" outline="0" fieldPosition="0"/>
    </format>
    <format dxfId="205">
      <pivotArea type="all" dataOnly="0" outline="0" fieldPosition="0"/>
    </format>
    <format dxfId="204">
      <pivotArea field="52" type="button" dataOnly="0" labelOnly="1" outline="0" axis="axisRow" fieldPosition="0"/>
    </format>
    <format dxfId="203">
      <pivotArea dataOnly="0" labelOnly="1" outline="0" fieldPosition="0">
        <references count="1">
          <reference field="4294967294" count="3">
            <x v="0"/>
            <x v="1"/>
            <x v="2"/>
          </reference>
        </references>
      </pivotArea>
    </format>
    <format dxfId="202">
      <pivotArea field="52" type="button" dataOnly="0" labelOnly="1" outline="0" axis="axisRow" fieldPosition="0"/>
    </format>
    <format dxfId="201">
      <pivotArea dataOnly="0" labelOnly="1" outline="0" fieldPosition="0">
        <references count="1">
          <reference field="4294967294" count="3">
            <x v="0"/>
            <x v="1"/>
            <x v="2"/>
          </reference>
        </references>
      </pivotArea>
    </format>
    <format dxfId="200">
      <pivotArea field="52" type="button" dataOnly="0" labelOnly="1" outline="0" axis="axisRow" fieldPosition="0"/>
    </format>
    <format dxfId="199">
      <pivotArea dataOnly="0" labelOnly="1" outline="0" fieldPosition="0">
        <references count="1">
          <reference field="4294967294" count="3">
            <x v="0"/>
            <x v="1"/>
            <x v="2"/>
          </reference>
        </references>
      </pivotArea>
    </format>
    <format dxfId="198">
      <pivotArea type="all" dataOnly="0" outline="0" fieldPosition="0"/>
    </format>
    <format dxfId="197">
      <pivotArea type="all" dataOnly="0" outline="0" fieldPosition="0"/>
    </format>
    <format dxfId="196">
      <pivotArea type="all" dataOnly="0" outline="0" fieldPosition="0"/>
    </format>
    <format dxfId="195">
      <pivotArea type="all" dataOnly="0" outline="0" fieldPosition="0"/>
    </format>
    <format dxfId="194">
      <pivotArea outline="0" collapsedLevelsAreSubtotals="1" fieldPosition="0"/>
    </format>
    <format dxfId="193">
      <pivotArea field="52" type="button" dataOnly="0" labelOnly="1" outline="0" axis="axisRow" fieldPosition="0"/>
    </format>
    <format dxfId="192">
      <pivotArea dataOnly="0" labelOnly="1" fieldPosition="0">
        <references count="1">
          <reference field="52" count="17">
            <x v="0"/>
            <x v="1"/>
            <x v="2"/>
            <x v="3"/>
            <x v="4"/>
            <x v="5"/>
            <x v="6"/>
            <x v="7"/>
            <x v="8"/>
            <x v="9"/>
            <x v="10"/>
            <x v="11"/>
            <x v="13"/>
            <x v="14"/>
            <x v="15"/>
            <x v="16"/>
            <x v="17"/>
          </reference>
        </references>
      </pivotArea>
    </format>
    <format dxfId="191">
      <pivotArea dataOnly="0" labelOnly="1" grandRow="1" outline="0" fieldPosition="0"/>
    </format>
    <format dxfId="190">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EEFD01D6-A26F-4F9D-A477-83B57D29554E}" name="PivotTable70"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244:E245" firstHeaderRow="1" firstDataRow="1" firstDataCol="0" rowPageCount="3"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7">
        <item x="1"/>
        <item x="2"/>
        <item x="0"/>
        <item x="5"/>
        <item x="6"/>
        <item x="4"/>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37" baseField="0" baseItem="0"/>
  </dataFields>
  <formats count="13">
    <format dxfId="224">
      <pivotArea type="all" dataOnly="0" outline="0" fieldPosition="0"/>
    </format>
    <format dxfId="223">
      <pivotArea type="all" dataOnly="0" outline="0" fieldPosition="0"/>
    </format>
    <format dxfId="222">
      <pivotArea type="all" dataOnly="0" outline="0" fieldPosition="0"/>
    </format>
    <format dxfId="221">
      <pivotArea type="all" dataOnly="0" outline="0" fieldPosition="0"/>
    </format>
    <format dxfId="220">
      <pivotArea type="all" dataOnly="0" outline="0" fieldPosition="0"/>
    </format>
    <format dxfId="219">
      <pivotArea type="all" dataOnly="0" outline="0" fieldPosition="0"/>
    </format>
    <format dxfId="218">
      <pivotArea type="all" dataOnly="0" outline="0" fieldPosition="0"/>
    </format>
    <format dxfId="217">
      <pivotArea type="all" dataOnly="0" outline="0" fieldPosition="0"/>
    </format>
    <format dxfId="216">
      <pivotArea type="all" dataOnly="0" outline="0" fieldPosition="0"/>
    </format>
    <format dxfId="215">
      <pivotArea type="all" dataOnly="0" outline="0" fieldPosition="0"/>
    </format>
    <format dxfId="214">
      <pivotArea type="all" dataOnly="0" outline="0" fieldPosition="0"/>
    </format>
    <format dxfId="213">
      <pivotArea outline="0" collapsedLevelsAreSubtotals="1" fieldPosition="0"/>
    </format>
    <format dxfId="21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2A2D34B2-F16C-4790-9BCD-B41635CA52CC}" name="PivotTable33"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45:E146"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7">
        <item h="1" x="1"/>
        <item h="1" x="2"/>
        <item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Net Dwellings" fld="37" baseField="0" baseItem="0"/>
  </dataFields>
  <formats count="13">
    <format dxfId="237">
      <pivotArea type="all" dataOnly="0" outline="0" fieldPosition="0"/>
    </format>
    <format dxfId="236">
      <pivotArea type="all" dataOnly="0" outline="0" fieldPosition="0"/>
    </format>
    <format dxfId="235">
      <pivotArea type="all" dataOnly="0" outline="0" fieldPosition="0"/>
    </format>
    <format dxfId="234">
      <pivotArea type="all" dataOnly="0" outline="0" fieldPosition="0"/>
    </format>
    <format dxfId="233">
      <pivotArea type="all" dataOnly="0" outline="0" fieldPosition="0"/>
    </format>
    <format dxfId="232">
      <pivotArea type="all" dataOnly="0" outline="0" fieldPosition="0"/>
    </format>
    <format dxfId="231">
      <pivotArea type="all" dataOnly="0" outline="0" fieldPosition="0"/>
    </format>
    <format dxfId="230">
      <pivotArea type="all" dataOnly="0" outline="0" fieldPosition="0"/>
    </format>
    <format dxfId="229">
      <pivotArea type="all" dataOnly="0" outline="0" fieldPosition="0"/>
    </format>
    <format dxfId="228">
      <pivotArea type="all" dataOnly="0" outline="0" fieldPosition="0"/>
    </format>
    <format dxfId="227">
      <pivotArea type="all" dataOnly="0" outline="0" fieldPosition="0"/>
    </format>
    <format dxfId="226">
      <pivotArea outline="0" collapsedLevelsAreSubtotals="1" fieldPosition="0"/>
    </format>
    <format dxfId="22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13C51225-805A-408A-82E0-BB30109AB069}" name="PivotTable65"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204:B205" firstHeaderRow="1" firstDataRow="1" firstDataCol="0" rowPageCount="3"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7">
        <item h="1" x="1"/>
        <item x="2"/>
        <item h="1"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37" baseField="0" baseItem="0"/>
  </dataFields>
  <formats count="13">
    <format dxfId="250">
      <pivotArea type="all" dataOnly="0" outline="0" fieldPosition="0"/>
    </format>
    <format dxfId="249">
      <pivotArea type="all" dataOnly="0" outline="0" fieldPosition="0"/>
    </format>
    <format dxfId="248">
      <pivotArea type="all" dataOnly="0" outline="0" fieldPosition="0"/>
    </format>
    <format dxfId="247">
      <pivotArea type="all" dataOnly="0" outline="0" fieldPosition="0"/>
    </format>
    <format dxfId="246">
      <pivotArea type="all" dataOnly="0" outline="0" fieldPosition="0"/>
    </format>
    <format dxfId="245">
      <pivotArea type="all" dataOnly="0" outline="0" fieldPosition="0"/>
    </format>
    <format dxfId="244">
      <pivotArea type="all" dataOnly="0" outline="0" fieldPosition="0"/>
    </format>
    <format dxfId="243">
      <pivotArea type="all" dataOnly="0" outline="0" fieldPosition="0"/>
    </format>
    <format dxfId="242">
      <pivotArea type="all" dataOnly="0" outline="0" fieldPosition="0"/>
    </format>
    <format dxfId="241">
      <pivotArea type="all" dataOnly="0" outline="0" fieldPosition="0"/>
    </format>
    <format dxfId="240">
      <pivotArea type="all" dataOnly="0" outline="0" fieldPosition="0"/>
    </format>
    <format dxfId="239">
      <pivotArea outline="0" collapsedLevelsAreSubtotals="1" fieldPosition="0"/>
    </format>
    <format dxfId="23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DBDACF51-9763-4235-B93C-3BFA7CD79C7B}" name="PivotTable18"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71:H72" firstHeaderRow="1" firstDataRow="1" firstDataCol="0" rowPageCount="2"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Net Dwellings" fld="37" baseField="0" baseItem="0"/>
  </dataFields>
  <formats count="13">
    <format dxfId="263">
      <pivotArea type="all" dataOnly="0" outline="0" fieldPosition="0"/>
    </format>
    <format dxfId="262">
      <pivotArea type="all" dataOnly="0" outline="0" fieldPosition="0"/>
    </format>
    <format dxfId="261">
      <pivotArea type="all" dataOnly="0" outline="0" fieldPosition="0"/>
    </format>
    <format dxfId="260">
      <pivotArea type="all" dataOnly="0" outline="0" fieldPosition="0"/>
    </format>
    <format dxfId="259">
      <pivotArea type="all" dataOnly="0" outline="0" fieldPosition="0"/>
    </format>
    <format dxfId="258">
      <pivotArea type="all" dataOnly="0" outline="0" fieldPosition="0"/>
    </format>
    <format dxfId="257">
      <pivotArea type="all" dataOnly="0" outline="0" fieldPosition="0"/>
    </format>
    <format dxfId="256">
      <pivotArea type="all" dataOnly="0" outline="0" fieldPosition="0"/>
    </format>
    <format dxfId="255">
      <pivotArea type="all" dataOnly="0" outline="0" fieldPosition="0"/>
    </format>
    <format dxfId="254">
      <pivotArea type="all" dataOnly="0" outline="0" fieldPosition="0"/>
    </format>
    <format dxfId="253">
      <pivotArea type="all" dataOnly="0" outline="0" fieldPosition="0"/>
    </format>
    <format dxfId="252">
      <pivotArea outline="0" collapsedLevelsAreSubtotals="1" fieldPosition="0"/>
    </format>
    <format dxfId="25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50628A1-22B7-4155-B91B-F866CA9E0036}" name="PivotTable68"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253:E254" firstHeaderRow="1" firstDataRow="1" firstDataCol="0" rowPageCount="3" colPageCount="1"/>
  <pivotFields count="57">
    <pivotField showAll="0" defaultSubtotal="0"/>
    <pivotField axis="axisPage" multipleItemSelectionAllowed="1" showAll="0" defaultSubtotal="0">
      <items count="6">
        <item x="3"/>
        <item x="0"/>
        <item x="2"/>
        <item h="1" x="4"/>
        <item h="1"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7">
        <item x="1"/>
        <item x="2"/>
        <item x="0"/>
        <item x="5"/>
        <item x="6"/>
        <item x="4"/>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37" baseField="0" baseItem="0"/>
  </dataFields>
  <formats count="13">
    <format dxfId="28">
      <pivotArea type="all" dataOnly="0" outline="0" fieldPosition="0"/>
    </format>
    <format dxfId="27">
      <pivotArea type="all" dataOnly="0" outline="0" fieldPosition="0"/>
    </format>
    <format dxfId="26">
      <pivotArea type="all" dataOnly="0" outline="0" fieldPosition="0"/>
    </format>
    <format dxfId="25">
      <pivotArea type="all" dataOnly="0" outline="0" fieldPosition="0"/>
    </format>
    <format dxfId="24">
      <pivotArea type="all" dataOnly="0" outline="0" fieldPosition="0"/>
    </format>
    <format dxfId="23">
      <pivotArea type="all" dataOnly="0" outline="0" fieldPosition="0"/>
    </format>
    <format dxfId="22">
      <pivotArea type="all" dataOnly="0" outline="0" fieldPosition="0"/>
    </format>
    <format dxfId="21">
      <pivotArea type="all" dataOnly="0" outline="0" fieldPosition="0"/>
    </format>
    <format dxfId="20">
      <pivotArea type="all" dataOnly="0" outline="0" fieldPosition="0"/>
    </format>
    <format dxfId="19">
      <pivotArea type="all" dataOnly="0" outline="0" fieldPosition="0"/>
    </format>
    <format dxfId="18">
      <pivotArea type="all" dataOnly="0" outline="0" fieldPosition="0"/>
    </format>
    <format dxfId="17">
      <pivotArea outline="0" collapsedLevelsAreSubtotals="1" fieldPosition="0"/>
    </format>
    <format dxfId="1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C60EAC18-79FE-49AA-9263-2BE808A07043}" name="PivotTable50"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204:E205" firstHeaderRow="1" firstDataRow="1" firstDataCol="0" rowPageCount="3"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7">
        <item h="1" x="1"/>
        <item x="2"/>
        <item h="1"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37" baseField="0" baseItem="0"/>
  </dataFields>
  <formats count="13">
    <format dxfId="276">
      <pivotArea type="all" dataOnly="0" outline="0" fieldPosition="0"/>
    </format>
    <format dxfId="275">
      <pivotArea type="all" dataOnly="0" outline="0" fieldPosition="0"/>
    </format>
    <format dxfId="274">
      <pivotArea type="all" dataOnly="0" outline="0" fieldPosition="0"/>
    </format>
    <format dxfId="273">
      <pivotArea type="all" dataOnly="0" outline="0" fieldPosition="0"/>
    </format>
    <format dxfId="272">
      <pivotArea type="all" dataOnly="0" outline="0" fieldPosition="0"/>
    </format>
    <format dxfId="271">
      <pivotArea type="all" dataOnly="0" outline="0" fieldPosition="0"/>
    </format>
    <format dxfId="270">
      <pivotArea type="all" dataOnly="0" outline="0" fieldPosition="0"/>
    </format>
    <format dxfId="269">
      <pivotArea type="all" dataOnly="0" outline="0" fieldPosition="0"/>
    </format>
    <format dxfId="268">
      <pivotArea type="all" dataOnly="0" outline="0" fieldPosition="0"/>
    </format>
    <format dxfId="267">
      <pivotArea type="all" dataOnly="0" outline="0" fieldPosition="0"/>
    </format>
    <format dxfId="266">
      <pivotArea type="all" dataOnly="0" outline="0" fieldPosition="0"/>
    </format>
    <format dxfId="265">
      <pivotArea outline="0" collapsedLevelsAreSubtotals="1" fieldPosition="0"/>
    </format>
    <format dxfId="26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B7620139-0A1D-490B-BD36-D03345270ABA}" name="PivotTable14"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89:E90" firstHeaderRow="1" firstDataRow="1" firstDataCol="0" rowPageCount="2" colPageCount="1"/>
  <pivotFields count="57">
    <pivotField showAll="0" defaultSubtotal="0"/>
    <pivotField axis="axisPage" multipleItemSelectionAllowed="1" showAll="0" defaultSubtotal="0">
      <items count="6">
        <item x="3"/>
        <item x="0"/>
        <item x="2"/>
        <item h="1" x="4"/>
        <item h="1"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Net Dwellings" fld="37" baseField="0" baseItem="0"/>
  </dataFields>
  <formats count="13">
    <format dxfId="289">
      <pivotArea type="all" dataOnly="0" outline="0" fieldPosition="0"/>
    </format>
    <format dxfId="288">
      <pivotArea type="all" dataOnly="0" outline="0" fieldPosition="0"/>
    </format>
    <format dxfId="287">
      <pivotArea type="all" dataOnly="0" outline="0" fieldPosition="0"/>
    </format>
    <format dxfId="286">
      <pivotArea type="all" dataOnly="0" outline="0" fieldPosition="0"/>
    </format>
    <format dxfId="285">
      <pivotArea type="all" dataOnly="0" outline="0" fieldPosition="0"/>
    </format>
    <format dxfId="284">
      <pivotArea type="all" dataOnly="0" outline="0" fieldPosition="0"/>
    </format>
    <format dxfId="283">
      <pivotArea type="all" dataOnly="0" outline="0" fieldPosition="0"/>
    </format>
    <format dxfId="282">
      <pivotArea type="all" dataOnly="0" outline="0" fieldPosition="0"/>
    </format>
    <format dxfId="281">
      <pivotArea type="all" dataOnly="0" outline="0" fieldPosition="0"/>
    </format>
    <format dxfId="280">
      <pivotArea type="all" dataOnly="0" outline="0" fieldPosition="0"/>
    </format>
    <format dxfId="279">
      <pivotArea type="all" dataOnly="0" outline="0" fieldPosition="0"/>
    </format>
    <format dxfId="278">
      <pivotArea outline="0" collapsedLevelsAreSubtotals="1" fieldPosition="0"/>
    </format>
    <format dxfId="27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B9C86F1B-BE21-462E-B30F-CF345A44297D}" name="PivotTable49"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213:H214" firstHeaderRow="1" firstDataRow="1" firstDataCol="0" rowPageCount="3"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7">
        <item h="1" x="1"/>
        <item x="2"/>
        <item h="1"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28" baseField="0" baseItem="0"/>
  </dataFields>
  <formats count="13">
    <format dxfId="302">
      <pivotArea type="all" dataOnly="0" outline="0" fieldPosition="0"/>
    </format>
    <format dxfId="301">
      <pivotArea type="all" dataOnly="0" outline="0" fieldPosition="0"/>
    </format>
    <format dxfId="300">
      <pivotArea type="all" dataOnly="0" outline="0" fieldPosition="0"/>
    </format>
    <format dxfId="299">
      <pivotArea type="all" dataOnly="0" outline="0" fieldPosition="0"/>
    </format>
    <format dxfId="298">
      <pivotArea type="all" dataOnly="0" outline="0" fieldPosition="0"/>
    </format>
    <format dxfId="297">
      <pivotArea type="all" dataOnly="0" outline="0" fieldPosition="0"/>
    </format>
    <format dxfId="296">
      <pivotArea type="all" dataOnly="0" outline="0" fieldPosition="0"/>
    </format>
    <format dxfId="295">
      <pivotArea type="all" dataOnly="0" outline="0" fieldPosition="0"/>
    </format>
    <format dxfId="294">
      <pivotArea type="all" dataOnly="0" outline="0" fieldPosition="0"/>
    </format>
    <format dxfId="293">
      <pivotArea type="all" dataOnly="0" outline="0" fieldPosition="0"/>
    </format>
    <format dxfId="292">
      <pivotArea type="all" dataOnly="0" outline="0" fieldPosition="0"/>
    </format>
    <format dxfId="291">
      <pivotArea outline="0" collapsedLevelsAreSubtotals="1" fieldPosition="0"/>
    </format>
    <format dxfId="29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F6BDFA04-7B43-4975-AFD8-522EFDEDDD33}" name="PivotTable88"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Q403:R414" firstHeaderRow="1" firstDataRow="1" firstDataCol="1" rowPageCount="3" colPageCount="1"/>
  <pivotFields count="57">
    <pivotField showAll="0" defaultSubtotal="0"/>
    <pivotField axis="axisPage" multipleItemSelectionAllowed="1" showAll="0" defaultSubtotal="0">
      <items count="6">
        <item x="3"/>
        <item x="0"/>
        <item x="2"/>
        <item h="1" x="4"/>
        <item h="1" x="1"/>
        <item h="1" x="5"/>
      </items>
    </pivotField>
    <pivotField axis="axisPage" multipleItemSelectionAllowed="1" showAll="0" defaultSubtotal="0">
      <items count="3">
        <item x="1"/>
        <item h="1" x="0"/>
        <item h="1" x="2"/>
      </items>
    </pivotField>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axis="axisRow" showAll="0" defaultSubtotal="0">
      <items count="19">
        <item x="14"/>
        <item x="6"/>
        <item x="5"/>
        <item x="7"/>
        <item x="8"/>
        <item x="13"/>
        <item x="9"/>
        <item x="0"/>
        <item x="10"/>
        <item x="11"/>
        <item x="16"/>
        <item x="12"/>
        <item x="17"/>
        <item x="3"/>
        <item x="2"/>
        <item x="4"/>
        <item x="1"/>
        <item x="15"/>
        <item x="18"/>
      </items>
    </pivotField>
    <pivotField showAll="0" defaultSubtotal="0"/>
    <pivotField showAll="0" defaultSubtotal="0"/>
    <pivotField showAll="0" defaultSubtotal="0"/>
    <pivotField showAll="0"/>
  </pivotFields>
  <rowFields count="1">
    <field x="52"/>
  </rowFields>
  <rowItems count="11">
    <i>
      <x/>
    </i>
    <i>
      <x v="1"/>
    </i>
    <i>
      <x v="2"/>
    </i>
    <i>
      <x v="4"/>
    </i>
    <i>
      <x v="6"/>
    </i>
    <i>
      <x v="8"/>
    </i>
    <i>
      <x v="9"/>
    </i>
    <i>
      <x v="10"/>
    </i>
    <i>
      <x v="14"/>
    </i>
    <i>
      <x v="15"/>
    </i>
    <i t="grand">
      <x/>
    </i>
  </rowItems>
  <colItems count="1">
    <i/>
  </colItems>
  <pageFields count="3">
    <pageField fld="7" hier="-1"/>
    <pageField fld="2" hier="-1"/>
    <pageField fld="1" hier="-1"/>
  </pageFields>
  <dataFields count="1">
    <dataField name="Sum of Net Dwellings" fld="37" baseField="0" baseItem="0"/>
  </dataFields>
  <formats count="22">
    <format dxfId="324">
      <pivotArea type="all" dataOnly="0" outline="0" fieldPosition="0"/>
    </format>
    <format dxfId="323">
      <pivotArea type="all" dataOnly="0" outline="0" fieldPosition="0"/>
    </format>
    <format dxfId="322">
      <pivotArea type="all" dataOnly="0" outline="0" fieldPosition="0"/>
    </format>
    <format dxfId="321">
      <pivotArea type="all" dataOnly="0" outline="0" fieldPosition="0"/>
    </format>
    <format dxfId="320">
      <pivotArea type="all" dataOnly="0" outline="0" fieldPosition="0"/>
    </format>
    <format dxfId="319">
      <pivotArea type="all" dataOnly="0" outline="0" fieldPosition="0"/>
    </format>
    <format dxfId="318">
      <pivotArea type="all" dataOnly="0" outline="0" fieldPosition="0"/>
    </format>
    <format dxfId="317">
      <pivotArea field="52" type="button" dataOnly="0" labelOnly="1" outline="0" axis="axisRow" fieldPosition="0"/>
    </format>
    <format dxfId="316">
      <pivotArea dataOnly="0" labelOnly="1" outline="0" fieldPosition="0">
        <references count="1">
          <reference field="4294967294" count="1">
            <x v="0"/>
          </reference>
        </references>
      </pivotArea>
    </format>
    <format dxfId="315">
      <pivotArea field="52" type="button" dataOnly="0" labelOnly="1" outline="0" axis="axisRow" fieldPosition="0"/>
    </format>
    <format dxfId="314">
      <pivotArea dataOnly="0" labelOnly="1" outline="0" fieldPosition="0">
        <references count="1">
          <reference field="4294967294" count="1">
            <x v="0"/>
          </reference>
        </references>
      </pivotArea>
    </format>
    <format dxfId="313">
      <pivotArea field="52" type="button" dataOnly="0" labelOnly="1" outline="0" axis="axisRow" fieldPosition="0"/>
    </format>
    <format dxfId="312">
      <pivotArea dataOnly="0" labelOnly="1" outline="0" fieldPosition="0">
        <references count="1">
          <reference field="4294967294" count="1">
            <x v="0"/>
          </reference>
        </references>
      </pivotArea>
    </format>
    <format dxfId="311">
      <pivotArea type="all" dataOnly="0" outline="0" fieldPosition="0"/>
    </format>
    <format dxfId="310">
      <pivotArea type="all" dataOnly="0" outline="0" fieldPosition="0"/>
    </format>
    <format dxfId="309">
      <pivotArea type="all" dataOnly="0" outline="0" fieldPosition="0"/>
    </format>
    <format dxfId="308">
      <pivotArea type="all" dataOnly="0" outline="0" fieldPosition="0"/>
    </format>
    <format dxfId="307">
      <pivotArea outline="0" collapsedLevelsAreSubtotals="1" fieldPosition="0"/>
    </format>
    <format dxfId="306">
      <pivotArea field="52" type="button" dataOnly="0" labelOnly="1" outline="0" axis="axisRow" fieldPosition="0"/>
    </format>
    <format dxfId="305">
      <pivotArea dataOnly="0" labelOnly="1" fieldPosition="0">
        <references count="1">
          <reference field="52" count="10">
            <x v="0"/>
            <x v="1"/>
            <x v="2"/>
            <x v="4"/>
            <x v="6"/>
            <x v="8"/>
            <x v="9"/>
            <x v="10"/>
            <x v="14"/>
            <x v="15"/>
          </reference>
        </references>
      </pivotArea>
    </format>
    <format dxfId="304">
      <pivotArea dataOnly="0" labelOnly="1" grandRow="1" outline="0" fieldPosition="0"/>
    </format>
    <format dxfId="30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017D4CFC-5CB5-4D16-BF14-310F9B1C93B9}" name="PivotTable93"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47:F48" firstHeaderRow="0" firstDataRow="1" firstDataCol="0" rowPageCount="4" colPageCount="1"/>
  <pivotFields count="57">
    <pivotField showAll="0" defaultSubtotal="0"/>
    <pivotField axis="axisPage" multipleItemSelectionAllowed="1" showAll="0" defaultSubtotal="0">
      <items count="6">
        <item x="3"/>
        <item x="0"/>
        <item x="2"/>
        <item x="4"/>
        <item x="1"/>
        <item x="5"/>
      </items>
    </pivotField>
    <pivotField axis="axisPage" multipleItemSelectionAllowed="1" showAll="0" defaultSubtotal="0">
      <items count="3">
        <item x="1"/>
        <item h="1" x="0"/>
        <item h="1" x="2"/>
      </items>
    </pivotField>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dataField="1" numFmtId="165" showAll="0"/>
    <pivotField dataField="1" numFmtId="165" showAll="0"/>
    <pivotField dataField="1" numFmtId="165" showAll="0"/>
    <pivotField dataField="1" numFmtId="165" showAll="0"/>
    <pivotField dataField="1" numFmtId="165" showAll="0"/>
    <pivotField axis="axisPage" multipleItemSelectionAllowed="1" showAll="0" defaultSubtotal="0">
      <items count="2">
        <item h="1" x="0"/>
        <item x="1"/>
      </items>
    </pivotField>
    <pivotField showAll="0"/>
    <pivotField showAll="0"/>
    <pivotField showAll="0"/>
    <pivotField showAll="0"/>
    <pivotField showAll="0"/>
    <pivotField showAll="0" defaultSubtotal="0"/>
    <pivotField showAll="0" defaultSubtotal="0"/>
    <pivotField showAll="0" defaultSubtotal="0"/>
    <pivotField showAll="0" defaultSubtotal="0"/>
    <pivotField showAll="0"/>
  </pivotFields>
  <rowItems count="1">
    <i/>
  </rowItems>
  <colFields count="1">
    <field x="-2"/>
  </colFields>
  <colItems count="5">
    <i>
      <x/>
    </i>
    <i i="1">
      <x v="1"/>
    </i>
    <i i="2">
      <x v="2"/>
    </i>
    <i i="3">
      <x v="3"/>
    </i>
    <i i="4">
      <x v="4"/>
    </i>
  </colItems>
  <pageFields count="4">
    <pageField fld="46" hier="-1"/>
    <pageField fld="7" hier="-1"/>
    <pageField fld="1" hier="-1"/>
    <pageField fld="2" hier="-1"/>
  </pageFields>
  <dataFields count="5">
    <dataField name="Sum of 2020/21 (1)" fld="41" baseField="0" baseItem="0"/>
    <dataField name="Sum of 2021/22 (2)" fld="42" baseField="0" baseItem="0"/>
    <dataField name="Sum of 2022/23 (3)" fld="43" baseField="0" baseItem="0"/>
    <dataField name="Sum of 2023/24 (4)" fld="44" baseField="0" baseItem="0"/>
    <dataField name="Sum of 2024/25 (5)" fld="45" baseField="0" baseItem="0"/>
  </dataFields>
  <formats count="14">
    <format dxfId="338">
      <pivotArea type="all" dataOnly="0" outline="0" fieldPosition="0"/>
    </format>
    <format dxfId="337">
      <pivotArea type="all" dataOnly="0" outline="0" fieldPosition="0"/>
    </format>
    <format dxfId="336">
      <pivotArea type="all" dataOnly="0" outline="0" fieldPosition="0"/>
    </format>
    <format dxfId="335">
      <pivotArea type="all" dataOnly="0" outline="0" fieldPosition="0"/>
    </format>
    <format dxfId="334">
      <pivotArea type="all" dataOnly="0" outline="0" fieldPosition="0"/>
    </format>
    <format dxfId="333">
      <pivotArea type="all" dataOnly="0" outline="0" fieldPosition="0"/>
    </format>
    <format dxfId="332">
      <pivotArea type="all" dataOnly="0" outline="0" fieldPosition="0"/>
    </format>
    <format dxfId="331">
      <pivotArea outline="0" collapsedLevelsAreSubtotals="1" fieldPosition="0"/>
    </format>
    <format dxfId="330">
      <pivotArea type="all" dataOnly="0" outline="0" fieldPosition="0"/>
    </format>
    <format dxfId="329">
      <pivotArea type="all" dataOnly="0" outline="0" fieldPosition="0"/>
    </format>
    <format dxfId="328">
      <pivotArea type="all" dataOnly="0" outline="0" fieldPosition="0"/>
    </format>
    <format dxfId="327">
      <pivotArea type="all" dataOnly="0" outline="0" fieldPosition="0"/>
    </format>
    <format dxfId="326">
      <pivotArea outline="0" collapsedLevelsAreSubtotals="1" fieldPosition="0"/>
    </format>
    <format dxfId="325">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AAC2F6C2-0EA9-4F61-B7CE-81EC1726A3BA}" name="PivotTable63"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K185:K186" firstHeaderRow="1" firstDataRow="1" firstDataCol="0" rowPageCount="1"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h="1" x="2"/>
        <item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1">
    <pageField fld="7" hier="-1"/>
  </pageFields>
  <dataFields count="1">
    <dataField name="Sum of Net Dwellings" fld="37" baseField="0" baseItem="0"/>
  </dataFields>
  <formats count="13">
    <format dxfId="351">
      <pivotArea type="all" dataOnly="0" outline="0" fieldPosition="0"/>
    </format>
    <format dxfId="350">
      <pivotArea type="all" dataOnly="0" outline="0" fieldPosition="0"/>
    </format>
    <format dxfId="349">
      <pivotArea type="all" dataOnly="0" outline="0" fieldPosition="0"/>
    </format>
    <format dxfId="348">
      <pivotArea type="all" dataOnly="0" outline="0" fieldPosition="0"/>
    </format>
    <format dxfId="347">
      <pivotArea type="all" dataOnly="0" outline="0" fieldPosition="0"/>
    </format>
    <format dxfId="346">
      <pivotArea type="all" dataOnly="0" outline="0" fieldPosition="0"/>
    </format>
    <format dxfId="345">
      <pivotArea type="all" dataOnly="0" outline="0" fieldPosition="0"/>
    </format>
    <format dxfId="344">
      <pivotArea type="all" dataOnly="0" outline="0" fieldPosition="0"/>
    </format>
    <format dxfId="343">
      <pivotArea type="all" dataOnly="0" outline="0" fieldPosition="0"/>
    </format>
    <format dxfId="342">
      <pivotArea type="all" dataOnly="0" outline="0" fieldPosition="0"/>
    </format>
    <format dxfId="341">
      <pivotArea type="all" dataOnly="0" outline="0" fieldPosition="0"/>
    </format>
    <format dxfId="340">
      <pivotArea outline="0" collapsedLevelsAreSubtotals="1" fieldPosition="0"/>
    </format>
    <format dxfId="33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67BE5BD0-33D7-4B39-9994-D4C661B6D141}" name="PivotTable42"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63:E164"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7">
        <item x="1"/>
        <item h="1" x="2"/>
        <item h="1"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Units Proposed" fld="28" baseField="0" baseItem="0"/>
  </dataFields>
  <formats count="13">
    <format dxfId="364">
      <pivotArea type="all" dataOnly="0" outline="0" fieldPosition="0"/>
    </format>
    <format dxfId="363">
      <pivotArea type="all" dataOnly="0" outline="0" fieldPosition="0"/>
    </format>
    <format dxfId="362">
      <pivotArea type="all" dataOnly="0" outline="0" fieldPosition="0"/>
    </format>
    <format dxfId="361">
      <pivotArea type="all" dataOnly="0" outline="0" fieldPosition="0"/>
    </format>
    <format dxfId="360">
      <pivotArea type="all" dataOnly="0" outline="0" fieldPosition="0"/>
    </format>
    <format dxfId="359">
      <pivotArea type="all" dataOnly="0" outline="0" fieldPosition="0"/>
    </format>
    <format dxfId="358">
      <pivotArea type="all" dataOnly="0" outline="0" fieldPosition="0"/>
    </format>
    <format dxfId="357">
      <pivotArea type="all" dataOnly="0" outline="0" fieldPosition="0"/>
    </format>
    <format dxfId="356">
      <pivotArea type="all" dataOnly="0" outline="0" fieldPosition="0"/>
    </format>
    <format dxfId="355">
      <pivotArea type="all" dataOnly="0" outline="0" fieldPosition="0"/>
    </format>
    <format dxfId="354">
      <pivotArea type="all" dataOnly="0" outline="0" fieldPosition="0"/>
    </format>
    <format dxfId="353">
      <pivotArea outline="0" collapsedLevelsAreSubtotals="1" fieldPosition="0"/>
    </format>
    <format dxfId="35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94AF99D7-5D06-4F94-B6B9-5C37BAB2CAFD}" name="PivotTable98"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494:C497" firstHeaderRow="1" firstDataRow="1" firstDataCol="1" rowPageCount="1" colPageCount="1"/>
  <pivotFields count="58">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6">
        <item x="0"/>
        <item x="1"/>
        <item x="2"/>
        <item x="3"/>
        <item x="4"/>
        <item m="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 axis="axisRow" showAll="0">
      <items count="4">
        <item m="1" x="2"/>
        <item x="0"/>
        <item x="1"/>
        <item t="default"/>
      </items>
    </pivotField>
  </pivotFields>
  <rowFields count="1">
    <field x="57"/>
  </rowFields>
  <rowItems count="3">
    <i>
      <x v="1"/>
    </i>
    <i>
      <x v="2"/>
    </i>
    <i t="grand">
      <x/>
    </i>
  </rowItems>
  <colItems count="1">
    <i/>
  </colItems>
  <pageFields count="1">
    <pageField fld="7" hier="-1"/>
  </pageFields>
  <dataFields count="1">
    <dataField name="Sum of Units Proposed" fld="28" baseField="0" baseItem="0"/>
  </dataFields>
  <formats count="16">
    <format dxfId="380">
      <pivotArea type="all" dataOnly="0" outline="0" fieldPosition="0"/>
    </format>
    <format dxfId="379">
      <pivotArea type="all" dataOnly="0" outline="0" fieldPosition="0"/>
    </format>
    <format dxfId="378">
      <pivotArea type="all" dataOnly="0" outline="0" fieldPosition="0"/>
    </format>
    <format dxfId="377">
      <pivotArea type="all" dataOnly="0" outline="0" fieldPosition="0"/>
    </format>
    <format dxfId="376">
      <pivotArea type="all" dataOnly="0" outline="0" fieldPosition="0"/>
    </format>
    <format dxfId="375">
      <pivotArea type="all" dataOnly="0" outline="0" fieldPosition="0"/>
    </format>
    <format dxfId="374">
      <pivotArea type="all" dataOnly="0" outline="0" fieldPosition="0"/>
    </format>
    <format dxfId="373">
      <pivotArea type="all" dataOnly="0" outline="0" fieldPosition="0"/>
    </format>
    <format dxfId="372">
      <pivotArea type="all" dataOnly="0" outline="0" fieldPosition="0"/>
    </format>
    <format dxfId="371">
      <pivotArea type="all" dataOnly="0" outline="0" fieldPosition="0"/>
    </format>
    <format dxfId="370">
      <pivotArea type="all" dataOnly="0" outline="0" fieldPosition="0"/>
    </format>
    <format dxfId="369">
      <pivotArea outline="0" collapsedLevelsAreSubtotals="1" fieldPosition="0"/>
    </format>
    <format dxfId="368">
      <pivotArea field="57" type="button" dataOnly="0" labelOnly="1" outline="0" axis="axisRow" fieldPosition="0"/>
    </format>
    <format dxfId="367">
      <pivotArea dataOnly="0" labelOnly="1" fieldPosition="0">
        <references count="1">
          <reference field="57" count="0"/>
        </references>
      </pivotArea>
    </format>
    <format dxfId="366">
      <pivotArea dataOnly="0" labelOnly="1" grandRow="1" outline="0" fieldPosition="0"/>
    </format>
    <format dxfId="36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E414A26E-8140-4F9C-8236-783F83AA8BAA}" name="PivotTable59"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95:E196" firstHeaderRow="1" firstDataRow="1" firstDataCol="0" rowPageCount="3"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7">
        <item h="1" x="1"/>
        <item h="1" x="2"/>
        <item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28" baseField="0" baseItem="0"/>
  </dataFields>
  <formats count="13">
    <format dxfId="393">
      <pivotArea type="all" dataOnly="0" outline="0" fieldPosition="0"/>
    </format>
    <format dxfId="392">
      <pivotArea type="all" dataOnly="0" outline="0" fieldPosition="0"/>
    </format>
    <format dxfId="391">
      <pivotArea type="all" dataOnly="0" outline="0" fieldPosition="0"/>
    </format>
    <format dxfId="390">
      <pivotArea type="all" dataOnly="0" outline="0" fieldPosition="0"/>
    </format>
    <format dxfId="389">
      <pivotArea type="all" dataOnly="0" outline="0" fieldPosition="0"/>
    </format>
    <format dxfId="388">
      <pivotArea type="all" dataOnly="0" outline="0" fieldPosition="0"/>
    </format>
    <format dxfId="387">
      <pivotArea type="all" dataOnly="0" outline="0" fieldPosition="0"/>
    </format>
    <format dxfId="386">
      <pivotArea type="all" dataOnly="0" outline="0" fieldPosition="0"/>
    </format>
    <format dxfId="385">
      <pivotArea type="all" dataOnly="0" outline="0" fieldPosition="0"/>
    </format>
    <format dxfId="384">
      <pivotArea type="all" dataOnly="0" outline="0" fieldPosition="0"/>
    </format>
    <format dxfId="383">
      <pivotArea type="all" dataOnly="0" outline="0" fieldPosition="0"/>
    </format>
    <format dxfId="382">
      <pivotArea outline="0" collapsedLevelsAreSubtotals="1" fieldPosition="0"/>
    </format>
    <format dxfId="38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01737DD0-1896-4102-9189-7101C3CD2A2B}" name="PivotTable67"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253:B254" firstHeaderRow="1" firstDataRow="1" firstDataCol="0" rowPageCount="3" colPageCount="1"/>
  <pivotFields count="57">
    <pivotField showAll="0" defaultSubtotal="0"/>
    <pivotField axis="axisPage" multipleItemSelectionAllowed="1" showAll="0" defaultSubtotal="0">
      <items count="6">
        <item x="3"/>
        <item x="0"/>
        <item x="2"/>
        <item h="1" x="4"/>
        <item h="1"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7">
        <item x="1"/>
        <item x="2"/>
        <item x="0"/>
        <item x="5"/>
        <item x="6"/>
        <item x="4"/>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37" baseField="0" baseItem="0"/>
  </dataFields>
  <formats count="13">
    <format dxfId="406">
      <pivotArea type="all" dataOnly="0" outline="0" fieldPosition="0"/>
    </format>
    <format dxfId="405">
      <pivotArea type="all" dataOnly="0" outline="0" fieldPosition="0"/>
    </format>
    <format dxfId="404">
      <pivotArea type="all" dataOnly="0" outline="0" fieldPosition="0"/>
    </format>
    <format dxfId="403">
      <pivotArea type="all" dataOnly="0" outline="0" fieldPosition="0"/>
    </format>
    <format dxfId="402">
      <pivotArea type="all" dataOnly="0" outline="0" fieldPosition="0"/>
    </format>
    <format dxfId="401">
      <pivotArea type="all" dataOnly="0" outline="0" fieldPosition="0"/>
    </format>
    <format dxfId="400">
      <pivotArea type="all" dataOnly="0" outline="0" fieldPosition="0"/>
    </format>
    <format dxfId="399">
      <pivotArea type="all" dataOnly="0" outline="0" fieldPosition="0"/>
    </format>
    <format dxfId="398">
      <pivotArea type="all" dataOnly="0" outline="0" fieldPosition="0"/>
    </format>
    <format dxfId="397">
      <pivotArea type="all" dataOnly="0" outline="0" fieldPosition="0"/>
    </format>
    <format dxfId="396">
      <pivotArea type="all" dataOnly="0" outline="0" fieldPosition="0"/>
    </format>
    <format dxfId="395">
      <pivotArea outline="0" collapsedLevelsAreSubtotals="1" fieldPosition="0"/>
    </format>
    <format dxfId="39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77CB65E-6AFE-41CC-81A4-4801C9800704}" name="PivotTable41"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71:H172"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7">
        <item h="1" x="1"/>
        <item h="1" x="2"/>
        <item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Units Proposed" fld="28" baseField="0" baseItem="0"/>
  </dataFields>
  <formats count="13">
    <format dxfId="41">
      <pivotArea type="all" dataOnly="0" outline="0" fieldPosition="0"/>
    </format>
    <format dxfId="40">
      <pivotArea type="all" dataOnly="0" outline="0" fieldPosition="0"/>
    </format>
    <format dxfId="39">
      <pivotArea type="all" dataOnly="0" outline="0" fieldPosition="0"/>
    </format>
    <format dxfId="38">
      <pivotArea type="all" dataOnly="0" outline="0" fieldPosition="0"/>
    </format>
    <format dxfId="37">
      <pivotArea type="all" dataOnly="0" outline="0" fieldPosition="0"/>
    </format>
    <format dxfId="36">
      <pivotArea type="all" dataOnly="0" outline="0" fieldPosition="0"/>
    </format>
    <format dxfId="35">
      <pivotArea type="all" dataOnly="0" outline="0" fieldPosition="0"/>
    </format>
    <format dxfId="34">
      <pivotArea type="all" dataOnly="0" outline="0" fieldPosition="0"/>
    </format>
    <format dxfId="33">
      <pivotArea type="all" dataOnly="0" outline="0" fieldPosition="0"/>
    </format>
    <format dxfId="32">
      <pivotArea type="all" dataOnly="0" outline="0" fieldPosition="0"/>
    </format>
    <format dxfId="31">
      <pivotArea type="all" dataOnly="0" outline="0" fieldPosition="0"/>
    </format>
    <format dxfId="30">
      <pivotArea outline="0" collapsedLevelsAreSubtotals="1" fieldPosition="0"/>
    </format>
    <format dxfId="2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25DE03F9-2D03-4BEA-9E65-BC0DF2322BB7}" name="PivotTable9"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244:H245" firstHeaderRow="1" firstDataRow="1" firstDataCol="0" rowPageCount="3"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7">
        <item x="1"/>
        <item x="2"/>
        <item x="0"/>
        <item x="5"/>
        <item x="6"/>
        <item x="4"/>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37" baseField="0" baseItem="0"/>
  </dataFields>
  <formats count="13">
    <format dxfId="419">
      <pivotArea type="all" dataOnly="0" outline="0" fieldPosition="0"/>
    </format>
    <format dxfId="418">
      <pivotArea type="all" dataOnly="0" outline="0" fieldPosition="0"/>
    </format>
    <format dxfId="417">
      <pivotArea type="all" dataOnly="0" outline="0" fieldPosition="0"/>
    </format>
    <format dxfId="416">
      <pivotArea type="all" dataOnly="0" outline="0" fieldPosition="0"/>
    </format>
    <format dxfId="415">
      <pivotArea type="all" dataOnly="0" outline="0" fieldPosition="0"/>
    </format>
    <format dxfId="414">
      <pivotArea type="all" dataOnly="0" outline="0" fieldPosition="0"/>
    </format>
    <format dxfId="413">
      <pivotArea type="all" dataOnly="0" outline="0" fieldPosition="0"/>
    </format>
    <format dxfId="412">
      <pivotArea type="all" dataOnly="0" outline="0" fieldPosition="0"/>
    </format>
    <format dxfId="411">
      <pivotArea type="all" dataOnly="0" outline="0" fieldPosition="0"/>
    </format>
    <format dxfId="410">
      <pivotArea type="all" dataOnly="0" outline="0" fieldPosition="0"/>
    </format>
    <format dxfId="409">
      <pivotArea type="all" dataOnly="0" outline="0" fieldPosition="0"/>
    </format>
    <format dxfId="408">
      <pivotArea outline="0" collapsedLevelsAreSubtotals="1" fieldPosition="0"/>
    </format>
    <format dxfId="40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1B0397A1-2AF8-4159-86CD-DD84D4FFAC97}" name="PivotTable71"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265:J268" firstHeaderRow="0" firstDataRow="1" firstDataCol="1" rowPageCount="1" colPageCount="1"/>
  <pivotFields count="57">
    <pivotField showAll="0" defaultSubtotal="0"/>
    <pivotField multipleItemSelectionAllowed="1" showAll="0" defaultSubtotal="0"/>
    <pivotField axis="axisRow" showAll="0" defaultSubtotal="0">
      <items count="3">
        <item x="1"/>
        <item x="0"/>
        <item x="2"/>
      </items>
    </pivotField>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Fields count="1">
    <field x="2"/>
  </rowFields>
  <rowItems count="3">
    <i>
      <x/>
    </i>
    <i>
      <x v="1"/>
    </i>
    <i t="grand">
      <x/>
    </i>
  </rowItems>
  <colFields count="1">
    <field x="-2"/>
  </colFields>
  <colItems count="8">
    <i>
      <x/>
    </i>
    <i i="1">
      <x v="1"/>
    </i>
    <i i="2">
      <x v="2"/>
    </i>
    <i i="3">
      <x v="3"/>
    </i>
    <i i="4">
      <x v="4"/>
    </i>
    <i i="5">
      <x v="5"/>
    </i>
    <i i="6">
      <x v="6"/>
    </i>
    <i i="7">
      <x v="7"/>
    </i>
  </colItems>
  <pageFields count="1">
    <pageField fld="7" hier="-1"/>
  </pageFields>
  <dataFields count="8">
    <dataField name="Sum of 0 bed net" fld="29" baseField="0" baseItem="1"/>
    <dataField name="Sum of 1 bed net" fld="30" baseField="0" baseItem="1"/>
    <dataField name="Sum of 2 bed net" fld="31" baseField="0" baseItem="1"/>
    <dataField name="Sum of 3 bed net" fld="32" baseField="0" baseItem="1"/>
    <dataField name="Sum of 4 bed net" fld="33" baseField="0" baseItem="1"/>
    <dataField name="Sum of 5 bed net" fld="34" baseField="0" baseItem="1"/>
    <dataField name="Sum of 6 bed net" fld="35" baseField="0" baseItem="1"/>
    <dataField name="Sum of 7 bed net" fld="36" baseField="0" baseItem="1"/>
  </dataFields>
  <formats count="16">
    <format dxfId="435">
      <pivotArea type="all" dataOnly="0" outline="0" fieldPosition="0"/>
    </format>
    <format dxfId="434">
      <pivotArea type="all" dataOnly="0" outline="0" fieldPosition="0"/>
    </format>
    <format dxfId="433">
      <pivotArea type="all" dataOnly="0" outline="0" fieldPosition="0"/>
    </format>
    <format dxfId="432">
      <pivotArea type="all" dataOnly="0" outline="0" fieldPosition="0"/>
    </format>
    <format dxfId="431">
      <pivotArea type="all" dataOnly="0" outline="0" fieldPosition="0"/>
    </format>
    <format dxfId="430">
      <pivotArea type="all" dataOnly="0" outline="0" fieldPosition="0"/>
    </format>
    <format dxfId="429">
      <pivotArea type="all" dataOnly="0" outline="0" fieldPosition="0"/>
    </format>
    <format dxfId="428">
      <pivotArea type="all" dataOnly="0" outline="0" fieldPosition="0"/>
    </format>
    <format dxfId="427">
      <pivotArea type="all" dataOnly="0" outline="0" fieldPosition="0"/>
    </format>
    <format dxfId="426">
      <pivotArea type="all" dataOnly="0" outline="0" fieldPosition="0"/>
    </format>
    <format dxfId="425">
      <pivotArea type="all" dataOnly="0" outline="0" fieldPosition="0"/>
    </format>
    <format dxfId="424">
      <pivotArea outline="0" collapsedLevelsAreSubtotals="1" fieldPosition="0"/>
    </format>
    <format dxfId="423">
      <pivotArea field="2" type="button" dataOnly="0" labelOnly="1" outline="0" axis="axisRow" fieldPosition="0"/>
    </format>
    <format dxfId="422">
      <pivotArea dataOnly="0" labelOnly="1" fieldPosition="0">
        <references count="1">
          <reference field="2" count="2">
            <x v="0"/>
            <x v="1"/>
          </reference>
        </references>
      </pivotArea>
    </format>
    <format dxfId="421">
      <pivotArea dataOnly="0" labelOnly="1" grandRow="1" outline="0" fieldPosition="0"/>
    </format>
    <format dxfId="420">
      <pivotArea dataOnly="0" labelOnly="1" outline="0" fieldPosition="0">
        <references count="1">
          <reference field="4294967294" count="8">
            <x v="0"/>
            <x v="1"/>
            <x v="2"/>
            <x v="3"/>
            <x v="4"/>
            <x v="5"/>
            <x v="6"/>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9A250875-24C8-47C6-B652-7943AF9F1AD8}" name="PivotTable76"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I280:J289" firstHeaderRow="1" firstDataRow="1" firstDataCol="1" rowPageCount="1"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defaultSubtotal="0"/>
    <pivotField showAll="0" defaultSubtotal="0"/>
    <pivotField axis="axisRow" showAll="0" defaultSubtotal="0">
      <items count="17">
        <item x="2"/>
        <item x="3"/>
        <item x="7"/>
        <item x="1"/>
        <item x="4"/>
        <item x="13"/>
        <item x="8"/>
        <item x="12"/>
        <item x="10"/>
        <item x="5"/>
        <item x="11"/>
        <item x="6"/>
        <item x="14"/>
        <item x="16"/>
        <item x="9"/>
        <item h="1" x="0"/>
        <item h="1" x="15"/>
      </items>
    </pivotField>
    <pivotField showAll="0" defaultSubtotal="0"/>
    <pivotField showAll="0"/>
  </pivotFields>
  <rowFields count="1">
    <field x="54"/>
  </rowFields>
  <rowItems count="9">
    <i>
      <x/>
    </i>
    <i>
      <x v="1"/>
    </i>
    <i>
      <x v="2"/>
    </i>
    <i>
      <x v="3"/>
    </i>
    <i>
      <x v="4"/>
    </i>
    <i>
      <x v="6"/>
    </i>
    <i>
      <x v="9"/>
    </i>
    <i>
      <x v="11"/>
    </i>
    <i t="grand">
      <x/>
    </i>
  </rowItems>
  <colItems count="1">
    <i/>
  </colItems>
  <pageFields count="1">
    <pageField fld="7" hier="-1"/>
  </pageFields>
  <dataFields count="1">
    <dataField name="Sum of Net Dwellings" fld="37" baseField="0" baseItem="0"/>
  </dataFields>
  <formats count="16">
    <format dxfId="451">
      <pivotArea type="all" dataOnly="0" outline="0" fieldPosition="0"/>
    </format>
    <format dxfId="450">
      <pivotArea type="all" dataOnly="0" outline="0" fieldPosition="0"/>
    </format>
    <format dxfId="449">
      <pivotArea type="all" dataOnly="0" outline="0" fieldPosition="0"/>
    </format>
    <format dxfId="448">
      <pivotArea type="all" dataOnly="0" outline="0" fieldPosition="0"/>
    </format>
    <format dxfId="447">
      <pivotArea type="all" dataOnly="0" outline="0" fieldPosition="0"/>
    </format>
    <format dxfId="446">
      <pivotArea type="all" dataOnly="0" outline="0" fieldPosition="0"/>
    </format>
    <format dxfId="445">
      <pivotArea type="all" dataOnly="0" outline="0" fieldPosition="0"/>
    </format>
    <format dxfId="444">
      <pivotArea type="all" dataOnly="0" outline="0" fieldPosition="0"/>
    </format>
    <format dxfId="443">
      <pivotArea type="all" dataOnly="0" outline="0" fieldPosition="0"/>
    </format>
    <format dxfId="442">
      <pivotArea type="all" dataOnly="0" outline="0" fieldPosition="0"/>
    </format>
    <format dxfId="441">
      <pivotArea type="all" dataOnly="0" outline="0" fieldPosition="0"/>
    </format>
    <format dxfId="440">
      <pivotArea outline="0" collapsedLevelsAreSubtotals="1" fieldPosition="0"/>
    </format>
    <format dxfId="439">
      <pivotArea field="54" type="button" dataOnly="0" labelOnly="1" outline="0" axis="axisRow" fieldPosition="0"/>
    </format>
    <format dxfId="438">
      <pivotArea dataOnly="0" labelOnly="1" fieldPosition="0">
        <references count="1">
          <reference field="54" count="8">
            <x v="0"/>
            <x v="1"/>
            <x v="2"/>
            <x v="3"/>
            <x v="4"/>
            <x v="6"/>
            <x v="9"/>
            <x v="11"/>
          </reference>
        </references>
      </pivotArea>
    </format>
    <format dxfId="437">
      <pivotArea dataOnly="0" labelOnly="1" grandRow="1" outline="0" fieldPosition="0"/>
    </format>
    <format dxfId="43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A4A66868-D4B0-457D-A75E-0F6806F6DC59}" name="PivotTable22"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07:H108" firstHeaderRow="1" firstDataRow="1" firstDataCol="0" rowPageCount="1"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1">
    <pageField fld="7" hier="-1"/>
  </pageFields>
  <dataFields count="1">
    <dataField name="Sum of Net Dwellings" fld="37" baseField="0" baseItem="0"/>
  </dataFields>
  <formats count="13">
    <format dxfId="464">
      <pivotArea type="all" dataOnly="0" outline="0" fieldPosition="0"/>
    </format>
    <format dxfId="463">
      <pivotArea type="all" dataOnly="0" outline="0" fieldPosition="0"/>
    </format>
    <format dxfId="462">
      <pivotArea type="all" dataOnly="0" outline="0" fieldPosition="0"/>
    </format>
    <format dxfId="461">
      <pivotArea type="all" dataOnly="0" outline="0" fieldPosition="0"/>
    </format>
    <format dxfId="460">
      <pivotArea type="all" dataOnly="0" outline="0" fieldPosition="0"/>
    </format>
    <format dxfId="459">
      <pivotArea type="all" dataOnly="0" outline="0" fieldPosition="0"/>
    </format>
    <format dxfId="458">
      <pivotArea type="all" dataOnly="0" outline="0" fieldPosition="0"/>
    </format>
    <format dxfId="457">
      <pivotArea type="all" dataOnly="0" outline="0" fieldPosition="0"/>
    </format>
    <format dxfId="456">
      <pivotArea type="all" dataOnly="0" outline="0" fieldPosition="0"/>
    </format>
    <format dxfId="455">
      <pivotArea type="all" dataOnly="0" outline="0" fieldPosition="0"/>
    </format>
    <format dxfId="454">
      <pivotArea type="all" dataOnly="0" outline="0" fieldPosition="0"/>
    </format>
    <format dxfId="453">
      <pivotArea outline="0" collapsedLevelsAreSubtotals="1" fieldPosition="0"/>
    </format>
    <format dxfId="45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22FC3C48-BAFB-48E2-82C1-D24A690B30FA}" name="PivotTable21"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89:H90" firstHeaderRow="1" firstDataRow="1" firstDataCol="0" rowPageCount="2" colPageCount="1"/>
  <pivotFields count="57">
    <pivotField showAll="0" defaultSubtotal="0"/>
    <pivotField axis="axisPage" multipleItemSelectionAllowed="1" showAll="0" defaultSubtotal="0">
      <items count="6">
        <item x="3"/>
        <item x="0"/>
        <item x="2"/>
        <item h="1" x="4"/>
        <item h="1"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Net Dwellings" fld="37" baseField="0" baseItem="0"/>
  </dataFields>
  <formats count="13">
    <format dxfId="477">
      <pivotArea type="all" dataOnly="0" outline="0" fieldPosition="0"/>
    </format>
    <format dxfId="476">
      <pivotArea type="all" dataOnly="0" outline="0" fieldPosition="0"/>
    </format>
    <format dxfId="475">
      <pivotArea type="all" dataOnly="0" outline="0" fieldPosition="0"/>
    </format>
    <format dxfId="474">
      <pivotArea type="all" dataOnly="0" outline="0" fieldPosition="0"/>
    </format>
    <format dxfId="473">
      <pivotArea type="all" dataOnly="0" outline="0" fieldPosition="0"/>
    </format>
    <format dxfId="472">
      <pivotArea type="all" dataOnly="0" outline="0" fieldPosition="0"/>
    </format>
    <format dxfId="471">
      <pivotArea type="all" dataOnly="0" outline="0" fieldPosition="0"/>
    </format>
    <format dxfId="470">
      <pivotArea type="all" dataOnly="0" outline="0" fieldPosition="0"/>
    </format>
    <format dxfId="469">
      <pivotArea type="all" dataOnly="0" outline="0" fieldPosition="0"/>
    </format>
    <format dxfId="468">
      <pivotArea type="all" dataOnly="0" outline="0" fieldPosition="0"/>
    </format>
    <format dxfId="467">
      <pivotArea type="all" dataOnly="0" outline="0" fieldPosition="0"/>
    </format>
    <format dxfId="466">
      <pivotArea outline="0" collapsedLevelsAreSubtotals="1" fieldPosition="0"/>
    </format>
    <format dxfId="46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4BA0FEF1-ED0A-428B-862D-F37E868ACF9E}" name="PivotTable36"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55:B156"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7">
        <item h="1" x="1"/>
        <item x="2"/>
        <item h="1"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Units Proposed" fld="28" baseField="0" baseItem="0"/>
  </dataFields>
  <formats count="13">
    <format dxfId="490">
      <pivotArea type="all" dataOnly="0" outline="0" fieldPosition="0"/>
    </format>
    <format dxfId="489">
      <pivotArea type="all" dataOnly="0" outline="0" fieldPosition="0"/>
    </format>
    <format dxfId="488">
      <pivotArea type="all" dataOnly="0" outline="0" fieldPosition="0"/>
    </format>
    <format dxfId="487">
      <pivotArea type="all" dataOnly="0" outline="0" fieldPosition="0"/>
    </format>
    <format dxfId="486">
      <pivotArea type="all" dataOnly="0" outline="0" fieldPosition="0"/>
    </format>
    <format dxfId="485">
      <pivotArea type="all" dataOnly="0" outline="0" fieldPosition="0"/>
    </format>
    <format dxfId="484">
      <pivotArea type="all" dataOnly="0" outline="0" fieldPosition="0"/>
    </format>
    <format dxfId="483">
      <pivotArea type="all" dataOnly="0" outline="0" fieldPosition="0"/>
    </format>
    <format dxfId="482">
      <pivotArea type="all" dataOnly="0" outline="0" fieldPosition="0"/>
    </format>
    <format dxfId="481">
      <pivotArea type="all" dataOnly="0" outline="0" fieldPosition="0"/>
    </format>
    <format dxfId="480">
      <pivotArea type="all" dataOnly="0" outline="0" fieldPosition="0"/>
    </format>
    <format dxfId="479">
      <pivotArea outline="0" collapsedLevelsAreSubtotals="1" fieldPosition="0"/>
    </format>
    <format dxfId="47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B1B2D66A-10A8-48C6-969E-E2C1ACAEECF7}" name="PivotTable51"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232:B233" firstHeaderRow="1" firstDataRow="1" firstDataCol="0" rowPageCount="3"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7">
        <item x="1"/>
        <item h="1" x="2"/>
        <item h="1"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28" baseField="0" baseItem="0"/>
  </dataFields>
  <formats count="13">
    <format dxfId="503">
      <pivotArea type="all" dataOnly="0" outline="0" fieldPosition="0"/>
    </format>
    <format dxfId="502">
      <pivotArea type="all" dataOnly="0" outline="0" fieldPosition="0"/>
    </format>
    <format dxfId="501">
      <pivotArea type="all" dataOnly="0" outline="0" fieldPosition="0"/>
    </format>
    <format dxfId="500">
      <pivotArea type="all" dataOnly="0" outline="0" fieldPosition="0"/>
    </format>
    <format dxfId="499">
      <pivotArea type="all" dataOnly="0" outline="0" fieldPosition="0"/>
    </format>
    <format dxfId="498">
      <pivotArea type="all" dataOnly="0" outline="0" fieldPosition="0"/>
    </format>
    <format dxfId="497">
      <pivotArea type="all" dataOnly="0" outline="0" fieldPosition="0"/>
    </format>
    <format dxfId="496">
      <pivotArea type="all" dataOnly="0" outline="0" fieldPosition="0"/>
    </format>
    <format dxfId="495">
      <pivotArea type="all" dataOnly="0" outline="0" fieldPosition="0"/>
    </format>
    <format dxfId="494">
      <pivotArea type="all" dataOnly="0" outline="0" fieldPosition="0"/>
    </format>
    <format dxfId="493">
      <pivotArea type="all" dataOnly="0" outline="0" fieldPosition="0"/>
    </format>
    <format dxfId="492">
      <pivotArea outline="0" collapsedLevelsAreSubtotals="1" fieldPosition="0"/>
    </format>
    <format dxfId="49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ACE904B7-005A-4E38-9D1C-0094D015F92A}" name="PivotTable53"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K203:K204" firstHeaderRow="1" firstDataRow="1" firstDataCol="0" rowPageCount="2"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h="1" x="2"/>
        <item x="3"/>
        <item h="1" x="4"/>
      </items>
    </pivotField>
    <pivotField axis="axisPage" multipleItemSelectionAllowed="1" showAll="0" defaultSubtotal="0">
      <items count="7">
        <item x="5"/>
        <item h="1" x="1"/>
        <item h="1" x="2"/>
        <item h="1" x="0"/>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Net Dwellings" fld="37" baseField="0" baseItem="0"/>
  </dataFields>
  <formats count="13">
    <format dxfId="516">
      <pivotArea type="all" dataOnly="0" outline="0" fieldPosition="0"/>
    </format>
    <format dxfId="515">
      <pivotArea type="all" dataOnly="0" outline="0" fieldPosition="0"/>
    </format>
    <format dxfId="514">
      <pivotArea type="all" dataOnly="0" outline="0" fieldPosition="0"/>
    </format>
    <format dxfId="513">
      <pivotArea type="all" dataOnly="0" outline="0" fieldPosition="0"/>
    </format>
    <format dxfId="512">
      <pivotArea type="all" dataOnly="0" outline="0" fieldPosition="0"/>
    </format>
    <format dxfId="511">
      <pivotArea type="all" dataOnly="0" outline="0" fieldPosition="0"/>
    </format>
    <format dxfId="510">
      <pivotArea type="all" dataOnly="0" outline="0" fieldPosition="0"/>
    </format>
    <format dxfId="509">
      <pivotArea type="all" dataOnly="0" outline="0" fieldPosition="0"/>
    </format>
    <format dxfId="508">
      <pivotArea type="all" dataOnly="0" outline="0" fieldPosition="0"/>
    </format>
    <format dxfId="507">
      <pivotArea type="all" dataOnly="0" outline="0" fieldPosition="0"/>
    </format>
    <format dxfId="506">
      <pivotArea type="all" dataOnly="0" outline="0" fieldPosition="0"/>
    </format>
    <format dxfId="505">
      <pivotArea outline="0" collapsedLevelsAreSubtotals="1" fieldPosition="0"/>
    </format>
    <format dxfId="50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9FB22E4D-07E2-4745-9796-C05689E49DF6}" name="PivotTable92"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465:M466" firstHeaderRow="0" firstDataRow="1" firstDataCol="0" rowPageCount="1"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x="1"/>
        <item x="2"/>
        <item x="3"/>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numFmtId="165" showAll="0"/>
    <pivotField dataField="1" numFmtId="165" showAll="0"/>
    <pivotField dataField="1" numFmtId="165" showAll="0"/>
    <pivotField dataField="1" numFmtId="165" showAll="0"/>
    <pivotField dataField="1" numFmtId="165" showAll="0"/>
    <pivotField dataField="1" numFmtId="165" showAll="0"/>
    <pivotField dataField="1" numFmtId="165" showAll="0"/>
    <pivotField showAll="0" defaultSubtotal="0"/>
    <pivotField dataField="1" numFmtId="165" showAll="0"/>
    <pivotField dataField="1" numFmtId="165" showAll="0"/>
    <pivotField dataField="1" numFmtId="165" showAll="0"/>
    <pivotField dataField="1" numFmtId="165" showAll="0"/>
    <pivotField dataField="1" numFmtId="165" showAll="0"/>
    <pivotField showAll="0" defaultSubtotal="0"/>
    <pivotField showAll="0" defaultSubtotal="0"/>
    <pivotField showAll="0" defaultSubtotal="0"/>
    <pivotField showAll="0" defaultSubtotal="0"/>
    <pivotField showAll="0"/>
  </pivotFields>
  <rowItems count="1">
    <i/>
  </rowItems>
  <colFields count="1">
    <field x="-2"/>
  </colFields>
  <colItems count="12">
    <i>
      <x/>
    </i>
    <i i="1">
      <x v="1"/>
    </i>
    <i i="2">
      <x v="2"/>
    </i>
    <i i="3">
      <x v="3"/>
    </i>
    <i i="4">
      <x v="4"/>
    </i>
    <i i="5">
      <x v="5"/>
    </i>
    <i i="6">
      <x v="6"/>
    </i>
    <i i="7">
      <x v="7"/>
    </i>
    <i i="8">
      <x v="8"/>
    </i>
    <i i="9">
      <x v="9"/>
    </i>
    <i i="10">
      <x v="10"/>
    </i>
    <i i="11">
      <x v="11"/>
    </i>
  </colItems>
  <pageFields count="1">
    <pageField fld="7" hier="-1"/>
  </pageFields>
  <dataFields count="12">
    <dataField name="Sum of 2018/19 ( R)" fld="39" baseField="0" baseItem="0"/>
    <dataField name="Sum of 2019/20 (C)" fld="40" baseField="0" baseItem="0"/>
    <dataField name="Sum of 2020/21 (1)" fld="41" baseField="0" baseItem="0"/>
    <dataField name="Sum of 2021/22 (2)" fld="42" baseField="0" baseItem="0"/>
    <dataField name="Sum of 2022/23 (3)" fld="43" baseField="0" baseItem="0"/>
    <dataField name="Sum of 2023/24 (4)" fld="44" baseField="0" baseItem="0"/>
    <dataField name="Sum of 2024/25 (5)" fld="45" baseField="0" baseItem="0"/>
    <dataField name="Sum of 2025/26 (6)" fld="47" baseField="0" baseItem="0"/>
    <dataField name="Sum of 2026/27 (7)" fld="48" baseField="0" baseItem="0"/>
    <dataField name="Sum of 2027/28 (8)" fld="49" baseField="0" baseItem="0"/>
    <dataField name="Sum of 2028/29 (9)" fld="50" baseField="0" baseItem="0"/>
    <dataField name="Sum of 2029/30 (10)" fld="51" baseField="0" baseItem="0"/>
  </dataFields>
  <formats count="14">
    <format dxfId="530">
      <pivotArea type="all" dataOnly="0" outline="0" fieldPosition="0"/>
    </format>
    <format dxfId="529">
      <pivotArea type="all" dataOnly="0" outline="0" fieldPosition="0"/>
    </format>
    <format dxfId="528">
      <pivotArea type="all" dataOnly="0" outline="0" fieldPosition="0"/>
    </format>
    <format dxfId="527">
      <pivotArea type="all" dataOnly="0" outline="0" fieldPosition="0"/>
    </format>
    <format dxfId="526">
      <pivotArea type="all" dataOnly="0" outline="0" fieldPosition="0"/>
    </format>
    <format dxfId="525">
      <pivotArea type="all" dataOnly="0" outline="0" fieldPosition="0"/>
    </format>
    <format dxfId="524">
      <pivotArea type="all" dataOnly="0" outline="0" fieldPosition="0"/>
    </format>
    <format dxfId="523">
      <pivotArea outline="0" collapsedLevelsAreSubtotals="1" fieldPosition="0"/>
    </format>
    <format dxfId="522">
      <pivotArea type="all" dataOnly="0" outline="0" fieldPosition="0"/>
    </format>
    <format dxfId="521">
      <pivotArea type="all" dataOnly="0" outline="0" fieldPosition="0"/>
    </format>
    <format dxfId="520">
      <pivotArea type="all" dataOnly="0" outline="0" fieldPosition="0"/>
    </format>
    <format dxfId="519">
      <pivotArea type="all" dataOnly="0" outline="0" fieldPosition="0"/>
    </format>
    <format dxfId="518">
      <pivotArea outline="0" collapsedLevelsAreSubtotals="1" fieldPosition="0"/>
    </format>
    <format dxfId="517">
      <pivotArea dataOnly="0" labelOnly="1" outline="0" fieldPosition="0">
        <references count="1">
          <reference field="4294967294" count="12">
            <x v="0"/>
            <x v="1"/>
            <x v="2"/>
            <x v="3"/>
            <x v="4"/>
            <x v="5"/>
            <x v="6"/>
            <x v="7"/>
            <x v="8"/>
            <x v="9"/>
            <x v="10"/>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087C685D-B299-48C9-9332-DD66431FDCF6}" name="PivotTable32"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37:H138"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7">
        <item x="1"/>
        <item h="1" x="2"/>
        <item h="1" x="0"/>
        <item h="1" x="5"/>
        <item h="1" x="6"/>
        <item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Net Dwellings" fld="37" baseField="0" baseItem="0"/>
  </dataFields>
  <formats count="13">
    <format dxfId="543">
      <pivotArea type="all" dataOnly="0" outline="0" fieldPosition="0"/>
    </format>
    <format dxfId="542">
      <pivotArea type="all" dataOnly="0" outline="0" fieldPosition="0"/>
    </format>
    <format dxfId="541">
      <pivotArea type="all" dataOnly="0" outline="0" fieldPosition="0"/>
    </format>
    <format dxfId="540">
      <pivotArea type="all" dataOnly="0" outline="0" fieldPosition="0"/>
    </format>
    <format dxfId="539">
      <pivotArea type="all" dataOnly="0" outline="0" fieldPosition="0"/>
    </format>
    <format dxfId="538">
      <pivotArea type="all" dataOnly="0" outline="0" fieldPosition="0"/>
    </format>
    <format dxfId="537">
      <pivotArea type="all" dataOnly="0" outline="0" fieldPosition="0"/>
    </format>
    <format dxfId="536">
      <pivotArea type="all" dataOnly="0" outline="0" fieldPosition="0"/>
    </format>
    <format dxfId="535">
      <pivotArea type="all" dataOnly="0" outline="0" fieldPosition="0"/>
    </format>
    <format dxfId="534">
      <pivotArea type="all" dataOnly="0" outline="0" fieldPosition="0"/>
    </format>
    <format dxfId="533">
      <pivotArea type="all" dataOnly="0" outline="0" fieldPosition="0"/>
    </format>
    <format dxfId="532">
      <pivotArea outline="0" collapsedLevelsAreSubtotals="1" fieldPosition="0"/>
    </format>
    <format dxfId="53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F655C55-CD03-4CEE-AD20-D70884725197}" name="PivotTable20"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98:H99" firstHeaderRow="1" firstDataRow="1" firstDataCol="0" rowPageCount="2" colPageCount="1"/>
  <pivotFields count="57">
    <pivotField showAll="0" defaultSubtotal="0"/>
    <pivotField axis="axisPage" multipleItemSelectionAllowed="1" showAll="0" defaultSubtotal="0">
      <items count="6">
        <item x="3"/>
        <item x="0"/>
        <item x="2"/>
        <item h="1" x="4"/>
        <item h="1"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Units Proposed" fld="28" baseField="0" baseItem="0"/>
  </dataFields>
  <formats count="13">
    <format dxfId="54">
      <pivotArea type="all" dataOnly="0" outline="0" fieldPosition="0"/>
    </format>
    <format dxfId="53">
      <pivotArea type="all" dataOnly="0" outline="0" fieldPosition="0"/>
    </format>
    <format dxfId="52">
      <pivotArea type="all" dataOnly="0" outline="0" fieldPosition="0"/>
    </format>
    <format dxfId="51">
      <pivotArea type="all" dataOnly="0" outline="0" fieldPosition="0"/>
    </format>
    <format dxfId="50">
      <pivotArea type="all" dataOnly="0" outline="0" fieldPosition="0"/>
    </format>
    <format dxfId="49">
      <pivotArea type="all" dataOnly="0" outline="0" fieldPosition="0"/>
    </format>
    <format dxfId="48">
      <pivotArea type="all" dataOnly="0" outline="0" fieldPosition="0"/>
    </format>
    <format dxfId="47">
      <pivotArea type="all" dataOnly="0" outline="0" fieldPosition="0"/>
    </format>
    <format dxfId="46">
      <pivotArea type="all" dataOnly="0" outline="0" fieldPosition="0"/>
    </format>
    <format dxfId="45">
      <pivotArea type="all" dataOnly="0" outline="0" fieldPosition="0"/>
    </format>
    <format dxfId="44">
      <pivotArea type="all" dataOnly="0" outline="0" fieldPosition="0"/>
    </format>
    <format dxfId="43">
      <pivotArea outline="0" collapsedLevelsAreSubtotals="1" fieldPosition="0"/>
    </format>
    <format dxfId="4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1382741E-F5BF-471E-A4BE-F971956185E7}" name="PivotTable12"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16:E117" firstHeaderRow="1" firstDataRow="1" firstDataCol="0" rowPageCount="1"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1">
    <pageField fld="7" hier="-1"/>
  </pageFields>
  <dataFields count="1">
    <dataField name="Sum of Units Proposed" fld="28" baseField="0" baseItem="0"/>
  </dataFields>
  <formats count="13">
    <format dxfId="556">
      <pivotArea type="all" dataOnly="0" outline="0" fieldPosition="0"/>
    </format>
    <format dxfId="555">
      <pivotArea type="all" dataOnly="0" outline="0" fieldPosition="0"/>
    </format>
    <format dxfId="554">
      <pivotArea type="all" dataOnly="0" outline="0" fieldPosition="0"/>
    </format>
    <format dxfId="553">
      <pivotArea type="all" dataOnly="0" outline="0" fieldPosition="0"/>
    </format>
    <format dxfId="552">
      <pivotArea type="all" dataOnly="0" outline="0" fieldPosition="0"/>
    </format>
    <format dxfId="551">
      <pivotArea type="all" dataOnly="0" outline="0" fieldPosition="0"/>
    </format>
    <format dxfId="550">
      <pivotArea type="all" dataOnly="0" outline="0" fieldPosition="0"/>
    </format>
    <format dxfId="549">
      <pivotArea type="all" dataOnly="0" outline="0" fieldPosition="0"/>
    </format>
    <format dxfId="548">
      <pivotArea type="all" dataOnly="0" outline="0" fieldPosition="0"/>
    </format>
    <format dxfId="547">
      <pivotArea type="all" dataOnly="0" outline="0" fieldPosition="0"/>
    </format>
    <format dxfId="546">
      <pivotArea type="all" dataOnly="0" outline="0" fieldPosition="0"/>
    </format>
    <format dxfId="545">
      <pivotArea outline="0" collapsedLevelsAreSubtotals="1" fieldPosition="0"/>
    </format>
    <format dxfId="54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121D9101-D5D2-4E03-A8EF-D5C982611ADA}" name="PivotTable39"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55:H156"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7">
        <item h="1" x="1"/>
        <item x="2"/>
        <item h="1"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Units Proposed" fld="28" baseField="0" baseItem="0"/>
  </dataFields>
  <formats count="13">
    <format dxfId="569">
      <pivotArea type="all" dataOnly="0" outline="0" fieldPosition="0"/>
    </format>
    <format dxfId="568">
      <pivotArea type="all" dataOnly="0" outline="0" fieldPosition="0"/>
    </format>
    <format dxfId="567">
      <pivotArea type="all" dataOnly="0" outline="0" fieldPosition="0"/>
    </format>
    <format dxfId="566">
      <pivotArea type="all" dataOnly="0" outline="0" fieldPosition="0"/>
    </format>
    <format dxfId="565">
      <pivotArea type="all" dataOnly="0" outline="0" fieldPosition="0"/>
    </format>
    <format dxfId="564">
      <pivotArea type="all" dataOnly="0" outline="0" fieldPosition="0"/>
    </format>
    <format dxfId="563">
      <pivotArea type="all" dataOnly="0" outline="0" fieldPosition="0"/>
    </format>
    <format dxfId="562">
      <pivotArea type="all" dataOnly="0" outline="0" fieldPosition="0"/>
    </format>
    <format dxfId="561">
      <pivotArea type="all" dataOnly="0" outline="0" fieldPosition="0"/>
    </format>
    <format dxfId="560">
      <pivotArea type="all" dataOnly="0" outline="0" fieldPosition="0"/>
    </format>
    <format dxfId="559">
      <pivotArea type="all" dataOnly="0" outline="0" fieldPosition="0"/>
    </format>
    <format dxfId="558">
      <pivotArea outline="0" collapsedLevelsAreSubtotals="1" fieldPosition="0"/>
    </format>
    <format dxfId="55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3D5D738F-C3CA-40A1-A177-D037212DCCE1}" name="PivotTable81"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376:J381" firstHeaderRow="0" firstDataRow="1" firstDataCol="1" rowPageCount="2"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Row" multipleItemSelectionAllowed="1" showAll="0" defaultSubtotal="0">
      <items count="7">
        <item x="1"/>
        <item x="2"/>
        <item x="0"/>
        <item x="5"/>
        <item x="6"/>
        <item x="4"/>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defaultSubtotal="0"/>
    <pivotField showAll="0" defaultSubtotal="0"/>
    <pivotField showAll="0" defaultSubtotal="0"/>
    <pivotField showAll="0" defaultSubtotal="0"/>
    <pivotField showAll="0"/>
  </pivotFields>
  <rowFields count="1">
    <field x="8"/>
  </rowFields>
  <rowItems count="5">
    <i>
      <x/>
    </i>
    <i>
      <x v="1"/>
    </i>
    <i>
      <x v="2"/>
    </i>
    <i>
      <x v="6"/>
    </i>
    <i t="grand">
      <x/>
    </i>
  </rowItems>
  <colFields count="1">
    <field x="-2"/>
  </colFields>
  <colItems count="8">
    <i>
      <x/>
    </i>
    <i i="1">
      <x v="1"/>
    </i>
    <i i="2">
      <x v="2"/>
    </i>
    <i i="3">
      <x v="3"/>
    </i>
    <i i="4">
      <x v="4"/>
    </i>
    <i i="5">
      <x v="5"/>
    </i>
    <i i="6">
      <x v="6"/>
    </i>
    <i i="7">
      <x v="7"/>
    </i>
  </colItems>
  <pageFields count="2">
    <pageField fld="7" hier="-1"/>
    <pageField fld="1" hier="-1"/>
  </pageFields>
  <dataFields count="8">
    <dataField name="Sum of 0 bed net" fld="29" baseField="0" baseItem="0"/>
    <dataField name="Sum of 1 bed net" fld="30" baseField="0" baseItem="0"/>
    <dataField name="Sum of 2 bed net" fld="31" baseField="0" baseItem="0"/>
    <dataField name="Sum of 3 bed net" fld="32" baseField="0" baseItem="0"/>
    <dataField name="Sum of 4 bed net" fld="33" baseField="0" baseItem="0"/>
    <dataField name="Sum of 5 bed net" fld="34" baseField="0" baseItem="0"/>
    <dataField name="Sum of 6 bed net" fld="35" baseField="0" baseItem="0"/>
    <dataField name="Sum of 7 bed net" fld="36" baseField="0" baseItem="0"/>
  </dataFields>
  <formats count="16">
    <format dxfId="585">
      <pivotArea type="all" dataOnly="0" outline="0" fieldPosition="0"/>
    </format>
    <format dxfId="584">
      <pivotArea type="all" dataOnly="0" outline="0" fieldPosition="0"/>
    </format>
    <format dxfId="583">
      <pivotArea type="all" dataOnly="0" outline="0" fieldPosition="0"/>
    </format>
    <format dxfId="582">
      <pivotArea type="all" dataOnly="0" outline="0" fieldPosition="0"/>
    </format>
    <format dxfId="581">
      <pivotArea type="all" dataOnly="0" outline="0" fieldPosition="0"/>
    </format>
    <format dxfId="580">
      <pivotArea type="all" dataOnly="0" outline="0" fieldPosition="0"/>
    </format>
    <format dxfId="579">
      <pivotArea type="all" dataOnly="0" outline="0" fieldPosition="0"/>
    </format>
    <format dxfId="578">
      <pivotArea type="all" dataOnly="0" outline="0" fieldPosition="0"/>
    </format>
    <format dxfId="577">
      <pivotArea type="all" dataOnly="0" outline="0" fieldPosition="0"/>
    </format>
    <format dxfId="576">
      <pivotArea type="all" dataOnly="0" outline="0" fieldPosition="0"/>
    </format>
    <format dxfId="575">
      <pivotArea type="all" dataOnly="0" outline="0" fieldPosition="0"/>
    </format>
    <format dxfId="574">
      <pivotArea outline="0" collapsedLevelsAreSubtotals="1" fieldPosition="0"/>
    </format>
    <format dxfId="573">
      <pivotArea field="8" type="button" dataOnly="0" labelOnly="1" outline="0" axis="axisRow" fieldPosition="0"/>
    </format>
    <format dxfId="572">
      <pivotArea dataOnly="0" labelOnly="1" fieldPosition="0">
        <references count="1">
          <reference field="8" count="4">
            <x v="0"/>
            <x v="1"/>
            <x v="2"/>
            <x v="6"/>
          </reference>
        </references>
      </pivotArea>
    </format>
    <format dxfId="571">
      <pivotArea dataOnly="0" labelOnly="1" grandRow="1" outline="0" fieldPosition="0"/>
    </format>
    <format dxfId="570">
      <pivotArea dataOnly="0" labelOnly="1" outline="0" fieldPosition="0">
        <references count="1">
          <reference field="4294967294" count="8">
            <x v="0"/>
            <x v="1"/>
            <x v="2"/>
            <x v="3"/>
            <x v="4"/>
            <x v="5"/>
            <x v="6"/>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F103C604-D4DB-46B6-8A4C-D6EC84329F74}" name="PivotTable48"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95:H196" firstHeaderRow="1" firstDataRow="1" firstDataCol="0" rowPageCount="3"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7">
        <item h="1" x="1"/>
        <item h="1" x="2"/>
        <item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28" baseField="0" baseItem="0"/>
  </dataFields>
  <formats count="13">
    <format dxfId="598">
      <pivotArea type="all" dataOnly="0" outline="0" fieldPosition="0"/>
    </format>
    <format dxfId="597">
      <pivotArea type="all" dataOnly="0" outline="0" fieldPosition="0"/>
    </format>
    <format dxfId="596">
      <pivotArea type="all" dataOnly="0" outline="0" fieldPosition="0"/>
    </format>
    <format dxfId="595">
      <pivotArea type="all" dataOnly="0" outline="0" fieldPosition="0"/>
    </format>
    <format dxfId="594">
      <pivotArea type="all" dataOnly="0" outline="0" fieldPosition="0"/>
    </format>
    <format dxfId="593">
      <pivotArea type="all" dataOnly="0" outline="0" fieldPosition="0"/>
    </format>
    <format dxfId="592">
      <pivotArea type="all" dataOnly="0" outline="0" fieldPosition="0"/>
    </format>
    <format dxfId="591">
      <pivotArea type="all" dataOnly="0" outline="0" fieldPosition="0"/>
    </format>
    <format dxfId="590">
      <pivotArea type="all" dataOnly="0" outline="0" fieldPosition="0"/>
    </format>
    <format dxfId="589">
      <pivotArea type="all" dataOnly="0" outline="0" fieldPosition="0"/>
    </format>
    <format dxfId="588">
      <pivotArea type="all" dataOnly="0" outline="0" fieldPosition="0"/>
    </format>
    <format dxfId="587">
      <pivotArea outline="0" collapsedLevelsAreSubtotals="1" fieldPosition="0"/>
    </format>
    <format dxfId="58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5A508EFE-19A5-4EC1-8016-9A0186947AF3}" name="PivotTable54"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204:H205" firstHeaderRow="1" firstDataRow="1" firstDataCol="0" rowPageCount="3"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7">
        <item h="1" x="1"/>
        <item x="2"/>
        <item h="1"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37" baseField="0" baseItem="0"/>
  </dataFields>
  <formats count="13">
    <format dxfId="611">
      <pivotArea type="all" dataOnly="0" outline="0" fieldPosition="0"/>
    </format>
    <format dxfId="610">
      <pivotArea type="all" dataOnly="0" outline="0" fieldPosition="0"/>
    </format>
    <format dxfId="609">
      <pivotArea type="all" dataOnly="0" outline="0" fieldPosition="0"/>
    </format>
    <format dxfId="608">
      <pivotArea type="all" dataOnly="0" outline="0" fieldPosition="0"/>
    </format>
    <format dxfId="607">
      <pivotArea type="all" dataOnly="0" outline="0" fieldPosition="0"/>
    </format>
    <format dxfId="606">
      <pivotArea type="all" dataOnly="0" outline="0" fieldPosition="0"/>
    </format>
    <format dxfId="605">
      <pivotArea type="all" dataOnly="0" outline="0" fieldPosition="0"/>
    </format>
    <format dxfId="604">
      <pivotArea type="all" dataOnly="0" outline="0" fieldPosition="0"/>
    </format>
    <format dxfId="603">
      <pivotArea type="all" dataOnly="0" outline="0" fieldPosition="0"/>
    </format>
    <format dxfId="602">
      <pivotArea type="all" dataOnly="0" outline="0" fieldPosition="0"/>
    </format>
    <format dxfId="601">
      <pivotArea type="all" dataOnly="0" outline="0" fieldPosition="0"/>
    </format>
    <format dxfId="600">
      <pivotArea outline="0" collapsedLevelsAreSubtotals="1" fieldPosition="0"/>
    </format>
    <format dxfId="59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F9895229-EAA7-425B-8488-CC3C75A10A80}" name="PivotTable86"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403:C421" firstHeaderRow="1" firstDataRow="1" firstDataCol="1" rowPageCount="3" colPageCount="1"/>
  <pivotFields count="57">
    <pivotField showAll="0" defaultSubtotal="0"/>
    <pivotField axis="axisPage" multipleItemSelectionAllowed="1" showAll="0" defaultSubtotal="0">
      <items count="6">
        <item h="1" x="3"/>
        <item h="1" x="0"/>
        <item h="1" x="2"/>
        <item x="4"/>
        <item x="1"/>
        <item x="5"/>
      </items>
    </pivotField>
    <pivotField axis="axisPage" multipleItemSelectionAllowed="1" showAll="0" defaultSubtotal="0">
      <items count="3">
        <item h="1" x="1"/>
        <item x="0"/>
        <item h="1" x="2"/>
      </items>
    </pivotField>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axis="axisRow" showAll="0" defaultSubtotal="0">
      <items count="19">
        <item x="14"/>
        <item x="6"/>
        <item x="5"/>
        <item x="7"/>
        <item x="8"/>
        <item x="13"/>
        <item x="9"/>
        <item x="0"/>
        <item x="10"/>
        <item x="11"/>
        <item x="16"/>
        <item x="12"/>
        <item x="17"/>
        <item x="3"/>
        <item x="2"/>
        <item x="4"/>
        <item x="1"/>
        <item x="15"/>
        <item x="18"/>
      </items>
    </pivotField>
    <pivotField showAll="0" defaultSubtotal="0"/>
    <pivotField showAll="0" defaultSubtotal="0"/>
    <pivotField showAll="0" defaultSubtotal="0"/>
    <pivotField showAll="0"/>
  </pivotFields>
  <rowFields count="1">
    <field x="52"/>
  </rowFields>
  <rowItems count="18">
    <i>
      <x/>
    </i>
    <i>
      <x v="1"/>
    </i>
    <i>
      <x v="2"/>
    </i>
    <i>
      <x v="3"/>
    </i>
    <i>
      <x v="4"/>
    </i>
    <i>
      <x v="5"/>
    </i>
    <i>
      <x v="6"/>
    </i>
    <i>
      <x v="7"/>
    </i>
    <i>
      <x v="8"/>
    </i>
    <i>
      <x v="9"/>
    </i>
    <i>
      <x v="10"/>
    </i>
    <i>
      <x v="11"/>
    </i>
    <i>
      <x v="12"/>
    </i>
    <i>
      <x v="13"/>
    </i>
    <i>
      <x v="14"/>
    </i>
    <i>
      <x v="15"/>
    </i>
    <i>
      <x v="16"/>
    </i>
    <i t="grand">
      <x/>
    </i>
  </rowItems>
  <colItems count="1">
    <i/>
  </colItems>
  <pageFields count="3">
    <pageField fld="7" hier="-1"/>
    <pageField fld="2" hier="-1"/>
    <pageField fld="1" hier="-1"/>
  </pageFields>
  <dataFields count="1">
    <dataField name="Sum of Net Dwellings" fld="37" baseField="0" baseItem="0"/>
  </dataFields>
  <formats count="22">
    <format dxfId="633">
      <pivotArea type="all" dataOnly="0" outline="0" fieldPosition="0"/>
    </format>
    <format dxfId="632">
      <pivotArea type="all" dataOnly="0" outline="0" fieldPosition="0"/>
    </format>
    <format dxfId="631">
      <pivotArea type="all" dataOnly="0" outline="0" fieldPosition="0"/>
    </format>
    <format dxfId="630">
      <pivotArea type="all" dataOnly="0" outline="0" fieldPosition="0"/>
    </format>
    <format dxfId="629">
      <pivotArea type="all" dataOnly="0" outline="0" fieldPosition="0"/>
    </format>
    <format dxfId="628">
      <pivotArea type="all" dataOnly="0" outline="0" fieldPosition="0"/>
    </format>
    <format dxfId="627">
      <pivotArea type="all" dataOnly="0" outline="0" fieldPosition="0"/>
    </format>
    <format dxfId="626">
      <pivotArea field="52" type="button" dataOnly="0" labelOnly="1" outline="0" axis="axisRow" fieldPosition="0"/>
    </format>
    <format dxfId="625">
      <pivotArea dataOnly="0" labelOnly="1" outline="0" fieldPosition="0">
        <references count="1">
          <reference field="4294967294" count="1">
            <x v="0"/>
          </reference>
        </references>
      </pivotArea>
    </format>
    <format dxfId="624">
      <pivotArea field="52" type="button" dataOnly="0" labelOnly="1" outline="0" axis="axisRow" fieldPosition="0"/>
    </format>
    <format dxfId="623">
      <pivotArea dataOnly="0" labelOnly="1" outline="0" fieldPosition="0">
        <references count="1">
          <reference field="4294967294" count="1">
            <x v="0"/>
          </reference>
        </references>
      </pivotArea>
    </format>
    <format dxfId="622">
      <pivotArea field="52" type="button" dataOnly="0" labelOnly="1" outline="0" axis="axisRow" fieldPosition="0"/>
    </format>
    <format dxfId="621">
      <pivotArea dataOnly="0" labelOnly="1" outline="0" fieldPosition="0">
        <references count="1">
          <reference field="4294967294" count="1">
            <x v="0"/>
          </reference>
        </references>
      </pivotArea>
    </format>
    <format dxfId="620">
      <pivotArea type="all" dataOnly="0" outline="0" fieldPosition="0"/>
    </format>
    <format dxfId="619">
      <pivotArea type="all" dataOnly="0" outline="0" fieldPosition="0"/>
    </format>
    <format dxfId="618">
      <pivotArea type="all" dataOnly="0" outline="0" fieldPosition="0"/>
    </format>
    <format dxfId="617">
      <pivotArea type="all" dataOnly="0" outline="0" fieldPosition="0"/>
    </format>
    <format dxfId="616">
      <pivotArea outline="0" collapsedLevelsAreSubtotals="1" fieldPosition="0"/>
    </format>
    <format dxfId="615">
      <pivotArea field="52" type="button" dataOnly="0" labelOnly="1" outline="0" axis="axisRow" fieldPosition="0"/>
    </format>
    <format dxfId="614">
      <pivotArea dataOnly="0" labelOnly="1" fieldPosition="0">
        <references count="1">
          <reference field="52" count="17">
            <x v="0"/>
            <x v="1"/>
            <x v="2"/>
            <x v="3"/>
            <x v="4"/>
            <x v="5"/>
            <x v="6"/>
            <x v="7"/>
            <x v="8"/>
            <x v="9"/>
            <x v="10"/>
            <x v="11"/>
            <x v="12"/>
            <x v="13"/>
            <x v="14"/>
            <x v="15"/>
            <x v="16"/>
          </reference>
        </references>
      </pivotArea>
    </format>
    <format dxfId="613">
      <pivotArea dataOnly="0" labelOnly="1" grandRow="1" outline="0" fieldPosition="0"/>
    </format>
    <format dxfId="61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6.xml><?xml version="1.0" encoding="utf-8"?>
<pivotTableDefinition xmlns="http://schemas.openxmlformats.org/spreadsheetml/2006/main" xmlns:mc="http://schemas.openxmlformats.org/markup-compatibility/2006" xmlns:xr="http://schemas.microsoft.com/office/spreadsheetml/2014/revision" mc:Ignorable="xr" xr:uid="{3D29AA9A-0B4B-4A22-A764-EBEEC37040E7}" name="PivotTable29"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37:E138"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7">
        <item x="1"/>
        <item h="1" x="2"/>
        <item h="1"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Net Dwellings" fld="37" baseField="0" baseItem="0"/>
  </dataFields>
  <formats count="13">
    <format dxfId="646">
      <pivotArea type="all" dataOnly="0" outline="0" fieldPosition="0"/>
    </format>
    <format dxfId="645">
      <pivotArea type="all" dataOnly="0" outline="0" fieldPosition="0"/>
    </format>
    <format dxfId="644">
      <pivotArea type="all" dataOnly="0" outline="0" fieldPosition="0"/>
    </format>
    <format dxfId="643">
      <pivotArea type="all" dataOnly="0" outline="0" fieldPosition="0"/>
    </format>
    <format dxfId="642">
      <pivotArea type="all" dataOnly="0" outline="0" fieldPosition="0"/>
    </format>
    <format dxfId="641">
      <pivotArea type="all" dataOnly="0" outline="0" fieldPosition="0"/>
    </format>
    <format dxfId="640">
      <pivotArea type="all" dataOnly="0" outline="0" fieldPosition="0"/>
    </format>
    <format dxfId="639">
      <pivotArea type="all" dataOnly="0" outline="0" fieldPosition="0"/>
    </format>
    <format dxfId="638">
      <pivotArea type="all" dataOnly="0" outline="0" fieldPosition="0"/>
    </format>
    <format dxfId="637">
      <pivotArea type="all" dataOnly="0" outline="0" fieldPosition="0"/>
    </format>
    <format dxfId="636">
      <pivotArea type="all" dataOnly="0" outline="0" fieldPosition="0"/>
    </format>
    <format dxfId="635">
      <pivotArea outline="0" collapsedLevelsAreSubtotals="1" fieldPosition="0"/>
    </format>
    <format dxfId="63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7.xml><?xml version="1.0" encoding="utf-8"?>
<pivotTableDefinition xmlns="http://schemas.openxmlformats.org/spreadsheetml/2006/main" xmlns:mc="http://schemas.openxmlformats.org/markup-compatibility/2006" xmlns:xr="http://schemas.microsoft.com/office/spreadsheetml/2014/revision" mc:Ignorable="xr" xr:uid="{E86A0140-E26E-4D55-896C-FBB54C544BC5}" name="PivotTable43"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45:B146"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7">
        <item h="1" x="1"/>
        <item h="1" x="2"/>
        <item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Net Dwellings" fld="37" baseField="0" baseItem="0"/>
  </dataFields>
  <formats count="13">
    <format dxfId="659">
      <pivotArea type="all" dataOnly="0" outline="0" fieldPosition="0"/>
    </format>
    <format dxfId="658">
      <pivotArea type="all" dataOnly="0" outline="0" fieldPosition="0"/>
    </format>
    <format dxfId="657">
      <pivotArea type="all" dataOnly="0" outline="0" fieldPosition="0"/>
    </format>
    <format dxfId="656">
      <pivotArea type="all" dataOnly="0" outline="0" fieldPosition="0"/>
    </format>
    <format dxfId="655">
      <pivotArea type="all" dataOnly="0" outline="0" fieldPosition="0"/>
    </format>
    <format dxfId="654">
      <pivotArea type="all" dataOnly="0" outline="0" fieldPosition="0"/>
    </format>
    <format dxfId="653">
      <pivotArea type="all" dataOnly="0" outline="0" fieldPosition="0"/>
    </format>
    <format dxfId="652">
      <pivotArea type="all" dataOnly="0" outline="0" fieldPosition="0"/>
    </format>
    <format dxfId="651">
      <pivotArea type="all" dataOnly="0" outline="0" fieldPosition="0"/>
    </format>
    <format dxfId="650">
      <pivotArea type="all" dataOnly="0" outline="0" fieldPosition="0"/>
    </format>
    <format dxfId="649">
      <pivotArea type="all" dataOnly="0" outline="0" fieldPosition="0"/>
    </format>
    <format dxfId="648">
      <pivotArea outline="0" collapsedLevelsAreSubtotals="1" fieldPosition="0"/>
    </format>
    <format dxfId="64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727FBB1C-59F0-447B-ADF1-20A934503C88}" name="PivotTable78"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307:I325" firstHeaderRow="1" firstDataRow="1" firstDataCol="1" rowPageCount="1"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axis="axisRow" showAll="0" defaultSubtotal="0">
      <items count="19">
        <item x="14"/>
        <item x="6"/>
        <item x="5"/>
        <item x="7"/>
        <item x="8"/>
        <item x="13"/>
        <item x="9"/>
        <item x="0"/>
        <item x="10"/>
        <item x="11"/>
        <item x="16"/>
        <item x="12"/>
        <item x="17"/>
        <item x="3"/>
        <item x="2"/>
        <item x="4"/>
        <item x="1"/>
        <item x="15"/>
        <item x="18"/>
      </items>
    </pivotField>
    <pivotField showAll="0" defaultSubtotal="0"/>
    <pivotField showAll="0" defaultSubtotal="0"/>
    <pivotField showAll="0" defaultSubtotal="0"/>
    <pivotField showAll="0"/>
  </pivotFields>
  <rowFields count="1">
    <field x="52"/>
  </rowFields>
  <rowItems count="18">
    <i>
      <x/>
    </i>
    <i>
      <x v="1"/>
    </i>
    <i>
      <x v="2"/>
    </i>
    <i>
      <x v="3"/>
    </i>
    <i>
      <x v="4"/>
    </i>
    <i>
      <x v="5"/>
    </i>
    <i>
      <x v="6"/>
    </i>
    <i>
      <x v="7"/>
    </i>
    <i>
      <x v="8"/>
    </i>
    <i>
      <x v="9"/>
    </i>
    <i>
      <x v="10"/>
    </i>
    <i>
      <x v="11"/>
    </i>
    <i>
      <x v="13"/>
    </i>
    <i>
      <x v="14"/>
    </i>
    <i>
      <x v="15"/>
    </i>
    <i>
      <x v="16"/>
    </i>
    <i>
      <x v="17"/>
    </i>
    <i t="grand">
      <x/>
    </i>
  </rowItems>
  <colItems count="1">
    <i/>
  </colItems>
  <pageFields count="1">
    <pageField fld="7" hier="-1"/>
  </pageFields>
  <dataFields count="1">
    <dataField name="Sum of Net Dwellings" fld="37" baseField="0" baseItem="0"/>
  </dataFields>
  <formats count="16">
    <format dxfId="675">
      <pivotArea type="all" dataOnly="0" outline="0" fieldPosition="0"/>
    </format>
    <format dxfId="674">
      <pivotArea type="all" dataOnly="0" outline="0" fieldPosition="0"/>
    </format>
    <format dxfId="673">
      <pivotArea type="all" dataOnly="0" outline="0" fieldPosition="0"/>
    </format>
    <format dxfId="672">
      <pivotArea type="all" dataOnly="0" outline="0" fieldPosition="0"/>
    </format>
    <format dxfId="671">
      <pivotArea type="all" dataOnly="0" outline="0" fieldPosition="0"/>
    </format>
    <format dxfId="670">
      <pivotArea type="all" dataOnly="0" outline="0" fieldPosition="0"/>
    </format>
    <format dxfId="669">
      <pivotArea type="all" dataOnly="0" outline="0" fieldPosition="0"/>
    </format>
    <format dxfId="668">
      <pivotArea type="all" dataOnly="0" outline="0" fieldPosition="0"/>
    </format>
    <format dxfId="667">
      <pivotArea type="all" dataOnly="0" outline="0" fieldPosition="0"/>
    </format>
    <format dxfId="666">
      <pivotArea type="all" dataOnly="0" outline="0" fieldPosition="0"/>
    </format>
    <format dxfId="665">
      <pivotArea type="all" dataOnly="0" outline="0" fieldPosition="0"/>
    </format>
    <format dxfId="664">
      <pivotArea outline="0" collapsedLevelsAreSubtotals="1" fieldPosition="0"/>
    </format>
    <format dxfId="663">
      <pivotArea field="52" type="button" dataOnly="0" labelOnly="1" outline="0" axis="axisRow" fieldPosition="0"/>
    </format>
    <format dxfId="662">
      <pivotArea dataOnly="0" labelOnly="1" fieldPosition="0">
        <references count="1">
          <reference field="52" count="17">
            <x v="0"/>
            <x v="1"/>
            <x v="2"/>
            <x v="3"/>
            <x v="4"/>
            <x v="5"/>
            <x v="6"/>
            <x v="7"/>
            <x v="8"/>
            <x v="9"/>
            <x v="10"/>
            <x v="11"/>
            <x v="13"/>
            <x v="14"/>
            <x v="15"/>
            <x v="16"/>
            <x v="17"/>
          </reference>
        </references>
      </pivotArea>
    </format>
    <format dxfId="661">
      <pivotArea dataOnly="0" labelOnly="1" grandRow="1" outline="0" fieldPosition="0"/>
    </format>
    <format dxfId="66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9.xml><?xml version="1.0" encoding="utf-8"?>
<pivotTableDefinition xmlns="http://schemas.openxmlformats.org/spreadsheetml/2006/main" xmlns:mc="http://schemas.openxmlformats.org/markup-compatibility/2006" xmlns:xr="http://schemas.microsoft.com/office/spreadsheetml/2014/revision" mc:Ignorable="xr" xr:uid="{08E5FF06-8B8D-4AFB-97AD-F45F520EB58C}" name="PivotTable31"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29:E130"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7">
        <item h="1" x="1"/>
        <item x="2"/>
        <item h="1"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Net Dwellings" fld="37" baseField="0" baseItem="0"/>
  </dataFields>
  <formats count="13">
    <format dxfId="688">
      <pivotArea type="all" dataOnly="0" outline="0" fieldPosition="0"/>
    </format>
    <format dxfId="687">
      <pivotArea type="all" dataOnly="0" outline="0" fieldPosition="0"/>
    </format>
    <format dxfId="686">
      <pivotArea type="all" dataOnly="0" outline="0" fieldPosition="0"/>
    </format>
    <format dxfId="685">
      <pivotArea type="all" dataOnly="0" outline="0" fieldPosition="0"/>
    </format>
    <format dxfId="684">
      <pivotArea type="all" dataOnly="0" outline="0" fieldPosition="0"/>
    </format>
    <format dxfId="683">
      <pivotArea type="all" dataOnly="0" outline="0" fieldPosition="0"/>
    </format>
    <format dxfId="682">
      <pivotArea type="all" dataOnly="0" outline="0" fieldPosition="0"/>
    </format>
    <format dxfId="681">
      <pivotArea type="all" dataOnly="0" outline="0" fieldPosition="0"/>
    </format>
    <format dxfId="680">
      <pivotArea type="all" dataOnly="0" outline="0" fieldPosition="0"/>
    </format>
    <format dxfId="679">
      <pivotArea type="all" dataOnly="0" outline="0" fieldPosition="0"/>
    </format>
    <format dxfId="678">
      <pivotArea type="all" dataOnly="0" outline="0" fieldPosition="0"/>
    </format>
    <format dxfId="677">
      <pivotArea outline="0" collapsedLevelsAreSubtotals="1" fieldPosition="0"/>
    </format>
    <format dxfId="67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E9C68F8-AF64-408D-82B1-A4FD46A6C5E9}" name="PivotTable27"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71:E172"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7">
        <item h="1" x="1"/>
        <item h="1" x="2"/>
        <item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Units Proposed" fld="28" baseField="0" baseItem="0"/>
  </dataFields>
  <formats count="13">
    <format dxfId="67">
      <pivotArea type="all" dataOnly="0" outline="0" fieldPosition="0"/>
    </format>
    <format dxfId="66">
      <pivotArea type="all" dataOnly="0" outline="0" fieldPosition="0"/>
    </format>
    <format dxfId="65">
      <pivotArea type="all" dataOnly="0" outline="0" fieldPosition="0"/>
    </format>
    <format dxfId="64">
      <pivotArea type="all" dataOnly="0" outline="0" fieldPosition="0"/>
    </format>
    <format dxfId="63">
      <pivotArea type="all" dataOnly="0" outline="0" fieldPosition="0"/>
    </format>
    <format dxfId="62">
      <pivotArea type="all" dataOnly="0" outline="0" fieldPosition="0"/>
    </format>
    <format dxfId="61">
      <pivotArea type="all" dataOnly="0" outline="0" fieldPosition="0"/>
    </format>
    <format dxfId="60">
      <pivotArea type="all" dataOnly="0" outline="0" fieldPosition="0"/>
    </format>
    <format dxfId="59">
      <pivotArea type="all" dataOnly="0" outline="0" fieldPosition="0"/>
    </format>
    <format dxfId="58">
      <pivotArea type="all" dataOnly="0" outline="0" fieldPosition="0"/>
    </format>
    <format dxfId="57">
      <pivotArea type="all" dataOnly="0" outline="0" fieldPosition="0"/>
    </format>
    <format dxfId="56">
      <pivotArea outline="0" collapsedLevelsAreSubtotals="1" fieldPosition="0"/>
    </format>
    <format dxfId="5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0.xml><?xml version="1.0" encoding="utf-8"?>
<pivotTableDefinition xmlns="http://schemas.openxmlformats.org/spreadsheetml/2006/main" xmlns:mc="http://schemas.openxmlformats.org/markup-compatibility/2006" xmlns:xr="http://schemas.microsoft.com/office/spreadsheetml/2014/revision" mc:Ignorable="xr" xr:uid="{1C8016DD-89EB-4B3E-B37F-E741C345FC93}" name="PivotTable35"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29:H130"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7">
        <item h="1" x="1"/>
        <item x="2"/>
        <item h="1"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Net Dwellings" fld="37" baseField="0" baseItem="0"/>
  </dataFields>
  <formats count="13">
    <format dxfId="701">
      <pivotArea type="all" dataOnly="0" outline="0" fieldPosition="0"/>
    </format>
    <format dxfId="700">
      <pivotArea type="all" dataOnly="0" outline="0" fieldPosition="0"/>
    </format>
    <format dxfId="699">
      <pivotArea type="all" dataOnly="0" outline="0" fieldPosition="0"/>
    </format>
    <format dxfId="698">
      <pivotArea type="all" dataOnly="0" outline="0" fieldPosition="0"/>
    </format>
    <format dxfId="697">
      <pivotArea type="all" dataOnly="0" outline="0" fieldPosition="0"/>
    </format>
    <format dxfId="696">
      <pivotArea type="all" dataOnly="0" outline="0" fieldPosition="0"/>
    </format>
    <format dxfId="695">
      <pivotArea type="all" dataOnly="0" outline="0" fieldPosition="0"/>
    </format>
    <format dxfId="694">
      <pivotArea type="all" dataOnly="0" outline="0" fieldPosition="0"/>
    </format>
    <format dxfId="693">
      <pivotArea type="all" dataOnly="0" outline="0" fieldPosition="0"/>
    </format>
    <format dxfId="692">
      <pivotArea type="all" dataOnly="0" outline="0" fieldPosition="0"/>
    </format>
    <format dxfId="691">
      <pivotArea type="all" dataOnly="0" outline="0" fieldPosition="0"/>
    </format>
    <format dxfId="690">
      <pivotArea outline="0" collapsedLevelsAreSubtotals="1" fieldPosition="0"/>
    </format>
    <format dxfId="68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1.xml><?xml version="1.0" encoding="utf-8"?>
<pivotTableDefinition xmlns="http://schemas.openxmlformats.org/spreadsheetml/2006/main" xmlns:mc="http://schemas.openxmlformats.org/markup-compatibility/2006" xmlns:xr="http://schemas.microsoft.com/office/spreadsheetml/2014/revision" mc:Ignorable="xr" xr:uid="{7ADFF6A8-405D-4D70-A63C-97745E0C7FD6}" name="PivotTable26"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K71:K72" firstHeaderRow="1" firstDataRow="1" firstDataCol="0" rowPageCount="1"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h="1" x="2"/>
        <item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1">
    <pageField fld="7" hier="-1"/>
  </pageFields>
  <dataFields count="1">
    <dataField name="Sum of Net Dwellings" fld="37" baseField="0" baseItem="0"/>
  </dataFields>
  <formats count="13">
    <format dxfId="714">
      <pivotArea type="all" dataOnly="0" outline="0" fieldPosition="0"/>
    </format>
    <format dxfId="713">
      <pivotArea type="all" dataOnly="0" outline="0" fieldPosition="0"/>
    </format>
    <format dxfId="712">
      <pivotArea type="all" dataOnly="0" outline="0" fieldPosition="0"/>
    </format>
    <format dxfId="711">
      <pivotArea type="all" dataOnly="0" outline="0" fieldPosition="0"/>
    </format>
    <format dxfId="710">
      <pivotArea type="all" dataOnly="0" outline="0" fieldPosition="0"/>
    </format>
    <format dxfId="709">
      <pivotArea type="all" dataOnly="0" outline="0" fieldPosition="0"/>
    </format>
    <format dxfId="708">
      <pivotArea type="all" dataOnly="0" outline="0" fieldPosition="0"/>
    </format>
    <format dxfId="707">
      <pivotArea type="all" dataOnly="0" outline="0" fieldPosition="0"/>
    </format>
    <format dxfId="706">
      <pivotArea type="all" dataOnly="0" outline="0" fieldPosition="0"/>
    </format>
    <format dxfId="705">
      <pivotArea type="all" dataOnly="0" outline="0" fieldPosition="0"/>
    </format>
    <format dxfId="704">
      <pivotArea type="all" dataOnly="0" outline="0" fieldPosition="0"/>
    </format>
    <format dxfId="703">
      <pivotArea outline="0" collapsedLevelsAreSubtotals="1" fieldPosition="0"/>
    </format>
    <format dxfId="70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2.xml><?xml version="1.0" encoding="utf-8"?>
<pivotTableDefinition xmlns="http://schemas.openxmlformats.org/spreadsheetml/2006/main" xmlns:mc="http://schemas.openxmlformats.org/markup-compatibility/2006" xmlns:xr="http://schemas.microsoft.com/office/spreadsheetml/2014/revision" mc:Ignorable="xr" xr:uid="{714B0AA5-8551-40C6-8804-32C75AB5C07D}" name="PivotTable56"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223:H224" firstHeaderRow="1" firstDataRow="1" firstDataCol="0" rowPageCount="3"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7">
        <item x="1"/>
        <item h="1" x="2"/>
        <item h="1"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37" baseField="0" baseItem="0"/>
  </dataFields>
  <formats count="13">
    <format dxfId="727">
      <pivotArea type="all" dataOnly="0" outline="0" fieldPosition="0"/>
    </format>
    <format dxfId="726">
      <pivotArea type="all" dataOnly="0" outline="0" fieldPosition="0"/>
    </format>
    <format dxfId="725">
      <pivotArea type="all" dataOnly="0" outline="0" fieldPosition="0"/>
    </format>
    <format dxfId="724">
      <pivotArea type="all" dataOnly="0" outline="0" fieldPosition="0"/>
    </format>
    <format dxfId="723">
      <pivotArea type="all" dataOnly="0" outline="0" fieldPosition="0"/>
    </format>
    <format dxfId="722">
      <pivotArea type="all" dataOnly="0" outline="0" fieldPosition="0"/>
    </format>
    <format dxfId="721">
      <pivotArea type="all" dataOnly="0" outline="0" fieldPosition="0"/>
    </format>
    <format dxfId="720">
      <pivotArea type="all" dataOnly="0" outline="0" fieldPosition="0"/>
    </format>
    <format dxfId="719">
      <pivotArea type="all" dataOnly="0" outline="0" fieldPosition="0"/>
    </format>
    <format dxfId="718">
      <pivotArea type="all" dataOnly="0" outline="0" fieldPosition="0"/>
    </format>
    <format dxfId="717">
      <pivotArea type="all" dataOnly="0" outline="0" fieldPosition="0"/>
    </format>
    <format dxfId="716">
      <pivotArea outline="0" collapsedLevelsAreSubtotals="1" fieldPosition="0"/>
    </format>
    <format dxfId="71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3.xml><?xml version="1.0" encoding="utf-8"?>
<pivotTableDefinition xmlns="http://schemas.openxmlformats.org/spreadsheetml/2006/main" xmlns:mc="http://schemas.openxmlformats.org/markup-compatibility/2006" xmlns:xr="http://schemas.microsoft.com/office/spreadsheetml/2014/revision" mc:Ignorable="xr" xr:uid="{FDABB2F0-55F3-41D4-9097-FD8F05491EAF}" name="PivotTable45"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223:E224" firstHeaderRow="1" firstDataRow="1" firstDataCol="0" rowPageCount="3"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7">
        <item x="1"/>
        <item h="1" x="2"/>
        <item h="1"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37" baseField="0" baseItem="0"/>
  </dataFields>
  <formats count="13">
    <format dxfId="740">
      <pivotArea type="all" dataOnly="0" outline="0" fieldPosition="0"/>
    </format>
    <format dxfId="739">
      <pivotArea type="all" dataOnly="0" outline="0" fieldPosition="0"/>
    </format>
    <format dxfId="738">
      <pivotArea type="all" dataOnly="0" outline="0" fieldPosition="0"/>
    </format>
    <format dxfId="737">
      <pivotArea type="all" dataOnly="0" outline="0" fieldPosition="0"/>
    </format>
    <format dxfId="736">
      <pivotArea type="all" dataOnly="0" outline="0" fieldPosition="0"/>
    </format>
    <format dxfId="735">
      <pivotArea type="all" dataOnly="0" outline="0" fieldPosition="0"/>
    </format>
    <format dxfId="734">
      <pivotArea type="all" dataOnly="0" outline="0" fieldPosition="0"/>
    </format>
    <format dxfId="733">
      <pivotArea type="all" dataOnly="0" outline="0" fieldPosition="0"/>
    </format>
    <format dxfId="732">
      <pivotArea type="all" dataOnly="0" outline="0" fieldPosition="0"/>
    </format>
    <format dxfId="731">
      <pivotArea type="all" dataOnly="0" outline="0" fieldPosition="0"/>
    </format>
    <format dxfId="730">
      <pivotArea type="all" dataOnly="0" outline="0" fieldPosition="0"/>
    </format>
    <format dxfId="729">
      <pivotArea outline="0" collapsedLevelsAreSubtotals="1" fieldPosition="0"/>
    </format>
    <format dxfId="72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4.xml><?xml version="1.0" encoding="utf-8"?>
<pivotTableDefinition xmlns="http://schemas.openxmlformats.org/spreadsheetml/2006/main" xmlns:mc="http://schemas.openxmlformats.org/markup-compatibility/2006" xmlns:xr="http://schemas.microsoft.com/office/spreadsheetml/2014/revision" mc:Ignorable="xr" xr:uid="{5D00B879-46CE-42B6-AB78-0C15357EFCFD}" name="PivotTable28"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71:B172"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7">
        <item h="1" x="1"/>
        <item h="1" x="2"/>
        <item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Units Proposed" fld="28" baseField="0" baseItem="0"/>
  </dataFields>
  <formats count="13">
    <format dxfId="753">
      <pivotArea type="all" dataOnly="0" outline="0" fieldPosition="0"/>
    </format>
    <format dxfId="752">
      <pivotArea type="all" dataOnly="0" outline="0" fieldPosition="0"/>
    </format>
    <format dxfId="751">
      <pivotArea type="all" dataOnly="0" outline="0" fieldPosition="0"/>
    </format>
    <format dxfId="750">
      <pivotArea type="all" dataOnly="0" outline="0" fieldPosition="0"/>
    </format>
    <format dxfId="749">
      <pivotArea type="all" dataOnly="0" outline="0" fieldPosition="0"/>
    </format>
    <format dxfId="748">
      <pivotArea type="all" dataOnly="0" outline="0" fieldPosition="0"/>
    </format>
    <format dxfId="747">
      <pivotArea type="all" dataOnly="0" outline="0" fieldPosition="0"/>
    </format>
    <format dxfId="746">
      <pivotArea type="all" dataOnly="0" outline="0" fieldPosition="0"/>
    </format>
    <format dxfId="745">
      <pivotArea type="all" dataOnly="0" outline="0" fieldPosition="0"/>
    </format>
    <format dxfId="744">
      <pivotArea type="all" dataOnly="0" outline="0" fieldPosition="0"/>
    </format>
    <format dxfId="743">
      <pivotArea type="all" dataOnly="0" outline="0" fieldPosition="0"/>
    </format>
    <format dxfId="742">
      <pivotArea outline="0" collapsedLevelsAreSubtotals="1" fieldPosition="0"/>
    </format>
    <format dxfId="74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5.xml><?xml version="1.0" encoding="utf-8"?>
<pivotTableDefinition xmlns="http://schemas.openxmlformats.org/spreadsheetml/2006/main" xmlns:mc="http://schemas.openxmlformats.org/markup-compatibility/2006" xmlns:xr="http://schemas.microsoft.com/office/spreadsheetml/2014/revision" mc:Ignorable="xr" xr:uid="{099F61E1-6581-4BE7-8F4B-672BB564CBE8}" name="PivotTable16"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80:E81" firstHeaderRow="1" firstDataRow="1" firstDataCol="0" rowPageCount="2"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Units Proposed" fld="28" baseField="0" baseItem="0"/>
  </dataFields>
  <formats count="13">
    <format dxfId="766">
      <pivotArea type="all" dataOnly="0" outline="0" fieldPosition="0"/>
    </format>
    <format dxfId="765">
      <pivotArea type="all" dataOnly="0" outline="0" fieldPosition="0"/>
    </format>
    <format dxfId="764">
      <pivotArea type="all" dataOnly="0" outline="0" fieldPosition="0"/>
    </format>
    <format dxfId="763">
      <pivotArea type="all" dataOnly="0" outline="0" fieldPosition="0"/>
    </format>
    <format dxfId="762">
      <pivotArea type="all" dataOnly="0" outline="0" fieldPosition="0"/>
    </format>
    <format dxfId="761">
      <pivotArea type="all" dataOnly="0" outline="0" fieldPosition="0"/>
    </format>
    <format dxfId="760">
      <pivotArea type="all" dataOnly="0" outline="0" fieldPosition="0"/>
    </format>
    <format dxfId="759">
      <pivotArea type="all" dataOnly="0" outline="0" fieldPosition="0"/>
    </format>
    <format dxfId="758">
      <pivotArea type="all" dataOnly="0" outline="0" fieldPosition="0"/>
    </format>
    <format dxfId="757">
      <pivotArea type="all" dataOnly="0" outline="0" fieldPosition="0"/>
    </format>
    <format dxfId="756">
      <pivotArea type="all" dataOnly="0" outline="0" fieldPosition="0"/>
    </format>
    <format dxfId="755">
      <pivotArea outline="0" collapsedLevelsAreSubtotals="1" fieldPosition="0"/>
    </format>
    <format dxfId="75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95F63CCA-EF28-47B3-B3E4-DCA5ABF300CE}" name="PivotTable23"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16:H117" firstHeaderRow="1" firstDataRow="1" firstDataCol="0" rowPageCount="1"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1">
    <pageField fld="7" hier="-1"/>
  </pageFields>
  <dataFields count="1">
    <dataField name="Sum of Units Proposed" fld="28" baseField="0" baseItem="0"/>
  </dataFields>
  <formats count="13">
    <format dxfId="779">
      <pivotArea type="all" dataOnly="0" outline="0" fieldPosition="0"/>
    </format>
    <format dxfId="778">
      <pivotArea type="all" dataOnly="0" outline="0" fieldPosition="0"/>
    </format>
    <format dxfId="777">
      <pivotArea type="all" dataOnly="0" outline="0" fieldPosition="0"/>
    </format>
    <format dxfId="776">
      <pivotArea type="all" dataOnly="0" outline="0" fieldPosition="0"/>
    </format>
    <format dxfId="775">
      <pivotArea type="all" dataOnly="0" outline="0" fieldPosition="0"/>
    </format>
    <format dxfId="774">
      <pivotArea type="all" dataOnly="0" outline="0" fieldPosition="0"/>
    </format>
    <format dxfId="773">
      <pivotArea type="all" dataOnly="0" outline="0" fieldPosition="0"/>
    </format>
    <format dxfId="772">
      <pivotArea type="all" dataOnly="0" outline="0" fieldPosition="0"/>
    </format>
    <format dxfId="771">
      <pivotArea type="all" dataOnly="0" outline="0" fieldPosition="0"/>
    </format>
    <format dxfId="770">
      <pivotArea type="all" dataOnly="0" outline="0" fieldPosition="0"/>
    </format>
    <format dxfId="769">
      <pivotArea type="all" dataOnly="0" outline="0" fieldPosition="0"/>
    </format>
    <format dxfId="768">
      <pivotArea outline="0" collapsedLevelsAreSubtotals="1" fieldPosition="0"/>
    </format>
    <format dxfId="76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7.xml><?xml version="1.0" encoding="utf-8"?>
<pivotTableDefinition xmlns="http://schemas.openxmlformats.org/spreadsheetml/2006/main" xmlns:mc="http://schemas.openxmlformats.org/markup-compatibility/2006" xmlns:xr="http://schemas.microsoft.com/office/spreadsheetml/2014/revision" mc:Ignorable="xr" xr:uid="{E7CEFC27-DC0F-4F2C-A325-5F22E73B0064}" name="PivotTable69"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244:B245" firstHeaderRow="1" firstDataRow="1" firstDataCol="0" rowPageCount="3"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7">
        <item x="1"/>
        <item x="2"/>
        <item x="0"/>
        <item x="5"/>
        <item x="6"/>
        <item x="4"/>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37" baseField="0" baseItem="0"/>
  </dataFields>
  <formats count="13">
    <format dxfId="792">
      <pivotArea type="all" dataOnly="0" outline="0" fieldPosition="0"/>
    </format>
    <format dxfId="791">
      <pivotArea type="all" dataOnly="0" outline="0" fieldPosition="0"/>
    </format>
    <format dxfId="790">
      <pivotArea type="all" dataOnly="0" outline="0" fieldPosition="0"/>
    </format>
    <format dxfId="789">
      <pivotArea type="all" dataOnly="0" outline="0" fieldPosition="0"/>
    </format>
    <format dxfId="788">
      <pivotArea type="all" dataOnly="0" outline="0" fieldPosition="0"/>
    </format>
    <format dxfId="787">
      <pivotArea type="all" dataOnly="0" outline="0" fieldPosition="0"/>
    </format>
    <format dxfId="786">
      <pivotArea type="all" dataOnly="0" outline="0" fieldPosition="0"/>
    </format>
    <format dxfId="785">
      <pivotArea type="all" dataOnly="0" outline="0" fieldPosition="0"/>
    </format>
    <format dxfId="784">
      <pivotArea type="all" dataOnly="0" outline="0" fieldPosition="0"/>
    </format>
    <format dxfId="783">
      <pivotArea type="all" dataOnly="0" outline="0" fieldPosition="0"/>
    </format>
    <format dxfId="782">
      <pivotArea type="all" dataOnly="0" outline="0" fieldPosition="0"/>
    </format>
    <format dxfId="781">
      <pivotArea outline="0" collapsedLevelsAreSubtotals="1" fieldPosition="0"/>
    </format>
    <format dxfId="78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8.xml><?xml version="1.0" encoding="utf-8"?>
<pivotTableDefinition xmlns="http://schemas.openxmlformats.org/spreadsheetml/2006/main" xmlns:mc="http://schemas.openxmlformats.org/markup-compatibility/2006" xmlns:xr="http://schemas.microsoft.com/office/spreadsheetml/2014/revision" mc:Ignorable="xr" xr:uid="{29AF865C-88A9-4028-ADE0-F8FF22381E6D}" name="PivotTable37"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37:B138"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7">
        <item x="1"/>
        <item h="1" x="2"/>
        <item h="1"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Net Dwellings" fld="37" baseField="0" baseItem="0"/>
  </dataFields>
  <formats count="13">
    <format dxfId="805">
      <pivotArea type="all" dataOnly="0" outline="0" fieldPosition="0"/>
    </format>
    <format dxfId="804">
      <pivotArea type="all" dataOnly="0" outline="0" fieldPosition="0"/>
    </format>
    <format dxfId="803">
      <pivotArea type="all" dataOnly="0" outline="0" fieldPosition="0"/>
    </format>
    <format dxfId="802">
      <pivotArea type="all" dataOnly="0" outline="0" fieldPosition="0"/>
    </format>
    <format dxfId="801">
      <pivotArea type="all" dataOnly="0" outline="0" fieldPosition="0"/>
    </format>
    <format dxfId="800">
      <pivotArea type="all" dataOnly="0" outline="0" fieldPosition="0"/>
    </format>
    <format dxfId="799">
      <pivotArea type="all" dataOnly="0" outline="0" fieldPosition="0"/>
    </format>
    <format dxfId="798">
      <pivotArea type="all" dataOnly="0" outline="0" fieldPosition="0"/>
    </format>
    <format dxfId="797">
      <pivotArea type="all" dataOnly="0" outline="0" fieldPosition="0"/>
    </format>
    <format dxfId="796">
      <pivotArea type="all" dataOnly="0" outline="0" fieldPosition="0"/>
    </format>
    <format dxfId="795">
      <pivotArea type="all" dataOnly="0" outline="0" fieldPosition="0"/>
    </format>
    <format dxfId="794">
      <pivotArea outline="0" collapsedLevelsAreSubtotals="1" fieldPosition="0"/>
    </format>
    <format dxfId="79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9.xml><?xml version="1.0" encoding="utf-8"?>
<pivotTableDefinition xmlns="http://schemas.openxmlformats.org/spreadsheetml/2006/main" xmlns:mc="http://schemas.openxmlformats.org/markup-compatibility/2006" xmlns:xr="http://schemas.microsoft.com/office/spreadsheetml/2014/revision" mc:Ignorable="xr" xr:uid="{858798C8-9BF9-40EE-A439-76FD4BCBFD82}" name="PivotTable25"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K89:K90" firstHeaderRow="1" firstDataRow="1" firstDataCol="0" rowPageCount="2"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h="1" x="2"/>
        <item x="3"/>
        <item h="1" x="4"/>
      </items>
    </pivotField>
    <pivotField axis="axisPage" multipleItemSelectionAllowed="1" showAll="0" defaultSubtotal="0">
      <items count="7">
        <item x="5"/>
        <item h="1" x="1"/>
        <item h="1" x="2"/>
        <item h="1" x="0"/>
        <item h="1" x="4"/>
        <item h="1" x="6"/>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Net Dwellings" fld="37" baseField="0" baseItem="0"/>
  </dataFields>
  <formats count="13">
    <format dxfId="818">
      <pivotArea type="all" dataOnly="0" outline="0" fieldPosition="0"/>
    </format>
    <format dxfId="817">
      <pivotArea type="all" dataOnly="0" outline="0" fieldPosition="0"/>
    </format>
    <format dxfId="816">
      <pivotArea type="all" dataOnly="0" outline="0" fieldPosition="0"/>
    </format>
    <format dxfId="815">
      <pivotArea type="all" dataOnly="0" outline="0" fieldPosition="0"/>
    </format>
    <format dxfId="814">
      <pivotArea type="all" dataOnly="0" outline="0" fieldPosition="0"/>
    </format>
    <format dxfId="813">
      <pivotArea type="all" dataOnly="0" outline="0" fieldPosition="0"/>
    </format>
    <format dxfId="812">
      <pivotArea type="all" dataOnly="0" outline="0" fieldPosition="0"/>
    </format>
    <format dxfId="811">
      <pivotArea type="all" dataOnly="0" outline="0" fieldPosition="0"/>
    </format>
    <format dxfId="810">
      <pivotArea type="all" dataOnly="0" outline="0" fieldPosition="0"/>
    </format>
    <format dxfId="809">
      <pivotArea type="all" dataOnly="0" outline="0" fieldPosition="0"/>
    </format>
    <format dxfId="808">
      <pivotArea type="all" dataOnly="0" outline="0" fieldPosition="0"/>
    </format>
    <format dxfId="807">
      <pivotArea outline="0" collapsedLevelsAreSubtotals="1" fieldPosition="0"/>
    </format>
    <format dxfId="80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ECC00022-993F-4D49-9493-0697D126975E}" name="PivotTable1"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3:F14" firstHeaderRow="0" firstDataRow="1" firstDataCol="0" rowPageCount="3"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dataField="1" numFmtId="165" showAll="0"/>
    <pivotField dataField="1" numFmtId="165" showAll="0"/>
    <pivotField dataField="1" numFmtId="165" showAll="0"/>
    <pivotField dataField="1" numFmtId="165" showAll="0"/>
    <pivotField dataField="1" numFmtId="165" showAll="0"/>
    <pivotField axis="axisPage" multipleItemSelectionAllowed="1" showAll="0" defaultSubtotal="0">
      <items count="2">
        <item h="1" x="0"/>
        <item x="1"/>
      </items>
    </pivotField>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Fields count="1">
    <field x="-2"/>
  </colFields>
  <colItems count="5">
    <i>
      <x/>
    </i>
    <i i="1">
      <x v="1"/>
    </i>
    <i i="2">
      <x v="2"/>
    </i>
    <i i="3">
      <x v="3"/>
    </i>
    <i i="4">
      <x v="4"/>
    </i>
  </colItems>
  <pageFields count="3">
    <pageField fld="46" hier="-1"/>
    <pageField fld="7" hier="-1"/>
    <pageField fld="1" hier="-1"/>
  </pageFields>
  <dataFields count="5">
    <dataField name="Sum of 2020/21 (1)" fld="41" baseField="0" baseItem="0"/>
    <dataField name="Sum of 2021/22 (2)" fld="42" baseField="0" baseItem="0"/>
    <dataField name="Sum of 2022/23 (3)" fld="43" baseField="0" baseItem="0"/>
    <dataField name="Sum of 2023/24 (4)" fld="44" baseField="0" baseItem="0"/>
    <dataField name="Sum of 2024/25 (5)" fld="45" baseField="0" baseItem="0"/>
  </dataFields>
  <formats count="14">
    <format dxfId="81">
      <pivotArea type="all" dataOnly="0" outline="0" fieldPosition="0"/>
    </format>
    <format dxfId="80">
      <pivotArea type="all" dataOnly="0" outline="0" fieldPosition="0"/>
    </format>
    <format dxfId="79">
      <pivotArea type="all" dataOnly="0" outline="0" fieldPosition="0"/>
    </format>
    <format dxfId="78">
      <pivotArea type="all" dataOnly="0" outline="0" fieldPosition="0"/>
    </format>
    <format dxfId="77">
      <pivotArea type="all" dataOnly="0" outline="0" fieldPosition="0"/>
    </format>
    <format dxfId="76">
      <pivotArea type="all" dataOnly="0" outline="0" fieldPosition="0"/>
    </format>
    <format dxfId="75">
      <pivotArea type="all" dataOnly="0" outline="0" fieldPosition="0"/>
    </format>
    <format dxfId="74">
      <pivotArea outline="0" collapsedLevelsAreSubtotals="1" fieldPosition="0"/>
    </format>
    <format dxfId="73">
      <pivotArea type="all" dataOnly="0" outline="0" fieldPosition="0"/>
    </format>
    <format dxfId="72">
      <pivotArea type="all" dataOnly="0" outline="0" fieldPosition="0"/>
    </format>
    <format dxfId="71">
      <pivotArea type="all" dataOnly="0" outline="0" fieldPosition="0"/>
    </format>
    <format dxfId="70">
      <pivotArea type="all" dataOnly="0" outline="0" fieldPosition="0"/>
    </format>
    <format dxfId="69">
      <pivotArea outline="0" collapsedLevelsAreSubtotals="1" fieldPosition="0"/>
    </format>
    <format dxfId="68">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0.xml><?xml version="1.0" encoding="utf-8"?>
<pivotTableDefinition xmlns="http://schemas.openxmlformats.org/spreadsheetml/2006/main" xmlns:mc="http://schemas.openxmlformats.org/markup-compatibility/2006" xmlns:xr="http://schemas.microsoft.com/office/spreadsheetml/2014/revision" mc:Ignorable="xr" xr:uid="{7E786C43-B84A-4847-8795-68330592BB56}" name="PivotTable11"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16:B117" firstHeaderRow="1" firstDataRow="1" firstDataCol="0" rowPageCount="1"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1">
    <pageField fld="7" hier="-1"/>
  </pageFields>
  <dataFields count="1">
    <dataField name="Sum of Units Proposed" fld="28" baseField="0" baseItem="0"/>
  </dataFields>
  <formats count="13">
    <format dxfId="831">
      <pivotArea type="all" dataOnly="0" outline="0" fieldPosition="0"/>
    </format>
    <format dxfId="830">
      <pivotArea type="all" dataOnly="0" outline="0" fieldPosition="0"/>
    </format>
    <format dxfId="829">
      <pivotArea type="all" dataOnly="0" outline="0" fieldPosition="0"/>
    </format>
    <format dxfId="828">
      <pivotArea type="all" dataOnly="0" outline="0" fieldPosition="0"/>
    </format>
    <format dxfId="827">
      <pivotArea type="all" dataOnly="0" outline="0" fieldPosition="0"/>
    </format>
    <format dxfId="826">
      <pivotArea type="all" dataOnly="0" outline="0" fieldPosition="0"/>
    </format>
    <format dxfId="825">
      <pivotArea type="all" dataOnly="0" outline="0" fieldPosition="0"/>
    </format>
    <format dxfId="824">
      <pivotArea type="all" dataOnly="0" outline="0" fieldPosition="0"/>
    </format>
    <format dxfId="823">
      <pivotArea type="all" dataOnly="0" outline="0" fieldPosition="0"/>
    </format>
    <format dxfId="822">
      <pivotArea type="all" dataOnly="0" outline="0" fieldPosition="0"/>
    </format>
    <format dxfId="821">
      <pivotArea type="all" dataOnly="0" outline="0" fieldPosition="0"/>
    </format>
    <format dxfId="820">
      <pivotArea outline="0" collapsedLevelsAreSubtotals="1" fieldPosition="0"/>
    </format>
    <format dxfId="81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1.xml><?xml version="1.0" encoding="utf-8"?>
<pivotTableDefinition xmlns="http://schemas.openxmlformats.org/spreadsheetml/2006/main" xmlns:mc="http://schemas.openxmlformats.org/markup-compatibility/2006" xmlns:xr="http://schemas.microsoft.com/office/spreadsheetml/2014/revision" mc:Ignorable="xr" xr:uid="{8AE6C910-030E-4F0D-85F2-3EAAC4A68547}" name="PivotTable82"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387:J392" firstHeaderRow="0" firstDataRow="1" firstDataCol="1" rowPageCount="2"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Row" multipleItemSelectionAllowed="1" showAll="0" defaultSubtotal="0">
      <items count="7">
        <item x="1"/>
        <item x="2"/>
        <item x="0"/>
        <item x="5"/>
        <item x="6"/>
        <item x="4"/>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defaultSubtotal="0"/>
    <pivotField showAll="0" defaultSubtotal="0"/>
    <pivotField showAll="0" defaultSubtotal="0"/>
    <pivotField showAll="0" defaultSubtotal="0"/>
    <pivotField showAll="0"/>
  </pivotFields>
  <rowFields count="1">
    <field x="8"/>
  </rowFields>
  <rowItems count="5">
    <i>
      <x/>
    </i>
    <i>
      <x v="1"/>
    </i>
    <i>
      <x v="2"/>
    </i>
    <i>
      <x v="5"/>
    </i>
    <i t="grand">
      <x/>
    </i>
  </rowItems>
  <colFields count="1">
    <field x="-2"/>
  </colFields>
  <colItems count="8">
    <i>
      <x/>
    </i>
    <i i="1">
      <x v="1"/>
    </i>
    <i i="2">
      <x v="2"/>
    </i>
    <i i="3">
      <x v="3"/>
    </i>
    <i i="4">
      <x v="4"/>
    </i>
    <i i="5">
      <x v="5"/>
    </i>
    <i i="6">
      <x v="6"/>
    </i>
    <i i="7">
      <x v="7"/>
    </i>
  </colItems>
  <pageFields count="2">
    <pageField fld="7" hier="-1"/>
    <pageField fld="1" hier="-1"/>
  </pageFields>
  <dataFields count="8">
    <dataField name="Sum of 0 bed net" fld="29" baseField="0" baseItem="0"/>
    <dataField name="Sum of 1 bed net" fld="30" baseField="0" baseItem="0"/>
    <dataField name="Sum of 2 bed net" fld="31" baseField="0" baseItem="0"/>
    <dataField name="Sum of 3 bed net" fld="32" baseField="0" baseItem="0"/>
    <dataField name="Sum of 4 bed net" fld="33" baseField="0" baseItem="0"/>
    <dataField name="Sum of 5 bed net" fld="34" baseField="0" baseItem="0"/>
    <dataField name="Sum of 6 bed net" fld="35" baseField="0" baseItem="0"/>
    <dataField name="Sum of 7 bed net" fld="36" baseField="0" baseItem="0"/>
  </dataFields>
  <formats count="16">
    <format dxfId="847">
      <pivotArea type="all" dataOnly="0" outline="0" fieldPosition="0"/>
    </format>
    <format dxfId="846">
      <pivotArea type="all" dataOnly="0" outline="0" fieldPosition="0"/>
    </format>
    <format dxfId="845">
      <pivotArea type="all" dataOnly="0" outline="0" fieldPosition="0"/>
    </format>
    <format dxfId="844">
      <pivotArea type="all" dataOnly="0" outline="0" fieldPosition="0"/>
    </format>
    <format dxfId="843">
      <pivotArea type="all" dataOnly="0" outline="0" fieldPosition="0"/>
    </format>
    <format dxfId="842">
      <pivotArea type="all" dataOnly="0" outline="0" fieldPosition="0"/>
    </format>
    <format dxfId="841">
      <pivotArea type="all" dataOnly="0" outline="0" fieldPosition="0"/>
    </format>
    <format dxfId="840">
      <pivotArea type="all" dataOnly="0" outline="0" fieldPosition="0"/>
    </format>
    <format dxfId="839">
      <pivotArea type="all" dataOnly="0" outline="0" fieldPosition="0"/>
    </format>
    <format dxfId="838">
      <pivotArea type="all" dataOnly="0" outline="0" fieldPosition="0"/>
    </format>
    <format dxfId="837">
      <pivotArea type="all" dataOnly="0" outline="0" fieldPosition="0"/>
    </format>
    <format dxfId="836">
      <pivotArea outline="0" collapsedLevelsAreSubtotals="1" fieldPosition="0"/>
    </format>
    <format dxfId="835">
      <pivotArea field="8" type="button" dataOnly="0" labelOnly="1" outline="0" axis="axisRow" fieldPosition="0"/>
    </format>
    <format dxfId="834">
      <pivotArea dataOnly="0" labelOnly="1" fieldPosition="0">
        <references count="1">
          <reference field="8" count="4">
            <x v="0"/>
            <x v="1"/>
            <x v="2"/>
            <x v="5"/>
          </reference>
        </references>
      </pivotArea>
    </format>
    <format dxfId="833">
      <pivotArea dataOnly="0" labelOnly="1" grandRow="1" outline="0" fieldPosition="0"/>
    </format>
    <format dxfId="832">
      <pivotArea dataOnly="0" labelOnly="1" outline="0" fieldPosition="0">
        <references count="1">
          <reference field="4294967294" count="8">
            <x v="0"/>
            <x v="1"/>
            <x v="2"/>
            <x v="3"/>
            <x v="4"/>
            <x v="5"/>
            <x v="6"/>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2.xml><?xml version="1.0" encoding="utf-8"?>
<pivotTableDefinition xmlns="http://schemas.openxmlformats.org/spreadsheetml/2006/main" xmlns:mc="http://schemas.openxmlformats.org/markup-compatibility/2006" xmlns:xr="http://schemas.microsoft.com/office/spreadsheetml/2014/revision" mc:Ignorable="xr" xr:uid="{72D02ED6-6CA9-4D1F-9AAD-7FC944B8831F}" name="PivotTable4"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5:B6" firstHeaderRow="1" firstDataRow="1" firstDataCol="0" rowPageCount="1"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showAll="0" defaultSubtotal="0"/>
    <pivotField showAll="0"/>
    <pivotField showAll="0"/>
    <pivotField showAll="0"/>
    <pivotField showAll="0"/>
    <pivotField showAll="0"/>
    <pivotField showAll="0"/>
    <pivotField showAll="0"/>
    <pivotField showAll="0"/>
    <pivotField showAll="0"/>
    <pivotField showAll="0"/>
    <pivotField showAll="0" defaultSubtotal="0"/>
    <pivotField showAll="0"/>
    <pivotField numFmtId="1" showAll="0"/>
    <pivotField numFmtId="1" showAll="0"/>
    <pivotField showAll="0"/>
    <pivotField showAll="0"/>
    <pivotField showAll="0"/>
    <pivotField showAll="0"/>
    <pivotField showAl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pivotField numFmtId="165" showAll="0"/>
    <pivotField numFmtId="165" showAll="0"/>
    <pivotField numFmtId="165" showAll="0"/>
    <pivotField numFmtId="165" showAll="0"/>
    <pivotField numFmtId="165" showAll="0"/>
    <pivotField numFmtId="165" showAll="0"/>
    <pivotField numFmtId="165" showAll="0"/>
    <pivotField showAl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1">
    <pageField fld="7" hier="-1"/>
  </pageFields>
  <dataFields count="1">
    <dataField name="Sum of Net Dwellings" fld="37" baseField="0" baseItem="0"/>
  </dataFields>
  <formats count="13">
    <format dxfId="860">
      <pivotArea type="all" dataOnly="0" outline="0" fieldPosition="0"/>
    </format>
    <format dxfId="859">
      <pivotArea type="all" dataOnly="0" outline="0" fieldPosition="0"/>
    </format>
    <format dxfId="858">
      <pivotArea type="all" dataOnly="0" outline="0" fieldPosition="0"/>
    </format>
    <format dxfId="857">
      <pivotArea type="all" dataOnly="0" outline="0" fieldPosition="0"/>
    </format>
    <format dxfId="856">
      <pivotArea type="all" dataOnly="0" outline="0" fieldPosition="0"/>
    </format>
    <format dxfId="855">
      <pivotArea type="all" dataOnly="0" outline="0" fieldPosition="0"/>
    </format>
    <format dxfId="854">
      <pivotArea type="all" dataOnly="0" outline="0" fieldPosition="0"/>
    </format>
    <format dxfId="853">
      <pivotArea type="all" dataOnly="0" outline="0" fieldPosition="0"/>
    </format>
    <format dxfId="852">
      <pivotArea type="all" dataOnly="0" outline="0" fieldPosition="0"/>
    </format>
    <format dxfId="851">
      <pivotArea type="all" dataOnly="0" outline="0" fieldPosition="0"/>
    </format>
    <format dxfId="850">
      <pivotArea type="all" dataOnly="0" outline="0" fieldPosition="0"/>
    </format>
    <format dxfId="849">
      <pivotArea outline="0" collapsedLevelsAreSubtotals="1" fieldPosition="0"/>
    </format>
    <format dxfId="84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3.xml><?xml version="1.0" encoding="utf-8"?>
<pivotTableDefinition xmlns="http://schemas.openxmlformats.org/spreadsheetml/2006/main" xmlns:mc="http://schemas.openxmlformats.org/markup-compatibility/2006" xmlns:xr="http://schemas.microsoft.com/office/spreadsheetml/2014/revision" mc:Ignorable="xr" xr:uid="{8FFDAB7B-9E60-4BB6-BA73-AE8EEE16BE06}" name="PivotTable15"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98:E99" firstHeaderRow="1" firstDataRow="1" firstDataCol="0" rowPageCount="2" colPageCount="1"/>
  <pivotFields count="57">
    <pivotField showAll="0" defaultSubtotal="0"/>
    <pivotField axis="axisPage" multipleItemSelectionAllowed="1" showAll="0" defaultSubtotal="0">
      <items count="6">
        <item x="3"/>
        <item x="0"/>
        <item x="2"/>
        <item h="1" x="4"/>
        <item h="1"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Units Proposed" fld="28" baseField="0" baseItem="0"/>
  </dataFields>
  <formats count="13">
    <format dxfId="873">
      <pivotArea type="all" dataOnly="0" outline="0" fieldPosition="0"/>
    </format>
    <format dxfId="872">
      <pivotArea type="all" dataOnly="0" outline="0" fieldPosition="0"/>
    </format>
    <format dxfId="871">
      <pivotArea type="all" dataOnly="0" outline="0" fieldPosition="0"/>
    </format>
    <format dxfId="870">
      <pivotArea type="all" dataOnly="0" outline="0" fieldPosition="0"/>
    </format>
    <format dxfId="869">
      <pivotArea type="all" dataOnly="0" outline="0" fieldPosition="0"/>
    </format>
    <format dxfId="868">
      <pivotArea type="all" dataOnly="0" outline="0" fieldPosition="0"/>
    </format>
    <format dxfId="867">
      <pivotArea type="all" dataOnly="0" outline="0" fieldPosition="0"/>
    </format>
    <format dxfId="866">
      <pivotArea type="all" dataOnly="0" outline="0" fieldPosition="0"/>
    </format>
    <format dxfId="865">
      <pivotArea type="all" dataOnly="0" outline="0" fieldPosition="0"/>
    </format>
    <format dxfId="864">
      <pivotArea type="all" dataOnly="0" outline="0" fieldPosition="0"/>
    </format>
    <format dxfId="863">
      <pivotArea type="all" dataOnly="0" outline="0" fieldPosition="0"/>
    </format>
    <format dxfId="862">
      <pivotArea outline="0" collapsedLevelsAreSubtotals="1" fieldPosition="0"/>
    </format>
    <format dxfId="86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4.xml><?xml version="1.0" encoding="utf-8"?>
<pivotTableDefinition xmlns="http://schemas.openxmlformats.org/spreadsheetml/2006/main" xmlns:mc="http://schemas.openxmlformats.org/markup-compatibility/2006" xmlns:xr="http://schemas.microsoft.com/office/spreadsheetml/2014/revision" mc:Ignorable="xr" xr:uid="{125FC5C0-9F43-41AC-B412-31584227C8DB}" name="PivotTable40"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63:B164"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7">
        <item x="1"/>
        <item h="1" x="2"/>
        <item h="1"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Units Proposed" fld="28" baseField="0" baseItem="0"/>
  </dataFields>
  <formats count="13">
    <format dxfId="886">
      <pivotArea type="all" dataOnly="0" outline="0" fieldPosition="0"/>
    </format>
    <format dxfId="885">
      <pivotArea type="all" dataOnly="0" outline="0" fieldPosition="0"/>
    </format>
    <format dxfId="884">
      <pivotArea type="all" dataOnly="0" outline="0" fieldPosition="0"/>
    </format>
    <format dxfId="883">
      <pivotArea type="all" dataOnly="0" outline="0" fieldPosition="0"/>
    </format>
    <format dxfId="882">
      <pivotArea type="all" dataOnly="0" outline="0" fieldPosition="0"/>
    </format>
    <format dxfId="881">
      <pivotArea type="all" dataOnly="0" outline="0" fieldPosition="0"/>
    </format>
    <format dxfId="880">
      <pivotArea type="all" dataOnly="0" outline="0" fieldPosition="0"/>
    </format>
    <format dxfId="879">
      <pivotArea type="all" dataOnly="0" outline="0" fieldPosition="0"/>
    </format>
    <format dxfId="878">
      <pivotArea type="all" dataOnly="0" outline="0" fieldPosition="0"/>
    </format>
    <format dxfId="877">
      <pivotArea type="all" dataOnly="0" outline="0" fieldPosition="0"/>
    </format>
    <format dxfId="876">
      <pivotArea type="all" dataOnly="0" outline="0" fieldPosition="0"/>
    </format>
    <format dxfId="875">
      <pivotArea outline="0" collapsedLevelsAreSubtotals="1" fieldPosition="0"/>
    </format>
    <format dxfId="87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5.xml><?xml version="1.0" encoding="utf-8"?>
<pivotTableDefinition xmlns="http://schemas.openxmlformats.org/spreadsheetml/2006/main" xmlns:mc="http://schemas.openxmlformats.org/markup-compatibility/2006" xmlns:xr="http://schemas.microsoft.com/office/spreadsheetml/2014/revision" mc:Ignorable="xr" xr:uid="{883460B4-0B6F-4801-97ED-443C7BCB0F89}" name="PivotTable97" cacheId="2"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477:F480" firstHeaderRow="1" firstDataRow="1" firstDataCol="1" rowPageCount="1" colPageCount="1"/>
  <pivotFields count="58">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6">
        <item h="1" x="0"/>
        <item x="1"/>
        <item h="1" x="2"/>
        <item h="1" x="3"/>
        <item h="1" x="4"/>
        <item h="1" m="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 axis="axisRow" showAll="0">
      <items count="4">
        <item m="1" x="2"/>
        <item x="0"/>
        <item x="1"/>
        <item t="default"/>
      </items>
    </pivotField>
  </pivotFields>
  <rowFields count="1">
    <field x="57"/>
  </rowFields>
  <rowItems count="3">
    <i>
      <x v="1"/>
    </i>
    <i>
      <x v="2"/>
    </i>
    <i t="grand">
      <x/>
    </i>
  </rowItems>
  <colItems count="1">
    <i/>
  </colItems>
  <pageFields count="1">
    <pageField fld="7" hier="-1"/>
  </pageFields>
  <dataFields count="1">
    <dataField name="Sum of Units Proposed" fld="28" baseField="0" baseItem="0"/>
  </dataFields>
  <formats count="16">
    <format dxfId="902">
      <pivotArea type="all" dataOnly="0" outline="0" fieldPosition="0"/>
    </format>
    <format dxfId="901">
      <pivotArea type="all" dataOnly="0" outline="0" fieldPosition="0"/>
    </format>
    <format dxfId="900">
      <pivotArea type="all" dataOnly="0" outline="0" fieldPosition="0"/>
    </format>
    <format dxfId="899">
      <pivotArea type="all" dataOnly="0" outline="0" fieldPosition="0"/>
    </format>
    <format dxfId="898">
      <pivotArea type="all" dataOnly="0" outline="0" fieldPosition="0"/>
    </format>
    <format dxfId="897">
      <pivotArea type="all" dataOnly="0" outline="0" fieldPosition="0"/>
    </format>
    <format dxfId="896">
      <pivotArea type="all" dataOnly="0" outline="0" fieldPosition="0"/>
    </format>
    <format dxfId="895">
      <pivotArea type="all" dataOnly="0" outline="0" fieldPosition="0"/>
    </format>
    <format dxfId="894">
      <pivotArea type="all" dataOnly="0" outline="0" fieldPosition="0"/>
    </format>
    <format dxfId="893">
      <pivotArea type="all" dataOnly="0" outline="0" fieldPosition="0"/>
    </format>
    <format dxfId="892">
      <pivotArea type="all" dataOnly="0" outline="0" fieldPosition="0"/>
    </format>
    <format dxfId="891">
      <pivotArea outline="0" collapsedLevelsAreSubtotals="1" fieldPosition="0"/>
    </format>
    <format dxfId="890">
      <pivotArea field="57" type="button" dataOnly="0" labelOnly="1" outline="0" axis="axisRow" fieldPosition="0"/>
    </format>
    <format dxfId="889">
      <pivotArea dataOnly="0" labelOnly="1" fieldPosition="0">
        <references count="1">
          <reference field="57" count="0"/>
        </references>
      </pivotArea>
    </format>
    <format dxfId="888">
      <pivotArea dataOnly="0" labelOnly="1" grandRow="1" outline="0" fieldPosition="0"/>
    </format>
    <format dxfId="88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6.xml><?xml version="1.0" encoding="utf-8"?>
<pivotTableDefinition xmlns="http://schemas.openxmlformats.org/spreadsheetml/2006/main" xmlns:mc="http://schemas.openxmlformats.org/markup-compatibility/2006" xmlns:xr="http://schemas.microsoft.com/office/spreadsheetml/2014/revision" mc:Ignorable="xr" xr:uid="{4716CE95-ABC4-4E61-9043-0FF7C34A38DA}" name="PivotTable47"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232:E233" firstHeaderRow="1" firstDataRow="1" firstDataCol="0" rowPageCount="3"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7">
        <item x="1"/>
        <item h="1" x="2"/>
        <item h="1"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28" baseField="0" baseItem="0"/>
  </dataFields>
  <formats count="13">
    <format dxfId="915">
      <pivotArea type="all" dataOnly="0" outline="0" fieldPosition="0"/>
    </format>
    <format dxfId="914">
      <pivotArea type="all" dataOnly="0" outline="0" fieldPosition="0"/>
    </format>
    <format dxfId="913">
      <pivotArea type="all" dataOnly="0" outline="0" fieldPosition="0"/>
    </format>
    <format dxfId="912">
      <pivotArea type="all" dataOnly="0" outline="0" fieldPosition="0"/>
    </format>
    <format dxfId="911">
      <pivotArea type="all" dataOnly="0" outline="0" fieldPosition="0"/>
    </format>
    <format dxfId="910">
      <pivotArea type="all" dataOnly="0" outline="0" fieldPosition="0"/>
    </format>
    <format dxfId="909">
      <pivotArea type="all" dataOnly="0" outline="0" fieldPosition="0"/>
    </format>
    <format dxfId="908">
      <pivotArea type="all" dataOnly="0" outline="0" fieldPosition="0"/>
    </format>
    <format dxfId="907">
      <pivotArea type="all" dataOnly="0" outline="0" fieldPosition="0"/>
    </format>
    <format dxfId="906">
      <pivotArea type="all" dataOnly="0" outline="0" fieldPosition="0"/>
    </format>
    <format dxfId="905">
      <pivotArea type="all" dataOnly="0" outline="0" fieldPosition="0"/>
    </format>
    <format dxfId="904">
      <pivotArea outline="0" collapsedLevelsAreSubtotals="1" fieldPosition="0"/>
    </format>
    <format dxfId="90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7.xml><?xml version="1.0" encoding="utf-8"?>
<pivotTableDefinition xmlns="http://schemas.openxmlformats.org/spreadsheetml/2006/main" xmlns:mc="http://schemas.openxmlformats.org/markup-compatibility/2006" xmlns:xr="http://schemas.microsoft.com/office/spreadsheetml/2014/revision" mc:Ignorable="xr" xr:uid="{9087656C-7137-4638-894B-9202024233D8}" name="PivotTable55"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86:E187" firstHeaderRow="1" firstDataRow="1" firstDataCol="0" rowPageCount="3"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7">
        <item h="1" x="1"/>
        <item h="1" x="2"/>
        <item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37" baseField="0" baseItem="0"/>
  </dataFields>
  <formats count="13">
    <format dxfId="928">
      <pivotArea type="all" dataOnly="0" outline="0" fieldPosition="0"/>
    </format>
    <format dxfId="927">
      <pivotArea type="all" dataOnly="0" outline="0" fieldPosition="0"/>
    </format>
    <format dxfId="926">
      <pivotArea type="all" dataOnly="0" outline="0" fieldPosition="0"/>
    </format>
    <format dxfId="925">
      <pivotArea type="all" dataOnly="0" outline="0" fieldPosition="0"/>
    </format>
    <format dxfId="924">
      <pivotArea type="all" dataOnly="0" outline="0" fieldPosition="0"/>
    </format>
    <format dxfId="923">
      <pivotArea type="all" dataOnly="0" outline="0" fieldPosition="0"/>
    </format>
    <format dxfId="922">
      <pivotArea type="all" dataOnly="0" outline="0" fieldPosition="0"/>
    </format>
    <format dxfId="921">
      <pivotArea type="all" dataOnly="0" outline="0" fieldPosition="0"/>
    </format>
    <format dxfId="920">
      <pivotArea type="all" dataOnly="0" outline="0" fieldPosition="0"/>
    </format>
    <format dxfId="919">
      <pivotArea type="all" dataOnly="0" outline="0" fieldPosition="0"/>
    </format>
    <format dxfId="918">
      <pivotArea type="all" dataOnly="0" outline="0" fieldPosition="0"/>
    </format>
    <format dxfId="917">
      <pivotArea outline="0" collapsedLevelsAreSubtotals="1" fieldPosition="0"/>
    </format>
    <format dxfId="91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8.xml><?xml version="1.0" encoding="utf-8"?>
<pivotTableDefinition xmlns="http://schemas.openxmlformats.org/spreadsheetml/2006/main" xmlns:mc="http://schemas.openxmlformats.org/markup-compatibility/2006" xmlns:xr="http://schemas.microsoft.com/office/spreadsheetml/2014/revision" mc:Ignorable="xr" xr:uid="{6AC0B45D-6D9E-4A28-B456-A2E929ACD13E}" name="PivotTable7"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98:B99" firstHeaderRow="1" firstDataRow="1" firstDataCol="0" rowPageCount="2" colPageCount="1"/>
  <pivotFields count="57">
    <pivotField showAll="0" defaultSubtotal="0"/>
    <pivotField axis="axisPage" multipleItemSelectionAllowed="1" showAll="0" defaultSubtotal="0">
      <items count="6">
        <item x="3"/>
        <item x="0"/>
        <item x="2"/>
        <item h="1" x="4"/>
        <item h="1"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Units Proposed" fld="28" baseField="0" baseItem="0"/>
  </dataFields>
  <formats count="13">
    <format dxfId="941">
      <pivotArea type="all" dataOnly="0" outline="0" fieldPosition="0"/>
    </format>
    <format dxfId="940">
      <pivotArea type="all" dataOnly="0" outline="0" fieldPosition="0"/>
    </format>
    <format dxfId="939">
      <pivotArea type="all" dataOnly="0" outline="0" fieldPosition="0"/>
    </format>
    <format dxfId="938">
      <pivotArea type="all" dataOnly="0" outline="0" fieldPosition="0"/>
    </format>
    <format dxfId="937">
      <pivotArea type="all" dataOnly="0" outline="0" fieldPosition="0"/>
    </format>
    <format dxfId="936">
      <pivotArea type="all" dataOnly="0" outline="0" fieldPosition="0"/>
    </format>
    <format dxfId="935">
      <pivotArea type="all" dataOnly="0" outline="0" fieldPosition="0"/>
    </format>
    <format dxfId="934">
      <pivotArea type="all" dataOnly="0" outline="0" fieldPosition="0"/>
    </format>
    <format dxfId="933">
      <pivotArea type="all" dataOnly="0" outline="0" fieldPosition="0"/>
    </format>
    <format dxfId="932">
      <pivotArea type="all" dataOnly="0" outline="0" fieldPosition="0"/>
    </format>
    <format dxfId="931">
      <pivotArea type="all" dataOnly="0" outline="0" fieldPosition="0"/>
    </format>
    <format dxfId="930">
      <pivotArea outline="0" collapsedLevelsAreSubtotals="1" fieldPosition="0"/>
    </format>
    <format dxfId="92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9.xml><?xml version="1.0" encoding="utf-8"?>
<pivotTableDefinition xmlns="http://schemas.openxmlformats.org/spreadsheetml/2006/main" xmlns:mc="http://schemas.openxmlformats.org/markup-compatibility/2006" xmlns:xr="http://schemas.microsoft.com/office/spreadsheetml/2014/revision" mc:Ignorable="xr" xr:uid="{499B334B-55D2-4658-A5D3-8E359356A3A6}" name="PivotTable66"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253:H254" firstHeaderRow="1" firstDataRow="1" firstDataCol="0" rowPageCount="3" colPageCount="1"/>
  <pivotFields count="57">
    <pivotField showAll="0" defaultSubtotal="0"/>
    <pivotField axis="axisPage" multipleItemSelectionAllowed="1" showAll="0" defaultSubtotal="0">
      <items count="6">
        <item x="3"/>
        <item x="0"/>
        <item x="2"/>
        <item h="1" x="4"/>
        <item h="1"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7">
        <item x="1"/>
        <item x="2"/>
        <item x="0"/>
        <item x="5"/>
        <item x="6"/>
        <item x="4"/>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37" baseField="0" baseItem="0"/>
  </dataFields>
  <formats count="13">
    <format dxfId="954">
      <pivotArea type="all" dataOnly="0" outline="0" fieldPosition="0"/>
    </format>
    <format dxfId="953">
      <pivotArea type="all" dataOnly="0" outline="0" fieldPosition="0"/>
    </format>
    <format dxfId="952">
      <pivotArea type="all" dataOnly="0" outline="0" fieldPosition="0"/>
    </format>
    <format dxfId="951">
      <pivotArea type="all" dataOnly="0" outline="0" fieldPosition="0"/>
    </format>
    <format dxfId="950">
      <pivotArea type="all" dataOnly="0" outline="0" fieldPosition="0"/>
    </format>
    <format dxfId="949">
      <pivotArea type="all" dataOnly="0" outline="0" fieldPosition="0"/>
    </format>
    <format dxfId="948">
      <pivotArea type="all" dataOnly="0" outline="0" fieldPosition="0"/>
    </format>
    <format dxfId="947">
      <pivotArea type="all" dataOnly="0" outline="0" fieldPosition="0"/>
    </format>
    <format dxfId="946">
      <pivotArea type="all" dataOnly="0" outline="0" fieldPosition="0"/>
    </format>
    <format dxfId="945">
      <pivotArea type="all" dataOnly="0" outline="0" fieldPosition="0"/>
    </format>
    <format dxfId="944">
      <pivotArea type="all" dataOnly="0" outline="0" fieldPosition="0"/>
    </format>
    <format dxfId="943">
      <pivotArea outline="0" collapsedLevelsAreSubtotals="1" fieldPosition="0"/>
    </format>
    <format dxfId="94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A5F23631-5D9A-45C7-9C43-08E1C31DD1B9}" name="PivotTable52"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K194:K195" firstHeaderRow="1" firstDataRow="1" firstDataCol="0" rowPageCount="2"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h="1" x="2"/>
        <item x="3"/>
        <item h="1" x="4"/>
      </items>
    </pivotField>
    <pivotField axis="axisPage" multipleItemSelectionAllowed="1" showAll="0" defaultSubtotal="0">
      <items count="7">
        <item h="1" x="5"/>
        <item h="1" x="1"/>
        <item h="1" x="2"/>
        <item x="0"/>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Net Dwellings" fld="37" baseField="0" baseItem="0"/>
  </dataFields>
  <formats count="13">
    <format dxfId="94">
      <pivotArea type="all" dataOnly="0" outline="0" fieldPosition="0"/>
    </format>
    <format dxfId="93">
      <pivotArea type="all" dataOnly="0" outline="0" fieldPosition="0"/>
    </format>
    <format dxfId="92">
      <pivotArea type="all" dataOnly="0" outline="0" fieldPosition="0"/>
    </format>
    <format dxfId="91">
      <pivotArea type="all" dataOnly="0" outline="0" fieldPosition="0"/>
    </format>
    <format dxfId="90">
      <pivotArea type="all" dataOnly="0" outline="0" fieldPosition="0"/>
    </format>
    <format dxfId="89">
      <pivotArea type="all" dataOnly="0" outline="0" fieldPosition="0"/>
    </format>
    <format dxfId="88">
      <pivotArea type="all" dataOnly="0" outline="0" fieldPosition="0"/>
    </format>
    <format dxfId="87">
      <pivotArea type="all" dataOnly="0" outline="0" fieldPosition="0"/>
    </format>
    <format dxfId="86">
      <pivotArea type="all" dataOnly="0" outline="0" fieldPosition="0"/>
    </format>
    <format dxfId="85">
      <pivotArea type="all" dataOnly="0" outline="0" fieldPosition="0"/>
    </format>
    <format dxfId="84">
      <pivotArea type="all" dataOnly="0" outline="0" fieldPosition="0"/>
    </format>
    <format dxfId="83">
      <pivotArea outline="0" collapsedLevelsAreSubtotals="1" fieldPosition="0"/>
    </format>
    <format dxfId="8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0.xml><?xml version="1.0" encoding="utf-8"?>
<pivotTableDefinition xmlns="http://schemas.openxmlformats.org/spreadsheetml/2006/main" xmlns:mc="http://schemas.openxmlformats.org/markup-compatibility/2006" xmlns:xr="http://schemas.microsoft.com/office/spreadsheetml/2014/revision" mc:Ignorable="xr" xr:uid="{DF72B51C-1260-4551-B60D-A3F6BDCE9C76}" name="PivotTable34"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45:H146"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7">
        <item h="1" x="1"/>
        <item h="1" x="2"/>
        <item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Net Dwellings" fld="37" baseField="0" baseItem="0"/>
  </dataFields>
  <formats count="13">
    <format dxfId="967">
      <pivotArea type="all" dataOnly="0" outline="0" fieldPosition="0"/>
    </format>
    <format dxfId="966">
      <pivotArea type="all" dataOnly="0" outline="0" fieldPosition="0"/>
    </format>
    <format dxfId="965">
      <pivotArea type="all" dataOnly="0" outline="0" fieldPosition="0"/>
    </format>
    <format dxfId="964">
      <pivotArea type="all" dataOnly="0" outline="0" fieldPosition="0"/>
    </format>
    <format dxfId="963">
      <pivotArea type="all" dataOnly="0" outline="0" fieldPosition="0"/>
    </format>
    <format dxfId="962">
      <pivotArea type="all" dataOnly="0" outline="0" fieldPosition="0"/>
    </format>
    <format dxfId="961">
      <pivotArea type="all" dataOnly="0" outline="0" fieldPosition="0"/>
    </format>
    <format dxfId="960">
      <pivotArea type="all" dataOnly="0" outline="0" fieldPosition="0"/>
    </format>
    <format dxfId="959">
      <pivotArea type="all" dataOnly="0" outline="0" fieldPosition="0"/>
    </format>
    <format dxfId="958">
      <pivotArea type="all" dataOnly="0" outline="0" fieldPosition="0"/>
    </format>
    <format dxfId="957">
      <pivotArea type="all" dataOnly="0" outline="0" fieldPosition="0"/>
    </format>
    <format dxfId="956">
      <pivotArea outline="0" collapsedLevelsAreSubtotals="1" fieldPosition="0"/>
    </format>
    <format dxfId="95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1.xml><?xml version="1.0" encoding="utf-8"?>
<pivotTableDefinition xmlns="http://schemas.openxmlformats.org/spreadsheetml/2006/main" xmlns:mc="http://schemas.openxmlformats.org/markup-compatibility/2006" xmlns:xr="http://schemas.microsoft.com/office/spreadsheetml/2014/revision" mc:Ignorable="xr" xr:uid="{F9F0FBEA-535A-4382-834A-1AE137ED05B1}" name="PivotTable72"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F280:G283" firstHeaderRow="1" firstDataRow="1" firstDataCol="1" rowPageCount="1"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defaultSubtotal="0"/>
    <pivotField showAll="0" defaultSubtotal="0"/>
    <pivotField showAll="0" defaultSubtotal="0"/>
    <pivotField showAll="0" defaultSubtotal="0"/>
    <pivotField axis="axisRow" showAll="0">
      <items count="3">
        <item x="1"/>
        <item x="0"/>
        <item t="default"/>
      </items>
    </pivotField>
  </pivotFields>
  <rowFields count="1">
    <field x="56"/>
  </rowFields>
  <rowItems count="3">
    <i>
      <x/>
    </i>
    <i>
      <x v="1"/>
    </i>
    <i t="grand">
      <x/>
    </i>
  </rowItems>
  <colItems count="1">
    <i/>
  </colItems>
  <pageFields count="1">
    <pageField fld="7" hier="-1"/>
  </pageFields>
  <dataFields count="1">
    <dataField name="Sum of Net Dwellings" fld="37" baseField="0" baseItem="0"/>
  </dataFields>
  <formats count="16">
    <format dxfId="983">
      <pivotArea type="all" dataOnly="0" outline="0" fieldPosition="0"/>
    </format>
    <format dxfId="982">
      <pivotArea type="all" dataOnly="0" outline="0" fieldPosition="0"/>
    </format>
    <format dxfId="981">
      <pivotArea type="all" dataOnly="0" outline="0" fieldPosition="0"/>
    </format>
    <format dxfId="980">
      <pivotArea type="all" dataOnly="0" outline="0" fieldPosition="0"/>
    </format>
    <format dxfId="979">
      <pivotArea type="all" dataOnly="0" outline="0" fieldPosition="0"/>
    </format>
    <format dxfId="978">
      <pivotArea type="all" dataOnly="0" outline="0" fieldPosition="0"/>
    </format>
    <format dxfId="977">
      <pivotArea type="all" dataOnly="0" outline="0" fieldPosition="0"/>
    </format>
    <format dxfId="976">
      <pivotArea type="all" dataOnly="0" outline="0" fieldPosition="0"/>
    </format>
    <format dxfId="975">
      <pivotArea type="all" dataOnly="0" outline="0" fieldPosition="0"/>
    </format>
    <format dxfId="974">
      <pivotArea type="all" dataOnly="0" outline="0" fieldPosition="0"/>
    </format>
    <format dxfId="973">
      <pivotArea type="all" dataOnly="0" outline="0" fieldPosition="0"/>
    </format>
    <format dxfId="972">
      <pivotArea outline="0" collapsedLevelsAreSubtotals="1" fieldPosition="0"/>
    </format>
    <format dxfId="971">
      <pivotArea field="56" type="button" dataOnly="0" labelOnly="1" outline="0" axis="axisRow" fieldPosition="0"/>
    </format>
    <format dxfId="970">
      <pivotArea dataOnly="0" labelOnly="1" fieldPosition="0">
        <references count="1">
          <reference field="56" count="0"/>
        </references>
      </pivotArea>
    </format>
    <format dxfId="969">
      <pivotArea dataOnly="0" labelOnly="1" grandRow="1" outline="0" fieldPosition="0"/>
    </format>
    <format dxfId="96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2.xml><?xml version="1.0" encoding="utf-8"?>
<pivotTableDefinition xmlns="http://schemas.openxmlformats.org/spreadsheetml/2006/main" xmlns:mc="http://schemas.openxmlformats.org/markup-compatibility/2006" xmlns:xr="http://schemas.microsoft.com/office/spreadsheetml/2014/revision" mc:Ignorable="xr" xr:uid="{CE4530D6-0282-4C8A-9864-375D806AD461}" name="PivotTable61"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232:H233" firstHeaderRow="1" firstDataRow="1" firstDataCol="0" rowPageCount="3"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7">
        <item x="1"/>
        <item h="1" x="2"/>
        <item h="1"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28" baseField="0" baseItem="0"/>
  </dataFields>
  <formats count="13">
    <format dxfId="996">
      <pivotArea type="all" dataOnly="0" outline="0" fieldPosition="0"/>
    </format>
    <format dxfId="995">
      <pivotArea type="all" dataOnly="0" outline="0" fieldPosition="0"/>
    </format>
    <format dxfId="994">
      <pivotArea type="all" dataOnly="0" outline="0" fieldPosition="0"/>
    </format>
    <format dxfId="993">
      <pivotArea type="all" dataOnly="0" outline="0" fieldPosition="0"/>
    </format>
    <format dxfId="992">
      <pivotArea type="all" dataOnly="0" outline="0" fieldPosition="0"/>
    </format>
    <format dxfId="991">
      <pivotArea type="all" dataOnly="0" outline="0" fieldPosition="0"/>
    </format>
    <format dxfId="990">
      <pivotArea type="all" dataOnly="0" outline="0" fieldPosition="0"/>
    </format>
    <format dxfId="989">
      <pivotArea type="all" dataOnly="0" outline="0" fieldPosition="0"/>
    </format>
    <format dxfId="988">
      <pivotArea type="all" dataOnly="0" outline="0" fieldPosition="0"/>
    </format>
    <format dxfId="987">
      <pivotArea type="all" dataOnly="0" outline="0" fieldPosition="0"/>
    </format>
    <format dxfId="986">
      <pivotArea type="all" dataOnly="0" outline="0" fieldPosition="0"/>
    </format>
    <format dxfId="985">
      <pivotArea outline="0" collapsedLevelsAreSubtotals="1" fieldPosition="0"/>
    </format>
    <format dxfId="98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3.xml><?xml version="1.0" encoding="utf-8"?>
<pivotTableDefinition xmlns="http://schemas.openxmlformats.org/spreadsheetml/2006/main" xmlns:mc="http://schemas.openxmlformats.org/markup-compatibility/2006" xmlns:xr="http://schemas.microsoft.com/office/spreadsheetml/2014/revision" mc:Ignorable="xr" xr:uid="{3465246C-C331-4C23-B3C0-86C51502B339}" name="PivotTable10"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07:B108" firstHeaderRow="1" firstDataRow="1" firstDataCol="0" rowPageCount="1"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1">
    <pageField fld="7" hier="-1"/>
  </pageFields>
  <dataFields count="1">
    <dataField name="Sum of Net Dwellings" fld="37" baseField="0" baseItem="0"/>
  </dataFields>
  <formats count="13">
    <format dxfId="1009">
      <pivotArea type="all" dataOnly="0" outline="0" fieldPosition="0"/>
    </format>
    <format dxfId="1008">
      <pivotArea type="all" dataOnly="0" outline="0" fieldPosition="0"/>
    </format>
    <format dxfId="1007">
      <pivotArea type="all" dataOnly="0" outline="0" fieldPosition="0"/>
    </format>
    <format dxfId="1006">
      <pivotArea type="all" dataOnly="0" outline="0" fieldPosition="0"/>
    </format>
    <format dxfId="1005">
      <pivotArea type="all" dataOnly="0" outline="0" fieldPosition="0"/>
    </format>
    <format dxfId="1004">
      <pivotArea type="all" dataOnly="0" outline="0" fieldPosition="0"/>
    </format>
    <format dxfId="1003">
      <pivotArea type="all" dataOnly="0" outline="0" fieldPosition="0"/>
    </format>
    <format dxfId="1002">
      <pivotArea type="all" dataOnly="0" outline="0" fieldPosition="0"/>
    </format>
    <format dxfId="1001">
      <pivotArea type="all" dataOnly="0" outline="0" fieldPosition="0"/>
    </format>
    <format dxfId="1000">
      <pivotArea type="all" dataOnly="0" outline="0" fieldPosition="0"/>
    </format>
    <format dxfId="999">
      <pivotArea type="all" dataOnly="0" outline="0" fieldPosition="0"/>
    </format>
    <format dxfId="998">
      <pivotArea outline="0" collapsedLevelsAreSubtotals="1" fieldPosition="0"/>
    </format>
    <format dxfId="99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4.xml><?xml version="1.0" encoding="utf-8"?>
<pivotTableDefinition xmlns="http://schemas.openxmlformats.org/spreadsheetml/2006/main" xmlns:mc="http://schemas.openxmlformats.org/markup-compatibility/2006" xmlns:xr="http://schemas.microsoft.com/office/spreadsheetml/2014/revision" mc:Ignorable="xr" xr:uid="{5E89C305-8A38-4C7D-B69D-235F2DC08818}" name="PivotTable77"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307:C325" firstHeaderRow="1" firstDataRow="1" firstDataCol="1" rowPageCount="1"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axis="axisRow" showAll="0" defaultSubtotal="0">
      <items count="19">
        <item x="14"/>
        <item x="6"/>
        <item x="5"/>
        <item x="7"/>
        <item x="8"/>
        <item x="13"/>
        <item x="9"/>
        <item x="0"/>
        <item x="10"/>
        <item x="11"/>
        <item x="16"/>
        <item x="12"/>
        <item x="17"/>
        <item x="3"/>
        <item x="2"/>
        <item x="4"/>
        <item x="1"/>
        <item x="15"/>
        <item x="18"/>
      </items>
    </pivotField>
    <pivotField showAll="0" defaultSubtotal="0"/>
    <pivotField showAll="0" defaultSubtotal="0"/>
    <pivotField showAll="0" defaultSubtotal="0"/>
    <pivotField showAll="0"/>
  </pivotFields>
  <rowFields count="1">
    <field x="52"/>
  </rowFields>
  <rowItems count="18">
    <i>
      <x/>
    </i>
    <i>
      <x v="1"/>
    </i>
    <i>
      <x v="2"/>
    </i>
    <i>
      <x v="3"/>
    </i>
    <i>
      <x v="4"/>
    </i>
    <i>
      <x v="5"/>
    </i>
    <i>
      <x v="6"/>
    </i>
    <i>
      <x v="8"/>
    </i>
    <i>
      <x v="9"/>
    </i>
    <i>
      <x v="10"/>
    </i>
    <i>
      <x v="11"/>
    </i>
    <i>
      <x v="12"/>
    </i>
    <i>
      <x v="13"/>
    </i>
    <i>
      <x v="14"/>
    </i>
    <i>
      <x v="15"/>
    </i>
    <i>
      <x v="16"/>
    </i>
    <i>
      <x v="17"/>
    </i>
    <i t="grand">
      <x/>
    </i>
  </rowItems>
  <colItems count="1">
    <i/>
  </colItems>
  <pageFields count="1">
    <pageField fld="7" hier="-1"/>
  </pageFields>
  <dataFields count="1">
    <dataField name="Sum of Net Dwellings" fld="37" baseField="0" baseItem="0"/>
  </dataFields>
  <formats count="16">
    <format dxfId="1025">
      <pivotArea type="all" dataOnly="0" outline="0" fieldPosition="0"/>
    </format>
    <format dxfId="1024">
      <pivotArea type="all" dataOnly="0" outline="0" fieldPosition="0"/>
    </format>
    <format dxfId="1023">
      <pivotArea type="all" dataOnly="0" outline="0" fieldPosition="0"/>
    </format>
    <format dxfId="1022">
      <pivotArea type="all" dataOnly="0" outline="0" fieldPosition="0"/>
    </format>
    <format dxfId="1021">
      <pivotArea type="all" dataOnly="0" outline="0" fieldPosition="0"/>
    </format>
    <format dxfId="1020">
      <pivotArea type="all" dataOnly="0" outline="0" fieldPosition="0"/>
    </format>
    <format dxfId="1019">
      <pivotArea type="all" dataOnly="0" outline="0" fieldPosition="0"/>
    </format>
    <format dxfId="1018">
      <pivotArea type="all" dataOnly="0" outline="0" fieldPosition="0"/>
    </format>
    <format dxfId="1017">
      <pivotArea type="all" dataOnly="0" outline="0" fieldPosition="0"/>
    </format>
    <format dxfId="1016">
      <pivotArea type="all" dataOnly="0" outline="0" fieldPosition="0"/>
    </format>
    <format dxfId="1015">
      <pivotArea type="all" dataOnly="0" outline="0" fieldPosition="0"/>
    </format>
    <format dxfId="1014">
      <pivotArea outline="0" collapsedLevelsAreSubtotals="1" fieldPosition="0"/>
    </format>
    <format dxfId="1013">
      <pivotArea field="52" type="button" dataOnly="0" labelOnly="1" outline="0" axis="axisRow" fieldPosition="0"/>
    </format>
    <format dxfId="1012">
      <pivotArea dataOnly="0" labelOnly="1" fieldPosition="0">
        <references count="1">
          <reference field="52" count="17">
            <x v="0"/>
            <x v="1"/>
            <x v="2"/>
            <x v="3"/>
            <x v="4"/>
            <x v="5"/>
            <x v="6"/>
            <x v="8"/>
            <x v="9"/>
            <x v="10"/>
            <x v="11"/>
            <x v="12"/>
            <x v="13"/>
            <x v="14"/>
            <x v="15"/>
            <x v="16"/>
            <x v="17"/>
          </reference>
        </references>
      </pivotArea>
    </format>
    <format dxfId="1011">
      <pivotArea dataOnly="0" labelOnly="1" grandRow="1" outline="0" fieldPosition="0"/>
    </format>
    <format dxfId="101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5.xml><?xml version="1.0" encoding="utf-8"?>
<pivotTableDefinition xmlns="http://schemas.openxmlformats.org/spreadsheetml/2006/main" xmlns:mc="http://schemas.openxmlformats.org/markup-compatibility/2006" xmlns:xr="http://schemas.microsoft.com/office/spreadsheetml/2014/revision" mc:Ignorable="xr" xr:uid="{9FF1FE1D-4EFA-4706-8A6A-2B35432BBC76}" name="PivotTable91"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445:G458" firstHeaderRow="0" firstDataRow="1" firstDataCol="1" rowPageCount="1" colPageCount="1"/>
  <pivotFields count="57">
    <pivotField showAll="0" defaultSubtotal="0"/>
    <pivotField multipleItemSelectionAllowed="1" showAll="0" defaultSubtotal="0"/>
    <pivotField multipleItemSelectionAllowed="1" showAll="0" defaultSubtotal="0"/>
    <pivotField showAll="0"/>
    <pivotField showAll="0"/>
    <pivotField showAll="0" defaultSubtotal="0"/>
    <pivotField showAll="0" defaultSubtotal="0"/>
    <pivotField axis="axisPage" multipleItemSelectionAllowed="1" showAll="0" defaultSubtotal="0">
      <items count="5">
        <item h="1" x="0"/>
        <item h="1" x="1"/>
        <item h="1" x="2"/>
        <item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dataField="1" numFmtId="165" showAll="0"/>
    <pivotField dataField="1" numFmtId="165" showAll="0"/>
    <pivotField dataField="1" numFmtId="165" showAll="0"/>
    <pivotField dataField="1" numFmtId="165" showAll="0"/>
    <pivotField dataField="1" numFmtId="165" showAll="0"/>
    <pivotField axis="axisRow" showAll="0" defaultSubtotal="0">
      <items count="19">
        <item x="14"/>
        <item x="6"/>
        <item x="5"/>
        <item x="7"/>
        <item x="8"/>
        <item x="13"/>
        <item x="9"/>
        <item x="0"/>
        <item x="10"/>
        <item x="11"/>
        <item x="16"/>
        <item x="12"/>
        <item x="17"/>
        <item x="3"/>
        <item x="2"/>
        <item x="4"/>
        <item x="1"/>
        <item x="15"/>
        <item x="18"/>
      </items>
    </pivotField>
    <pivotField showAll="0" defaultSubtotal="0"/>
    <pivotField showAll="0" defaultSubtotal="0"/>
    <pivotField showAll="0" defaultSubtotal="0"/>
    <pivotField showAll="0"/>
  </pivotFields>
  <rowFields count="1">
    <field x="52"/>
  </rowFields>
  <rowItems count="13">
    <i>
      <x v="1"/>
    </i>
    <i>
      <x v="2"/>
    </i>
    <i>
      <x v="3"/>
    </i>
    <i>
      <x v="5"/>
    </i>
    <i>
      <x v="8"/>
    </i>
    <i>
      <x v="9"/>
    </i>
    <i>
      <x v="10"/>
    </i>
    <i>
      <x v="11"/>
    </i>
    <i>
      <x v="12"/>
    </i>
    <i>
      <x v="14"/>
    </i>
    <i>
      <x v="15"/>
    </i>
    <i>
      <x v="17"/>
    </i>
    <i t="grand">
      <x/>
    </i>
  </rowItems>
  <colFields count="1">
    <field x="-2"/>
  </colFields>
  <colItems count="5">
    <i>
      <x/>
    </i>
    <i i="1">
      <x v="1"/>
    </i>
    <i i="2">
      <x v="2"/>
    </i>
    <i i="3">
      <x v="3"/>
    </i>
    <i i="4">
      <x v="4"/>
    </i>
  </colItems>
  <pageFields count="1">
    <pageField fld="7" hier="-1"/>
  </pageFields>
  <dataFields count="5">
    <dataField name="Sum of 2025/26 (6)" fld="47" baseField="0" baseItem="0"/>
    <dataField name="Sum of 2026/27 (7)" fld="48" baseField="0" baseItem="0"/>
    <dataField name="Sum of 2027/28 (8)" fld="49" baseField="0" baseItem="0"/>
    <dataField name="Sum of 2028/29 (9)" fld="50" baseField="0" baseItem="0"/>
    <dataField name="Sum of 2029/30 (10)" fld="51" baseField="0" baseItem="0"/>
  </dataFields>
  <formats count="19">
    <format dxfId="1044">
      <pivotArea type="all" dataOnly="0" outline="0" fieldPosition="0"/>
    </format>
    <format dxfId="1043">
      <pivotArea type="all" dataOnly="0" outline="0" fieldPosition="0"/>
    </format>
    <format dxfId="1042">
      <pivotArea type="all" dataOnly="0" outline="0" fieldPosition="0"/>
    </format>
    <format dxfId="1041">
      <pivotArea type="all" dataOnly="0" outline="0" fieldPosition="0"/>
    </format>
    <format dxfId="1040">
      <pivotArea type="all" dataOnly="0" outline="0" fieldPosition="0"/>
    </format>
    <format dxfId="1039">
      <pivotArea type="all" dataOnly="0" outline="0" fieldPosition="0"/>
    </format>
    <format dxfId="1038">
      <pivotArea type="all" dataOnly="0" outline="0" fieldPosition="0"/>
    </format>
    <format dxfId="1037">
      <pivotArea field="52" type="button" dataOnly="0" labelOnly="1" outline="0" axis="axisRow" fieldPosition="0"/>
    </format>
    <format dxfId="1036">
      <pivotArea field="52" type="button" dataOnly="0" labelOnly="1" outline="0" axis="axisRow" fieldPosition="0"/>
    </format>
    <format dxfId="1035">
      <pivotArea field="52" type="button" dataOnly="0" labelOnly="1" outline="0" axis="axisRow" fieldPosition="0"/>
    </format>
    <format dxfId="1034">
      <pivotArea type="all" dataOnly="0" outline="0" fieldPosition="0"/>
    </format>
    <format dxfId="1033">
      <pivotArea type="all" dataOnly="0" outline="0" fieldPosition="0"/>
    </format>
    <format dxfId="1032">
      <pivotArea type="all" dataOnly="0" outline="0" fieldPosition="0"/>
    </format>
    <format dxfId="1031">
      <pivotArea type="all" dataOnly="0" outline="0" fieldPosition="0"/>
    </format>
    <format dxfId="1030">
      <pivotArea outline="0" collapsedLevelsAreSubtotals="1" fieldPosition="0"/>
    </format>
    <format dxfId="1029">
      <pivotArea field="52" type="button" dataOnly="0" labelOnly="1" outline="0" axis="axisRow" fieldPosition="0"/>
    </format>
    <format dxfId="1028">
      <pivotArea dataOnly="0" labelOnly="1" fieldPosition="0">
        <references count="1">
          <reference field="52" count="12">
            <x v="1"/>
            <x v="2"/>
            <x v="3"/>
            <x v="5"/>
            <x v="8"/>
            <x v="9"/>
            <x v="10"/>
            <x v="11"/>
            <x v="12"/>
            <x v="14"/>
            <x v="15"/>
            <x v="17"/>
          </reference>
        </references>
      </pivotArea>
    </format>
    <format dxfId="1027">
      <pivotArea dataOnly="0" labelOnly="1" grandRow="1" outline="0" fieldPosition="0"/>
    </format>
    <format dxfId="1026">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6.xml><?xml version="1.0" encoding="utf-8"?>
<pivotTableDefinition xmlns="http://schemas.openxmlformats.org/spreadsheetml/2006/main" xmlns:mc="http://schemas.openxmlformats.org/markup-compatibility/2006" xmlns:xr="http://schemas.microsoft.com/office/spreadsheetml/2014/revision" mc:Ignorable="xr" xr:uid="{5DA2710A-85FC-44C1-8C52-8AA3634CBC95}" name="PivotTable62"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86:B187" firstHeaderRow="1" firstDataRow="1" firstDataCol="0" rowPageCount="3"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7">
        <item h="1" x="1"/>
        <item h="1" x="2"/>
        <item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37" baseField="0" baseItem="0"/>
  </dataFields>
  <formats count="13">
    <format dxfId="1057">
      <pivotArea type="all" dataOnly="0" outline="0" fieldPosition="0"/>
    </format>
    <format dxfId="1056">
      <pivotArea type="all" dataOnly="0" outline="0" fieldPosition="0"/>
    </format>
    <format dxfId="1055">
      <pivotArea type="all" dataOnly="0" outline="0" fieldPosition="0"/>
    </format>
    <format dxfId="1054">
      <pivotArea type="all" dataOnly="0" outline="0" fieldPosition="0"/>
    </format>
    <format dxfId="1053">
      <pivotArea type="all" dataOnly="0" outline="0" fieldPosition="0"/>
    </format>
    <format dxfId="1052">
      <pivotArea type="all" dataOnly="0" outline="0" fieldPosition="0"/>
    </format>
    <format dxfId="1051">
      <pivotArea type="all" dataOnly="0" outline="0" fieldPosition="0"/>
    </format>
    <format dxfId="1050">
      <pivotArea type="all" dataOnly="0" outline="0" fieldPosition="0"/>
    </format>
    <format dxfId="1049">
      <pivotArea type="all" dataOnly="0" outline="0" fieldPosition="0"/>
    </format>
    <format dxfId="1048">
      <pivotArea type="all" dataOnly="0" outline="0" fieldPosition="0"/>
    </format>
    <format dxfId="1047">
      <pivotArea type="all" dataOnly="0" outline="0" fieldPosition="0"/>
    </format>
    <format dxfId="1046">
      <pivotArea outline="0" collapsedLevelsAreSubtotals="1" fieldPosition="0"/>
    </format>
    <format dxfId="104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7.xml><?xml version="1.0" encoding="utf-8"?>
<pivotTableDefinition xmlns="http://schemas.openxmlformats.org/spreadsheetml/2006/main" xmlns:mc="http://schemas.openxmlformats.org/markup-compatibility/2006" xmlns:xr="http://schemas.microsoft.com/office/spreadsheetml/2014/revision" mc:Ignorable="xr" xr:uid="{207CD514-21CA-43F9-8451-0B9A60F967D4}" name="PivotTable44"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29:B130"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7">
        <item h="1" x="1"/>
        <item x="2"/>
        <item h="1"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Net Dwellings" fld="37" baseField="0" baseItem="0"/>
  </dataFields>
  <formats count="13">
    <format dxfId="1070">
      <pivotArea type="all" dataOnly="0" outline="0" fieldPosition="0"/>
    </format>
    <format dxfId="1069">
      <pivotArea type="all" dataOnly="0" outline="0" fieldPosition="0"/>
    </format>
    <format dxfId="1068">
      <pivotArea type="all" dataOnly="0" outline="0" fieldPosition="0"/>
    </format>
    <format dxfId="1067">
      <pivotArea type="all" dataOnly="0" outline="0" fieldPosition="0"/>
    </format>
    <format dxfId="1066">
      <pivotArea type="all" dataOnly="0" outline="0" fieldPosition="0"/>
    </format>
    <format dxfId="1065">
      <pivotArea type="all" dataOnly="0" outline="0" fieldPosition="0"/>
    </format>
    <format dxfId="1064">
      <pivotArea type="all" dataOnly="0" outline="0" fieldPosition="0"/>
    </format>
    <format dxfId="1063">
      <pivotArea type="all" dataOnly="0" outline="0" fieldPosition="0"/>
    </format>
    <format dxfId="1062">
      <pivotArea type="all" dataOnly="0" outline="0" fieldPosition="0"/>
    </format>
    <format dxfId="1061">
      <pivotArea type="all" dataOnly="0" outline="0" fieldPosition="0"/>
    </format>
    <format dxfId="1060">
      <pivotArea type="all" dataOnly="0" outline="0" fieldPosition="0"/>
    </format>
    <format dxfId="1059">
      <pivotArea outline="0" collapsedLevelsAreSubtotals="1" fieldPosition="0"/>
    </format>
    <format dxfId="105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8.xml><?xml version="1.0" encoding="utf-8"?>
<pivotTableDefinition xmlns="http://schemas.openxmlformats.org/spreadsheetml/2006/main" xmlns:mc="http://schemas.openxmlformats.org/markup-compatibility/2006" xmlns:xr="http://schemas.microsoft.com/office/spreadsheetml/2014/revision" mc:Ignorable="xr" xr:uid="{4361D6B5-BE63-4700-B00D-55E24A8E2C46}" name="PivotTable5"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71:B72" firstHeaderRow="1" firstDataRow="1" firstDataCol="0" rowPageCount="2"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Net Dwellings" fld="37" baseField="0" baseItem="0"/>
  </dataFields>
  <formats count="13">
    <format dxfId="1083">
      <pivotArea type="all" dataOnly="0" outline="0" fieldPosition="0"/>
    </format>
    <format dxfId="1082">
      <pivotArea type="all" dataOnly="0" outline="0" fieldPosition="0"/>
    </format>
    <format dxfId="1081">
      <pivotArea type="all" dataOnly="0" outline="0" fieldPosition="0"/>
    </format>
    <format dxfId="1080">
      <pivotArea type="all" dataOnly="0" outline="0" fieldPosition="0"/>
    </format>
    <format dxfId="1079">
      <pivotArea type="all" dataOnly="0" outline="0" fieldPosition="0"/>
    </format>
    <format dxfId="1078">
      <pivotArea type="all" dataOnly="0" outline="0" fieldPosition="0"/>
    </format>
    <format dxfId="1077">
      <pivotArea type="all" dataOnly="0" outline="0" fieldPosition="0"/>
    </format>
    <format dxfId="1076">
      <pivotArea type="all" dataOnly="0" outline="0" fieldPosition="0"/>
    </format>
    <format dxfId="1075">
      <pivotArea type="all" dataOnly="0" outline="0" fieldPosition="0"/>
    </format>
    <format dxfId="1074">
      <pivotArea type="all" dataOnly="0" outline="0" fieldPosition="0"/>
    </format>
    <format dxfId="1073">
      <pivotArea type="all" dataOnly="0" outline="0" fieldPosition="0"/>
    </format>
    <format dxfId="1072">
      <pivotArea outline="0" collapsedLevelsAreSubtotals="1" fieldPosition="0"/>
    </format>
    <format dxfId="107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9.xml><?xml version="1.0" encoding="utf-8"?>
<pivotTableDefinition xmlns="http://schemas.openxmlformats.org/spreadsheetml/2006/main" xmlns:mc="http://schemas.openxmlformats.org/markup-compatibility/2006" xmlns:xr="http://schemas.microsoft.com/office/spreadsheetml/2014/revision" mc:Ignorable="xr" xr:uid="{DCC9715F-88FE-480B-8A73-A3AA8CDFF755}" name="PivotTable90"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428:G441" firstHeaderRow="0" firstDataRow="1" firstDataCol="1" rowPageCount="1" colPageCount="1"/>
  <pivotFields count="57">
    <pivotField showAll="0" defaultSubtotal="0"/>
    <pivotField multipleItemSelectionAllowed="1" showAll="0" defaultSubtotal="0"/>
    <pivotField axis="axisPage" multipleItemSelectionAllowed="1" showAll="0" defaultSubtotal="0">
      <items count="3">
        <item h="1" x="1"/>
        <item h="1" x="0"/>
        <item x="2"/>
      </items>
    </pivotField>
    <pivotField showAll="0"/>
    <pivotField showAll="0"/>
    <pivotField showAll="0" defaultSubtotal="0"/>
    <pivotField showAll="0" defaultSubtotal="0"/>
    <pivotField multipleItemSelectionAllowed="1" showAll="0" defaultSubtotal="0"/>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dataField="1" numFmtId="165" showAll="0"/>
    <pivotField dataField="1" numFmtId="165" showAll="0"/>
    <pivotField dataField="1" numFmtId="165" showAll="0"/>
    <pivotField dataField="1" numFmtId="165" showAll="0"/>
    <pivotField dataField="1" numFmtId="165" showAll="0"/>
    <pivotField showAll="0" defaultSubtotal="0"/>
    <pivotField numFmtId="165" showAll="0"/>
    <pivotField numFmtId="165" showAll="0"/>
    <pivotField numFmtId="165" showAll="0"/>
    <pivotField numFmtId="165" showAll="0"/>
    <pivotField numFmtId="165" showAll="0"/>
    <pivotField axis="axisRow" showAll="0" defaultSubtotal="0">
      <items count="19">
        <item x="14"/>
        <item x="6"/>
        <item x="5"/>
        <item x="7"/>
        <item x="8"/>
        <item x="13"/>
        <item x="9"/>
        <item x="0"/>
        <item x="10"/>
        <item x="11"/>
        <item x="16"/>
        <item x="12"/>
        <item x="17"/>
        <item x="3"/>
        <item x="2"/>
        <item x="4"/>
        <item x="1"/>
        <item x="15"/>
        <item x="18"/>
      </items>
    </pivotField>
    <pivotField showAll="0" defaultSubtotal="0"/>
    <pivotField showAll="0" defaultSubtotal="0"/>
    <pivotField showAll="0" defaultSubtotal="0"/>
    <pivotField showAll="0"/>
  </pivotFields>
  <rowFields count="1">
    <field x="52"/>
  </rowFields>
  <rowItems count="13">
    <i>
      <x v="1"/>
    </i>
    <i>
      <x v="2"/>
    </i>
    <i>
      <x v="3"/>
    </i>
    <i>
      <x v="5"/>
    </i>
    <i>
      <x v="8"/>
    </i>
    <i>
      <x v="9"/>
    </i>
    <i>
      <x v="10"/>
    </i>
    <i>
      <x v="11"/>
    </i>
    <i>
      <x v="12"/>
    </i>
    <i>
      <x v="14"/>
    </i>
    <i>
      <x v="15"/>
    </i>
    <i>
      <x v="17"/>
    </i>
    <i t="grand">
      <x/>
    </i>
  </rowItems>
  <colFields count="1">
    <field x="-2"/>
  </colFields>
  <colItems count="5">
    <i>
      <x/>
    </i>
    <i i="1">
      <x v="1"/>
    </i>
    <i i="2">
      <x v="2"/>
    </i>
    <i i="3">
      <x v="3"/>
    </i>
    <i i="4">
      <x v="4"/>
    </i>
  </colItems>
  <pageFields count="1">
    <pageField fld="2" hier="-1"/>
  </pageFields>
  <dataFields count="5">
    <dataField name="Sum of 2020/21 (1)" fld="41" baseField="0" baseItem="0"/>
    <dataField name="Sum of 2021/22 (2)" fld="42" baseField="0" baseItem="0"/>
    <dataField name="Sum of 2022/23 (3)" fld="43" baseField="0" baseItem="0"/>
    <dataField name="Sum of 2023/24 (4)" fld="44" baseField="0" baseItem="0"/>
    <dataField name="Sum of 2024/25 (5)" fld="45" baseField="0" baseItem="0"/>
  </dataFields>
  <formats count="19">
    <format dxfId="1102">
      <pivotArea type="all" dataOnly="0" outline="0" fieldPosition="0"/>
    </format>
    <format dxfId="1101">
      <pivotArea type="all" dataOnly="0" outline="0" fieldPosition="0"/>
    </format>
    <format dxfId="1100">
      <pivotArea type="all" dataOnly="0" outline="0" fieldPosition="0"/>
    </format>
    <format dxfId="1099">
      <pivotArea type="all" dataOnly="0" outline="0" fieldPosition="0"/>
    </format>
    <format dxfId="1098">
      <pivotArea type="all" dataOnly="0" outline="0" fieldPosition="0"/>
    </format>
    <format dxfId="1097">
      <pivotArea type="all" dataOnly="0" outline="0" fieldPosition="0"/>
    </format>
    <format dxfId="1096">
      <pivotArea type="all" dataOnly="0" outline="0" fieldPosition="0"/>
    </format>
    <format dxfId="1095">
      <pivotArea field="52" type="button" dataOnly="0" labelOnly="1" outline="0" axis="axisRow" fieldPosition="0"/>
    </format>
    <format dxfId="1094">
      <pivotArea field="52" type="button" dataOnly="0" labelOnly="1" outline="0" axis="axisRow" fieldPosition="0"/>
    </format>
    <format dxfId="1093">
      <pivotArea field="52" type="button" dataOnly="0" labelOnly="1" outline="0" axis="axisRow" fieldPosition="0"/>
    </format>
    <format dxfId="1092">
      <pivotArea type="all" dataOnly="0" outline="0" fieldPosition="0"/>
    </format>
    <format dxfId="1091">
      <pivotArea type="all" dataOnly="0" outline="0" fieldPosition="0"/>
    </format>
    <format dxfId="1090">
      <pivotArea type="all" dataOnly="0" outline="0" fieldPosition="0"/>
    </format>
    <format dxfId="1089">
      <pivotArea type="all" dataOnly="0" outline="0" fieldPosition="0"/>
    </format>
    <format dxfId="1088">
      <pivotArea outline="0" collapsedLevelsAreSubtotals="1" fieldPosition="0"/>
    </format>
    <format dxfId="1087">
      <pivotArea field="52" type="button" dataOnly="0" labelOnly="1" outline="0" axis="axisRow" fieldPosition="0"/>
    </format>
    <format dxfId="1086">
      <pivotArea dataOnly="0" labelOnly="1" fieldPosition="0">
        <references count="1">
          <reference field="52" count="4">
            <x v="3"/>
            <x v="5"/>
            <x v="9"/>
            <x v="11"/>
          </reference>
        </references>
      </pivotArea>
    </format>
    <format dxfId="1085">
      <pivotArea dataOnly="0" labelOnly="1" grandRow="1" outline="0" fieldPosition="0"/>
    </format>
    <format dxfId="1084">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8E1367EA-1046-44D4-A946-6701DB121D0F}" name="PivotTable3"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29:F30" firstHeaderRow="0" firstDataRow="1" firstDataCol="0" rowPageCount="3" colPageCount="1"/>
  <pivotFields count="57">
    <pivotField showAll="0" defaultSubtotal="0"/>
    <pivotField axis="axisPage" multipleItemSelectionAllowed="1" showAll="0" defaultSubtotal="0">
      <items count="6">
        <item x="3"/>
        <item x="0"/>
        <item x="2"/>
        <item h="1" x="4"/>
        <item h="1"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dataField="1" numFmtId="165" showAll="0"/>
    <pivotField dataField="1" numFmtId="165" showAll="0"/>
    <pivotField dataField="1" numFmtId="165" showAll="0"/>
    <pivotField dataField="1" numFmtId="165" showAll="0"/>
    <pivotField dataField="1" numFmtId="165" showAll="0"/>
    <pivotField axis="axisPage" multipleItemSelectionAllowed="1" showAll="0" defaultSubtotal="0">
      <items count="2">
        <item h="1" x="0"/>
        <item x="1"/>
      </items>
    </pivotField>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Fields count="1">
    <field x="-2"/>
  </colFields>
  <colItems count="5">
    <i>
      <x/>
    </i>
    <i i="1">
      <x v="1"/>
    </i>
    <i i="2">
      <x v="2"/>
    </i>
    <i i="3">
      <x v="3"/>
    </i>
    <i i="4">
      <x v="4"/>
    </i>
  </colItems>
  <pageFields count="3">
    <pageField fld="46" hier="-1"/>
    <pageField fld="7" hier="-1"/>
    <pageField fld="1" hier="-1"/>
  </pageFields>
  <dataFields count="5">
    <dataField name="Sum of 2020/21 (1)" fld="41" baseField="0" baseItem="0"/>
    <dataField name="Sum of 2021/22 (2)" fld="42" baseField="0" baseItem="0"/>
    <dataField name="Sum of 2022/23 (3)" fld="43" baseField="0" baseItem="0"/>
    <dataField name="Sum of 2023/24 (4)" fld="44" baseField="0" baseItem="0"/>
    <dataField name="Sum of 2024/25 (5)" fld="45" baseField="0" baseItem="0"/>
  </dataFields>
  <formats count="14">
    <format dxfId="108">
      <pivotArea type="all" dataOnly="0" outline="0" fieldPosition="0"/>
    </format>
    <format dxfId="107">
      <pivotArea type="all" dataOnly="0" outline="0" fieldPosition="0"/>
    </format>
    <format dxfId="106">
      <pivotArea type="all" dataOnly="0" outline="0" fieldPosition="0"/>
    </format>
    <format dxfId="105">
      <pivotArea type="all" dataOnly="0" outline="0" fieldPosition="0"/>
    </format>
    <format dxfId="104">
      <pivotArea type="all" dataOnly="0" outline="0" fieldPosition="0"/>
    </format>
    <format dxfId="103">
      <pivotArea type="all" dataOnly="0" outline="0" fieldPosition="0"/>
    </format>
    <format dxfId="102">
      <pivotArea type="all" dataOnly="0" outline="0" fieldPosition="0"/>
    </format>
    <format dxfId="101">
      <pivotArea outline="0" collapsedLevelsAreSubtotals="1" fieldPosition="0"/>
    </format>
    <format dxfId="100">
      <pivotArea type="all" dataOnly="0" outline="0" fieldPosition="0"/>
    </format>
    <format dxfId="99">
      <pivotArea type="all" dataOnly="0" outline="0" fieldPosition="0"/>
    </format>
    <format dxfId="98">
      <pivotArea type="all" dataOnly="0" outline="0" fieldPosition="0"/>
    </format>
    <format dxfId="97">
      <pivotArea type="all" dataOnly="0" outline="0" fieldPosition="0"/>
    </format>
    <format dxfId="96">
      <pivotArea outline="0" collapsedLevelsAreSubtotals="1" fieldPosition="0"/>
    </format>
    <format dxfId="95">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0.xml><?xml version="1.0" encoding="utf-8"?>
<pivotTableDefinition xmlns="http://schemas.openxmlformats.org/spreadsheetml/2006/main" xmlns:mc="http://schemas.openxmlformats.org/markup-compatibility/2006" xmlns:xr="http://schemas.microsoft.com/office/spreadsheetml/2014/revision" mc:Ignorable="xr" xr:uid="{36BFDDB6-43C4-4282-9294-F8E2FDEB354C}" name="PivotTable89"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N403:O410" firstHeaderRow="1" firstDataRow="1" firstDataCol="1" rowPageCount="3" colPageCount="1"/>
  <pivotFields count="57">
    <pivotField showAll="0" defaultSubtotal="0"/>
    <pivotField axis="axisPage" multipleItemSelectionAllowed="1" showAll="0" defaultSubtotal="0">
      <items count="6">
        <item x="3"/>
        <item x="0"/>
        <item x="2"/>
        <item h="1" x="4"/>
        <item h="1" x="1"/>
        <item h="1" x="5"/>
      </items>
    </pivotField>
    <pivotField axis="axisPage" multipleItemSelectionAllowed="1" showAll="0" defaultSubtotal="0">
      <items count="3">
        <item x="1"/>
        <item h="1" x="0"/>
        <item h="1" x="2"/>
      </items>
    </pivotField>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axis="axisRow" showAll="0" defaultSubtotal="0">
      <items count="19">
        <item x="14"/>
        <item x="6"/>
        <item x="5"/>
        <item x="7"/>
        <item x="8"/>
        <item x="13"/>
        <item x="9"/>
        <item x="0"/>
        <item x="10"/>
        <item x="11"/>
        <item x="16"/>
        <item x="12"/>
        <item x="17"/>
        <item x="3"/>
        <item x="2"/>
        <item x="4"/>
        <item x="1"/>
        <item x="15"/>
        <item x="18"/>
      </items>
    </pivotField>
    <pivotField showAll="0" defaultSubtotal="0"/>
    <pivotField showAll="0" defaultSubtotal="0"/>
    <pivotField showAll="0" defaultSubtotal="0"/>
    <pivotField showAll="0"/>
  </pivotFields>
  <rowFields count="1">
    <field x="52"/>
  </rowFields>
  <rowItems count="7">
    <i>
      <x/>
    </i>
    <i>
      <x v="2"/>
    </i>
    <i>
      <x v="4"/>
    </i>
    <i>
      <x v="8"/>
    </i>
    <i>
      <x v="12"/>
    </i>
    <i>
      <x v="14"/>
    </i>
    <i t="grand">
      <x/>
    </i>
  </rowItems>
  <colItems count="1">
    <i/>
  </colItems>
  <pageFields count="3">
    <pageField fld="7" hier="-1"/>
    <pageField fld="2" hier="-1"/>
    <pageField fld="1" hier="-1"/>
  </pageFields>
  <dataFields count="1">
    <dataField name="Sum of Net Dwellings" fld="37" baseField="0" baseItem="0"/>
  </dataFields>
  <formats count="22">
    <format dxfId="1124">
      <pivotArea type="all" dataOnly="0" outline="0" fieldPosition="0"/>
    </format>
    <format dxfId="1123">
      <pivotArea type="all" dataOnly="0" outline="0" fieldPosition="0"/>
    </format>
    <format dxfId="1122">
      <pivotArea type="all" dataOnly="0" outline="0" fieldPosition="0"/>
    </format>
    <format dxfId="1121">
      <pivotArea type="all" dataOnly="0" outline="0" fieldPosition="0"/>
    </format>
    <format dxfId="1120">
      <pivotArea type="all" dataOnly="0" outline="0" fieldPosition="0"/>
    </format>
    <format dxfId="1119">
      <pivotArea type="all" dataOnly="0" outline="0" fieldPosition="0"/>
    </format>
    <format dxfId="1118">
      <pivotArea type="all" dataOnly="0" outline="0" fieldPosition="0"/>
    </format>
    <format dxfId="1117">
      <pivotArea field="52" type="button" dataOnly="0" labelOnly="1" outline="0" axis="axisRow" fieldPosition="0"/>
    </format>
    <format dxfId="1116">
      <pivotArea dataOnly="0" labelOnly="1" outline="0" fieldPosition="0">
        <references count="1">
          <reference field="4294967294" count="1">
            <x v="0"/>
          </reference>
        </references>
      </pivotArea>
    </format>
    <format dxfId="1115">
      <pivotArea field="52" type="button" dataOnly="0" labelOnly="1" outline="0" axis="axisRow" fieldPosition="0"/>
    </format>
    <format dxfId="1114">
      <pivotArea dataOnly="0" labelOnly="1" outline="0" fieldPosition="0">
        <references count="1">
          <reference field="4294967294" count="1">
            <x v="0"/>
          </reference>
        </references>
      </pivotArea>
    </format>
    <format dxfId="1113">
      <pivotArea field="52" type="button" dataOnly="0" labelOnly="1" outline="0" axis="axisRow" fieldPosition="0"/>
    </format>
    <format dxfId="1112">
      <pivotArea dataOnly="0" labelOnly="1" outline="0" fieldPosition="0">
        <references count="1">
          <reference field="4294967294" count="1">
            <x v="0"/>
          </reference>
        </references>
      </pivotArea>
    </format>
    <format dxfId="1111">
      <pivotArea type="all" dataOnly="0" outline="0" fieldPosition="0"/>
    </format>
    <format dxfId="1110">
      <pivotArea type="all" dataOnly="0" outline="0" fieldPosition="0"/>
    </format>
    <format dxfId="1109">
      <pivotArea type="all" dataOnly="0" outline="0" fieldPosition="0"/>
    </format>
    <format dxfId="1108">
      <pivotArea type="all" dataOnly="0" outline="0" fieldPosition="0"/>
    </format>
    <format dxfId="1107">
      <pivotArea outline="0" collapsedLevelsAreSubtotals="1" fieldPosition="0"/>
    </format>
    <format dxfId="1106">
      <pivotArea field="52" type="button" dataOnly="0" labelOnly="1" outline="0" axis="axisRow" fieldPosition="0"/>
    </format>
    <format dxfId="1105">
      <pivotArea dataOnly="0" labelOnly="1" fieldPosition="0">
        <references count="1">
          <reference field="52" count="6">
            <x v="0"/>
            <x v="2"/>
            <x v="4"/>
            <x v="8"/>
            <x v="12"/>
            <x v="14"/>
          </reference>
        </references>
      </pivotArea>
    </format>
    <format dxfId="1104">
      <pivotArea dataOnly="0" labelOnly="1" grandRow="1" outline="0" fieldPosition="0"/>
    </format>
    <format dxfId="110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1.xml><?xml version="1.0" encoding="utf-8"?>
<pivotTableDefinition xmlns="http://schemas.openxmlformats.org/spreadsheetml/2006/main" xmlns:mc="http://schemas.openxmlformats.org/markup-compatibility/2006" xmlns:xr="http://schemas.microsoft.com/office/spreadsheetml/2014/revision" mc:Ignorable="xr" xr:uid="{8C9F5D0F-7D6E-470F-8CDB-590AEC5555AE}" name="PivotTable57"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86:H187" firstHeaderRow="1" firstDataRow="1" firstDataCol="0" rowPageCount="3"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7">
        <item h="1" x="1"/>
        <item h="1" x="2"/>
        <item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37" baseField="0" baseItem="0"/>
  </dataFields>
  <formats count="13">
    <format dxfId="1137">
      <pivotArea type="all" dataOnly="0" outline="0" fieldPosition="0"/>
    </format>
    <format dxfId="1136">
      <pivotArea type="all" dataOnly="0" outline="0" fieldPosition="0"/>
    </format>
    <format dxfId="1135">
      <pivotArea type="all" dataOnly="0" outline="0" fieldPosition="0"/>
    </format>
    <format dxfId="1134">
      <pivotArea type="all" dataOnly="0" outline="0" fieldPosition="0"/>
    </format>
    <format dxfId="1133">
      <pivotArea type="all" dataOnly="0" outline="0" fieldPosition="0"/>
    </format>
    <format dxfId="1132">
      <pivotArea type="all" dataOnly="0" outline="0" fieldPosition="0"/>
    </format>
    <format dxfId="1131">
      <pivotArea type="all" dataOnly="0" outline="0" fieldPosition="0"/>
    </format>
    <format dxfId="1130">
      <pivotArea type="all" dataOnly="0" outline="0" fieldPosition="0"/>
    </format>
    <format dxfId="1129">
      <pivotArea type="all" dataOnly="0" outline="0" fieldPosition="0"/>
    </format>
    <format dxfId="1128">
      <pivotArea type="all" dataOnly="0" outline="0" fieldPosition="0"/>
    </format>
    <format dxfId="1127">
      <pivotArea type="all" dataOnly="0" outline="0" fieldPosition="0"/>
    </format>
    <format dxfId="1126">
      <pivotArea outline="0" collapsedLevelsAreSubtotals="1" fieldPosition="0"/>
    </format>
    <format dxfId="112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2.xml><?xml version="1.0" encoding="utf-8"?>
<pivotTableDefinition xmlns="http://schemas.openxmlformats.org/spreadsheetml/2006/main" xmlns:mc="http://schemas.openxmlformats.org/markup-compatibility/2006" xmlns:xr="http://schemas.microsoft.com/office/spreadsheetml/2014/revision" mc:Ignorable="xr" xr:uid="{2E94EA83-7309-4574-BFF5-DF7101AAF1A8}" name="PivotTable30"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55:E156"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7">
        <item h="1" x="1"/>
        <item x="2"/>
        <item h="1"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Units Proposed" fld="28" baseField="0" baseItem="0"/>
  </dataFields>
  <formats count="13">
    <format dxfId="1150">
      <pivotArea type="all" dataOnly="0" outline="0" fieldPosition="0"/>
    </format>
    <format dxfId="1149">
      <pivotArea type="all" dataOnly="0" outline="0" fieldPosition="0"/>
    </format>
    <format dxfId="1148">
      <pivotArea type="all" dataOnly="0" outline="0" fieldPosition="0"/>
    </format>
    <format dxfId="1147">
      <pivotArea type="all" dataOnly="0" outline="0" fieldPosition="0"/>
    </format>
    <format dxfId="1146">
      <pivotArea type="all" dataOnly="0" outline="0" fieldPosition="0"/>
    </format>
    <format dxfId="1145">
      <pivotArea type="all" dataOnly="0" outline="0" fieldPosition="0"/>
    </format>
    <format dxfId="1144">
      <pivotArea type="all" dataOnly="0" outline="0" fieldPosition="0"/>
    </format>
    <format dxfId="1143">
      <pivotArea type="all" dataOnly="0" outline="0" fieldPosition="0"/>
    </format>
    <format dxfId="1142">
      <pivotArea type="all" dataOnly="0" outline="0" fieldPosition="0"/>
    </format>
    <format dxfId="1141">
      <pivotArea type="all" dataOnly="0" outline="0" fieldPosition="0"/>
    </format>
    <format dxfId="1140">
      <pivotArea type="all" dataOnly="0" outline="0" fieldPosition="0"/>
    </format>
    <format dxfId="1139">
      <pivotArea outline="0" collapsedLevelsAreSubtotals="1" fieldPosition="0"/>
    </format>
    <format dxfId="113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3.xml><?xml version="1.0" encoding="utf-8"?>
<pivotTableDefinition xmlns="http://schemas.openxmlformats.org/spreadsheetml/2006/main" xmlns:mc="http://schemas.openxmlformats.org/markup-compatibility/2006" xmlns:xr="http://schemas.microsoft.com/office/spreadsheetml/2014/revision" mc:Ignorable="xr" xr:uid="{B9645303-9273-402A-BFC3-C48A3AEEDD0F}" name="PivotTable24"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K80:K81" firstHeaderRow="1" firstDataRow="1" firstDataCol="0" rowPageCount="2"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h="1" x="2"/>
        <item x="3"/>
        <item h="1" x="4"/>
      </items>
    </pivotField>
    <pivotField axis="axisPage" multipleItemSelectionAllowed="1" showAll="0" defaultSubtotal="0">
      <items count="7">
        <item h="1" x="5"/>
        <item h="1" x="1"/>
        <item h="1" x="2"/>
        <item x="0"/>
        <item h="1" x="4"/>
        <item h="1" x="6"/>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Net Dwellings" fld="37" baseField="0" baseItem="0"/>
  </dataFields>
  <formats count="13">
    <format dxfId="1163">
      <pivotArea type="all" dataOnly="0" outline="0" fieldPosition="0"/>
    </format>
    <format dxfId="1162">
      <pivotArea type="all" dataOnly="0" outline="0" fieldPosition="0"/>
    </format>
    <format dxfId="1161">
      <pivotArea type="all" dataOnly="0" outline="0" fieldPosition="0"/>
    </format>
    <format dxfId="1160">
      <pivotArea type="all" dataOnly="0" outline="0" fieldPosition="0"/>
    </format>
    <format dxfId="1159">
      <pivotArea type="all" dataOnly="0" outline="0" fieldPosition="0"/>
    </format>
    <format dxfId="1158">
      <pivotArea type="all" dataOnly="0" outline="0" fieldPosition="0"/>
    </format>
    <format dxfId="1157">
      <pivotArea type="all" dataOnly="0" outline="0" fieldPosition="0"/>
    </format>
    <format dxfId="1156">
      <pivotArea type="all" dataOnly="0" outline="0" fieldPosition="0"/>
    </format>
    <format dxfId="1155">
      <pivotArea type="all" dataOnly="0" outline="0" fieldPosition="0"/>
    </format>
    <format dxfId="1154">
      <pivotArea type="all" dataOnly="0" outline="0" fieldPosition="0"/>
    </format>
    <format dxfId="1153">
      <pivotArea type="all" dataOnly="0" outline="0" fieldPosition="0"/>
    </format>
    <format dxfId="1152">
      <pivotArea outline="0" collapsedLevelsAreSubtotals="1" fieldPosition="0"/>
    </format>
    <format dxfId="115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4.xml><?xml version="1.0" encoding="utf-8"?>
<pivotTableDefinition xmlns="http://schemas.openxmlformats.org/spreadsheetml/2006/main" xmlns:mc="http://schemas.openxmlformats.org/markup-compatibility/2006" xmlns:xr="http://schemas.microsoft.com/office/spreadsheetml/2014/revision" mc:Ignorable="xr" xr:uid="{90057286-5747-459F-9052-83650A6BB6AD}" name="PivotTable75"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291:C297" firstHeaderRow="1" firstDataRow="1" firstDataCol="1" rowPageCount="1"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defaultSubtotal="0"/>
    <pivotField showAll="0" defaultSubtotal="0"/>
    <pivotField showAll="0" defaultSubtotal="0"/>
    <pivotField axis="axisRow" showAll="0" defaultSubtotal="0">
      <items count="6">
        <item x="2"/>
        <item x="3"/>
        <item x="4"/>
        <item x="1"/>
        <item x="5"/>
        <item x="0"/>
      </items>
    </pivotField>
    <pivotField showAll="0"/>
  </pivotFields>
  <rowFields count="1">
    <field x="55"/>
  </rowFields>
  <rowItems count="6">
    <i>
      <x/>
    </i>
    <i>
      <x v="1"/>
    </i>
    <i>
      <x v="2"/>
    </i>
    <i>
      <x v="3"/>
    </i>
    <i>
      <x v="5"/>
    </i>
    <i t="grand">
      <x/>
    </i>
  </rowItems>
  <colItems count="1">
    <i/>
  </colItems>
  <pageFields count="1">
    <pageField fld="7" hier="-1"/>
  </pageFields>
  <dataFields count="1">
    <dataField name="Sum of Net Dwellings" fld="37" baseField="0" baseItem="0"/>
  </dataFields>
  <formats count="16">
    <format dxfId="1179">
      <pivotArea type="all" dataOnly="0" outline="0" fieldPosition="0"/>
    </format>
    <format dxfId="1178">
      <pivotArea type="all" dataOnly="0" outline="0" fieldPosition="0"/>
    </format>
    <format dxfId="1177">
      <pivotArea type="all" dataOnly="0" outline="0" fieldPosition="0"/>
    </format>
    <format dxfId="1176">
      <pivotArea type="all" dataOnly="0" outline="0" fieldPosition="0"/>
    </format>
    <format dxfId="1175">
      <pivotArea type="all" dataOnly="0" outline="0" fieldPosition="0"/>
    </format>
    <format dxfId="1174">
      <pivotArea type="all" dataOnly="0" outline="0" fieldPosition="0"/>
    </format>
    <format dxfId="1173">
      <pivotArea type="all" dataOnly="0" outline="0" fieldPosition="0"/>
    </format>
    <format dxfId="1172">
      <pivotArea type="all" dataOnly="0" outline="0" fieldPosition="0"/>
    </format>
    <format dxfId="1171">
      <pivotArea type="all" dataOnly="0" outline="0" fieldPosition="0"/>
    </format>
    <format dxfId="1170">
      <pivotArea type="all" dataOnly="0" outline="0" fieldPosition="0"/>
    </format>
    <format dxfId="1169">
      <pivotArea type="all" dataOnly="0" outline="0" fieldPosition="0"/>
    </format>
    <format dxfId="1168">
      <pivotArea outline="0" collapsedLevelsAreSubtotals="1" fieldPosition="0"/>
    </format>
    <format dxfId="1167">
      <pivotArea field="55" type="button" dataOnly="0" labelOnly="1" outline="0" axis="axisRow" fieldPosition="0"/>
    </format>
    <format dxfId="1166">
      <pivotArea dataOnly="0" labelOnly="1" fieldPosition="0">
        <references count="1">
          <reference field="55" count="5">
            <x v="0"/>
            <x v="1"/>
            <x v="2"/>
            <x v="3"/>
            <x v="5"/>
          </reference>
        </references>
      </pivotArea>
    </format>
    <format dxfId="1165">
      <pivotArea dataOnly="0" labelOnly="1" grandRow="1" outline="0" fieldPosition="0"/>
    </format>
    <format dxfId="116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5.xml><?xml version="1.0" encoding="utf-8"?>
<pivotTableDefinition xmlns="http://schemas.openxmlformats.org/spreadsheetml/2006/main" xmlns:mc="http://schemas.openxmlformats.org/markup-compatibility/2006" xmlns:xr="http://schemas.microsoft.com/office/spreadsheetml/2014/revision" mc:Ignorable="xr" xr:uid="{B6356F89-A5E5-408E-8CDC-B2608587FD31}" name="PivotTable2"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21:F22" firstHeaderRow="0" firstDataRow="1" firstDataCol="0" rowPageCount="3"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dataField="1" numFmtId="165" showAll="0"/>
    <pivotField dataField="1" numFmtId="165" showAll="0"/>
    <pivotField dataField="1" numFmtId="165" showAll="0"/>
    <pivotField dataField="1" numFmtId="165" showAll="0"/>
    <pivotField dataField="1" numFmtId="165" showAll="0"/>
    <pivotField axis="axisPage" multipleItemSelectionAllowed="1" showAll="0" defaultSubtotal="0">
      <items count="2">
        <item h="1" x="0"/>
        <item x="1"/>
      </items>
    </pivotField>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Fields count="1">
    <field x="-2"/>
  </colFields>
  <colItems count="5">
    <i>
      <x/>
    </i>
    <i i="1">
      <x v="1"/>
    </i>
    <i i="2">
      <x v="2"/>
    </i>
    <i i="3">
      <x v="3"/>
    </i>
    <i i="4">
      <x v="4"/>
    </i>
  </colItems>
  <pageFields count="3">
    <pageField fld="46" hier="-1"/>
    <pageField fld="7" hier="-1"/>
    <pageField fld="1" hier="-1"/>
  </pageFields>
  <dataFields count="5">
    <dataField name="Sum of 2020/21 (1)" fld="41" baseField="0" baseItem="0"/>
    <dataField name="Sum of 2021/22 (2)" fld="42" baseField="0" baseItem="0"/>
    <dataField name="Sum of 2022/23 (3)" fld="43" baseField="0" baseItem="0"/>
    <dataField name="Sum of 2023/24 (4)" fld="44" baseField="0" baseItem="0"/>
    <dataField name="Sum of 2024/25 (5)" fld="45" baseField="0" baseItem="0"/>
  </dataFields>
  <formats count="14">
    <format dxfId="1193">
      <pivotArea type="all" dataOnly="0" outline="0" fieldPosition="0"/>
    </format>
    <format dxfId="1192">
      <pivotArea type="all" dataOnly="0" outline="0" fieldPosition="0"/>
    </format>
    <format dxfId="1191">
      <pivotArea type="all" dataOnly="0" outline="0" fieldPosition="0"/>
    </format>
    <format dxfId="1190">
      <pivotArea type="all" dataOnly="0" outline="0" fieldPosition="0"/>
    </format>
    <format dxfId="1189">
      <pivotArea type="all" dataOnly="0" outline="0" fieldPosition="0"/>
    </format>
    <format dxfId="1188">
      <pivotArea type="all" dataOnly="0" outline="0" fieldPosition="0"/>
    </format>
    <format dxfId="1187">
      <pivotArea type="all" dataOnly="0" outline="0" fieldPosition="0"/>
    </format>
    <format dxfId="1186">
      <pivotArea outline="0" collapsedLevelsAreSubtotals="1" fieldPosition="0"/>
    </format>
    <format dxfId="1185">
      <pivotArea type="all" dataOnly="0" outline="0" fieldPosition="0"/>
    </format>
    <format dxfId="1184">
      <pivotArea type="all" dataOnly="0" outline="0" fieldPosition="0"/>
    </format>
    <format dxfId="1183">
      <pivotArea type="all" dataOnly="0" outline="0" fieldPosition="0"/>
    </format>
    <format dxfId="1182">
      <pivotArea type="all" dataOnly="0" outline="0" fieldPosition="0"/>
    </format>
    <format dxfId="1181">
      <pivotArea outline="0" collapsedLevelsAreSubtotals="1" fieldPosition="0"/>
    </format>
    <format dxfId="1180">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6.xml><?xml version="1.0" encoding="utf-8"?>
<pivotTableDefinition xmlns="http://schemas.openxmlformats.org/spreadsheetml/2006/main" xmlns:mc="http://schemas.openxmlformats.org/markup-compatibility/2006" xmlns:xr="http://schemas.microsoft.com/office/spreadsheetml/2014/revision" mc:Ignorable="xr" xr:uid="{093BC61D-CD21-44D5-A137-86E832B2F9D0}" name="PivotTable74"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38:F39" firstHeaderRow="0" firstDataRow="1" firstDataCol="0" rowPageCount="4" colPageCount="1"/>
  <pivotFields count="57">
    <pivotField showAll="0" defaultSubtotal="0"/>
    <pivotField axis="axisPage" multipleItemSelectionAllowed="1" showAll="0" defaultSubtotal="0">
      <items count="6">
        <item x="3"/>
        <item x="0"/>
        <item x="2"/>
        <item h="1" x="4"/>
        <item h="1" x="1"/>
        <item h="1" x="5"/>
      </items>
    </pivotField>
    <pivotField axis="axisPage" multipleItemSelectionAllowed="1" showAll="0" defaultSubtotal="0">
      <items count="3">
        <item h="1" x="2"/>
        <item h="1" x="1"/>
        <item x="0"/>
      </items>
    </pivotField>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dataField="1" numFmtId="165" showAll="0"/>
    <pivotField dataField="1" numFmtId="165" showAll="0"/>
    <pivotField dataField="1" numFmtId="165" showAll="0"/>
    <pivotField dataField="1" numFmtId="165" showAll="0"/>
    <pivotField dataField="1" numFmtId="165" showAll="0"/>
    <pivotField axis="axisPage" multipleItemSelectionAllowed="1" showAll="0" defaultSubtotal="0">
      <items count="2">
        <item h="1" x="0"/>
        <item x="1"/>
      </items>
    </pivotField>
    <pivotField showAll="0"/>
    <pivotField showAll="0"/>
    <pivotField showAll="0"/>
    <pivotField showAll="0"/>
    <pivotField showAll="0"/>
    <pivotField showAll="0" defaultSubtotal="0"/>
    <pivotField showAll="0" defaultSubtotal="0"/>
    <pivotField showAll="0" defaultSubtotal="0"/>
    <pivotField showAll="0" defaultSubtotal="0"/>
    <pivotField showAll="0"/>
  </pivotFields>
  <rowItems count="1">
    <i/>
  </rowItems>
  <colFields count="1">
    <field x="-2"/>
  </colFields>
  <colItems count="5">
    <i>
      <x/>
    </i>
    <i i="1">
      <x v="1"/>
    </i>
    <i i="2">
      <x v="2"/>
    </i>
    <i i="3">
      <x v="3"/>
    </i>
    <i i="4">
      <x v="4"/>
    </i>
  </colItems>
  <pageFields count="4">
    <pageField fld="46" hier="-1"/>
    <pageField fld="2" hier="-1"/>
    <pageField fld="7" hier="-1"/>
    <pageField fld="1" hier="-1"/>
  </pageFields>
  <dataFields count="5">
    <dataField name="Sum of 2020/21 (1)" fld="41" baseField="0" baseItem="0"/>
    <dataField name="Sum of 2021/22 (2)" fld="42" baseField="0" baseItem="0"/>
    <dataField name="Sum of 2022/23 (3)" fld="43" baseField="0" baseItem="0"/>
    <dataField name="Sum of 2023/24 (4)" fld="44" baseField="0" baseItem="0"/>
    <dataField name="Sum of 2024/25 (5)" fld="45" baseField="0" baseItem="0"/>
  </dataFields>
  <formats count="14">
    <format dxfId="1207">
      <pivotArea type="all" dataOnly="0" outline="0" fieldPosition="0"/>
    </format>
    <format dxfId="1206">
      <pivotArea type="all" dataOnly="0" outline="0" fieldPosition="0"/>
    </format>
    <format dxfId="1205">
      <pivotArea type="all" dataOnly="0" outline="0" fieldPosition="0"/>
    </format>
    <format dxfId="1204">
      <pivotArea type="all" dataOnly="0" outline="0" fieldPosition="0"/>
    </format>
    <format dxfId="1203">
      <pivotArea type="all" dataOnly="0" outline="0" fieldPosition="0"/>
    </format>
    <format dxfId="1202">
      <pivotArea type="all" dataOnly="0" outline="0" fieldPosition="0"/>
    </format>
    <format dxfId="1201">
      <pivotArea type="all" dataOnly="0" outline="0" fieldPosition="0"/>
    </format>
    <format dxfId="1200">
      <pivotArea outline="0" collapsedLevelsAreSubtotals="1" fieldPosition="0"/>
    </format>
    <format dxfId="1199">
      <pivotArea type="all" dataOnly="0" outline="0" fieldPosition="0"/>
    </format>
    <format dxfId="1198">
      <pivotArea type="all" dataOnly="0" outline="0" fieldPosition="0"/>
    </format>
    <format dxfId="1197">
      <pivotArea type="all" dataOnly="0" outline="0" fieldPosition="0"/>
    </format>
    <format dxfId="1196">
      <pivotArea type="all" dataOnly="0" outline="0" fieldPosition="0"/>
    </format>
    <format dxfId="1195">
      <pivotArea outline="0" collapsedLevelsAreSubtotals="1" fieldPosition="0"/>
    </format>
    <format dxfId="1194">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7.xml><?xml version="1.0" encoding="utf-8"?>
<pivotTableDefinition xmlns="http://schemas.openxmlformats.org/spreadsheetml/2006/main" xmlns:mc="http://schemas.openxmlformats.org/markup-compatibility/2006" xmlns:xr="http://schemas.microsoft.com/office/spreadsheetml/2014/revision" mc:Ignorable="xr" xr:uid="{248B5346-A84D-4227-BF31-235A5BBC231E}" name="PivotTable64"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95:B196" firstHeaderRow="1" firstDataRow="1" firstDataCol="0" rowPageCount="3"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7">
        <item h="1" x="1"/>
        <item h="1" x="2"/>
        <item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28" baseField="0" baseItem="0"/>
  </dataFields>
  <formats count="13">
    <format dxfId="1220">
      <pivotArea type="all" dataOnly="0" outline="0" fieldPosition="0"/>
    </format>
    <format dxfId="1219">
      <pivotArea type="all" dataOnly="0" outline="0" fieldPosition="0"/>
    </format>
    <format dxfId="1218">
      <pivotArea type="all" dataOnly="0" outline="0" fieldPosition="0"/>
    </format>
    <format dxfId="1217">
      <pivotArea type="all" dataOnly="0" outline="0" fieldPosition="0"/>
    </format>
    <format dxfId="1216">
      <pivotArea type="all" dataOnly="0" outline="0" fieldPosition="0"/>
    </format>
    <format dxfId="1215">
      <pivotArea type="all" dataOnly="0" outline="0" fieldPosition="0"/>
    </format>
    <format dxfId="1214">
      <pivotArea type="all" dataOnly="0" outline="0" fieldPosition="0"/>
    </format>
    <format dxfId="1213">
      <pivotArea type="all" dataOnly="0" outline="0" fieldPosition="0"/>
    </format>
    <format dxfId="1212">
      <pivotArea type="all" dataOnly="0" outline="0" fieldPosition="0"/>
    </format>
    <format dxfId="1211">
      <pivotArea type="all" dataOnly="0" outline="0" fieldPosition="0"/>
    </format>
    <format dxfId="1210">
      <pivotArea type="all" dataOnly="0" outline="0" fieldPosition="0"/>
    </format>
    <format dxfId="1209">
      <pivotArea outline="0" collapsedLevelsAreSubtotals="1" fieldPosition="0"/>
    </format>
    <format dxfId="120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8.xml><?xml version="1.0" encoding="utf-8"?>
<pivotTableDefinition xmlns="http://schemas.openxmlformats.org/spreadsheetml/2006/main" xmlns:mc="http://schemas.openxmlformats.org/markup-compatibility/2006" xmlns:xr="http://schemas.microsoft.com/office/spreadsheetml/2014/revision" mc:Ignorable="xr" xr:uid="{3552F723-6051-461B-AE9F-4B1B3E3D245B}" name="PivotTable58"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213:B214" firstHeaderRow="1" firstDataRow="1" firstDataCol="0" rowPageCount="3"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7">
        <item h="1" x="1"/>
        <item x="2"/>
        <item h="1"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28" baseField="0" baseItem="0"/>
  </dataFields>
  <formats count="13">
    <format dxfId="1233">
      <pivotArea type="all" dataOnly="0" outline="0" fieldPosition="0"/>
    </format>
    <format dxfId="1232">
      <pivotArea type="all" dataOnly="0" outline="0" fieldPosition="0"/>
    </format>
    <format dxfId="1231">
      <pivotArea type="all" dataOnly="0" outline="0" fieldPosition="0"/>
    </format>
    <format dxfId="1230">
      <pivotArea type="all" dataOnly="0" outline="0" fieldPosition="0"/>
    </format>
    <format dxfId="1229">
      <pivotArea type="all" dataOnly="0" outline="0" fieldPosition="0"/>
    </format>
    <format dxfId="1228">
      <pivotArea type="all" dataOnly="0" outline="0" fieldPosition="0"/>
    </format>
    <format dxfId="1227">
      <pivotArea type="all" dataOnly="0" outline="0" fieldPosition="0"/>
    </format>
    <format dxfId="1226">
      <pivotArea type="all" dataOnly="0" outline="0" fieldPosition="0"/>
    </format>
    <format dxfId="1225">
      <pivotArea type="all" dataOnly="0" outline="0" fieldPosition="0"/>
    </format>
    <format dxfId="1224">
      <pivotArea type="all" dataOnly="0" outline="0" fieldPosition="0"/>
    </format>
    <format dxfId="1223">
      <pivotArea type="all" dataOnly="0" outline="0" fieldPosition="0"/>
    </format>
    <format dxfId="1222">
      <pivotArea outline="0" collapsedLevelsAreSubtotals="1" fieldPosition="0"/>
    </format>
    <format dxfId="122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9.xml><?xml version="1.0" encoding="utf-8"?>
<pivotTableDefinition xmlns="http://schemas.openxmlformats.org/spreadsheetml/2006/main" xmlns:mc="http://schemas.openxmlformats.org/markup-compatibility/2006" xmlns:xr="http://schemas.microsoft.com/office/spreadsheetml/2014/revision" mc:Ignorable="xr" xr:uid="{43611A30-F3A1-41DA-8009-33FB85EEC961}" name="PivotTable85" cacheId="0" applyNumberFormats="0" applyBorderFormats="0" applyFontFormats="0" applyPatternFormats="0" applyAlignmentFormats="0" applyWidthHeightFormats="1" dataCaption="Values" missingCaption="0" updatedVersion="6" minRefreshableVersion="3" itemPrintTitles="1" createdVersion="4" indent="0" outline="1" outlineData="1" multipleFieldFilters="0">
  <location ref="H403:I419" firstHeaderRow="1" firstDataRow="1" firstDataCol="1" rowPageCount="3" colPageCount="1"/>
  <pivotFields count="57">
    <pivotField showAll="0" defaultSubtotal="0"/>
    <pivotField axis="axisPage" multipleItemSelectionAllowed="1" showAll="0" defaultSubtotal="0">
      <items count="6">
        <item x="3"/>
        <item x="0"/>
        <item x="2"/>
        <item h="1" x="4"/>
        <item h="1" x="1"/>
        <item h="1" x="5"/>
      </items>
    </pivotField>
    <pivotField axis="axisPage" multipleItemSelectionAllowed="1" showAll="0" defaultSubtotal="0">
      <items count="3">
        <item h="1" x="1"/>
        <item x="0"/>
        <item h="1" x="2"/>
      </items>
    </pivotField>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axis="axisRow" showAll="0" defaultSubtotal="0">
      <items count="19">
        <item x="14"/>
        <item x="6"/>
        <item x="5"/>
        <item x="7"/>
        <item x="8"/>
        <item x="13"/>
        <item x="9"/>
        <item x="0"/>
        <item x="10"/>
        <item x="11"/>
        <item x="16"/>
        <item x="12"/>
        <item x="17"/>
        <item x="3"/>
        <item x="2"/>
        <item x="4"/>
        <item x="1"/>
        <item x="15"/>
        <item x="18"/>
      </items>
    </pivotField>
    <pivotField showAll="0" defaultSubtotal="0"/>
    <pivotField showAll="0" defaultSubtotal="0"/>
    <pivotField showAll="0" defaultSubtotal="0"/>
    <pivotField showAll="0"/>
  </pivotFields>
  <rowFields count="1">
    <field x="52"/>
  </rowFields>
  <rowItems count="16">
    <i>
      <x v="1"/>
    </i>
    <i>
      <x v="2"/>
    </i>
    <i>
      <x v="3"/>
    </i>
    <i>
      <x v="4"/>
    </i>
    <i>
      <x v="6"/>
    </i>
    <i>
      <x v="8"/>
    </i>
    <i>
      <x v="9"/>
    </i>
    <i>
      <x v="10"/>
    </i>
    <i>
      <x v="11"/>
    </i>
    <i>
      <x v="12"/>
    </i>
    <i>
      <x v="13"/>
    </i>
    <i>
      <x v="14"/>
    </i>
    <i>
      <x v="15"/>
    </i>
    <i>
      <x v="16"/>
    </i>
    <i>
      <x v="17"/>
    </i>
    <i t="grand">
      <x/>
    </i>
  </rowItems>
  <colItems count="1">
    <i/>
  </colItems>
  <pageFields count="3">
    <pageField fld="7" hier="-1"/>
    <pageField fld="2" hier="-1"/>
    <pageField fld="1" hier="-1"/>
  </pageFields>
  <dataFields count="1">
    <dataField name="Sum of Net Dwellings" fld="37" baseField="0" baseItem="0"/>
  </dataFields>
  <formats count="22">
    <format dxfId="1255">
      <pivotArea type="all" dataOnly="0" outline="0" fieldPosition="0"/>
    </format>
    <format dxfId="1254">
      <pivotArea type="all" dataOnly="0" outline="0" fieldPosition="0"/>
    </format>
    <format dxfId="1253">
      <pivotArea type="all" dataOnly="0" outline="0" fieldPosition="0"/>
    </format>
    <format dxfId="1252">
      <pivotArea type="all" dataOnly="0" outline="0" fieldPosition="0"/>
    </format>
    <format dxfId="1251">
      <pivotArea type="all" dataOnly="0" outline="0" fieldPosition="0"/>
    </format>
    <format dxfId="1250">
      <pivotArea type="all" dataOnly="0" outline="0" fieldPosition="0"/>
    </format>
    <format dxfId="1249">
      <pivotArea type="all" dataOnly="0" outline="0" fieldPosition="0"/>
    </format>
    <format dxfId="1248">
      <pivotArea field="52" type="button" dataOnly="0" labelOnly="1" outline="0" axis="axisRow" fieldPosition="0"/>
    </format>
    <format dxfId="1247">
      <pivotArea dataOnly="0" labelOnly="1" outline="0" fieldPosition="0">
        <references count="1">
          <reference field="4294967294" count="1">
            <x v="0"/>
          </reference>
        </references>
      </pivotArea>
    </format>
    <format dxfId="1246">
      <pivotArea field="52" type="button" dataOnly="0" labelOnly="1" outline="0" axis="axisRow" fieldPosition="0"/>
    </format>
    <format dxfId="1245">
      <pivotArea dataOnly="0" labelOnly="1" outline="0" fieldPosition="0">
        <references count="1">
          <reference field="4294967294" count="1">
            <x v="0"/>
          </reference>
        </references>
      </pivotArea>
    </format>
    <format dxfId="1244">
      <pivotArea field="52" type="button" dataOnly="0" labelOnly="1" outline="0" axis="axisRow" fieldPosition="0"/>
    </format>
    <format dxfId="1243">
      <pivotArea dataOnly="0" labelOnly="1" outline="0" fieldPosition="0">
        <references count="1">
          <reference field="4294967294" count="1">
            <x v="0"/>
          </reference>
        </references>
      </pivotArea>
    </format>
    <format dxfId="1242">
      <pivotArea type="all" dataOnly="0" outline="0" fieldPosition="0"/>
    </format>
    <format dxfId="1241">
      <pivotArea type="all" dataOnly="0" outline="0" fieldPosition="0"/>
    </format>
    <format dxfId="1240">
      <pivotArea type="all" dataOnly="0" outline="0" fieldPosition="0"/>
    </format>
    <format dxfId="1239">
      <pivotArea type="all" dataOnly="0" outline="0" fieldPosition="0"/>
    </format>
    <format dxfId="1238">
      <pivotArea outline="0" collapsedLevelsAreSubtotals="1" fieldPosition="0"/>
    </format>
    <format dxfId="1237">
      <pivotArea field="52" type="button" dataOnly="0" labelOnly="1" outline="0" axis="axisRow" fieldPosition="0"/>
    </format>
    <format dxfId="1236">
      <pivotArea dataOnly="0" labelOnly="1" fieldPosition="0">
        <references count="1">
          <reference field="52" count="15">
            <x v="1"/>
            <x v="2"/>
            <x v="3"/>
            <x v="4"/>
            <x v="6"/>
            <x v="8"/>
            <x v="9"/>
            <x v="10"/>
            <x v="11"/>
            <x v="12"/>
            <x v="13"/>
            <x v="14"/>
            <x v="15"/>
            <x v="16"/>
            <x v="17"/>
          </reference>
        </references>
      </pivotArea>
    </format>
    <format dxfId="1235">
      <pivotArea dataOnly="0" labelOnly="1" grandRow="1" outline="0" fieldPosition="0"/>
    </format>
    <format dxfId="123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C314144B-3C40-4A9B-9088-380CF07B5186}" name="PivotTable17"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71:E72" firstHeaderRow="1" firstDataRow="1" firstDataCol="0" rowPageCount="2"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Net Dwellings" fld="37" baseField="0" baseItem="0"/>
  </dataFields>
  <formats count="13">
    <format dxfId="121">
      <pivotArea type="all" dataOnly="0" outline="0" fieldPosition="0"/>
    </format>
    <format dxfId="120">
      <pivotArea type="all" dataOnly="0" outline="0" fieldPosition="0"/>
    </format>
    <format dxfId="119">
      <pivotArea type="all" dataOnly="0" outline="0" fieldPosition="0"/>
    </format>
    <format dxfId="118">
      <pivotArea type="all" dataOnly="0" outline="0" fieldPosition="0"/>
    </format>
    <format dxfId="117">
      <pivotArea type="all" dataOnly="0" outline="0" fieldPosition="0"/>
    </format>
    <format dxfId="116">
      <pivotArea type="all" dataOnly="0" outline="0" fieldPosition="0"/>
    </format>
    <format dxfId="115">
      <pivotArea type="all" dataOnly="0" outline="0" fieldPosition="0"/>
    </format>
    <format dxfId="114">
      <pivotArea type="all" dataOnly="0" outline="0" fieldPosition="0"/>
    </format>
    <format dxfId="113">
      <pivotArea type="all" dataOnly="0" outline="0" fieldPosition="0"/>
    </format>
    <format dxfId="112">
      <pivotArea type="all" dataOnly="0" outline="0" fieldPosition="0"/>
    </format>
    <format dxfId="111">
      <pivotArea type="all" dataOnly="0" outline="0" fieldPosition="0"/>
    </format>
    <format dxfId="110">
      <pivotArea outline="0" collapsedLevelsAreSubtotals="1" fieldPosition="0"/>
    </format>
    <format dxfId="10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0.xml><?xml version="1.0" encoding="utf-8"?>
<pivotTableDefinition xmlns="http://schemas.openxmlformats.org/spreadsheetml/2006/main" xmlns:mc="http://schemas.openxmlformats.org/markup-compatibility/2006" xmlns:xr="http://schemas.microsoft.com/office/spreadsheetml/2014/revision" mc:Ignorable="xr" xr:uid="{DD1AEC96-E60C-4B0B-B16F-564F0DBE8F14}" name="PivotTable19"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80:H81" firstHeaderRow="1" firstDataRow="1" firstDataCol="0" rowPageCount="2"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Units Proposed" fld="28" baseField="0" baseItem="0"/>
  </dataFields>
  <formats count="13">
    <format dxfId="1268">
      <pivotArea type="all" dataOnly="0" outline="0" fieldPosition="0"/>
    </format>
    <format dxfId="1267">
      <pivotArea type="all" dataOnly="0" outline="0" fieldPosition="0"/>
    </format>
    <format dxfId="1266">
      <pivotArea type="all" dataOnly="0" outline="0" fieldPosition="0"/>
    </format>
    <format dxfId="1265">
      <pivotArea type="all" dataOnly="0" outline="0" fieldPosition="0"/>
    </format>
    <format dxfId="1264">
      <pivotArea type="all" dataOnly="0" outline="0" fieldPosition="0"/>
    </format>
    <format dxfId="1263">
      <pivotArea type="all" dataOnly="0" outline="0" fieldPosition="0"/>
    </format>
    <format dxfId="1262">
      <pivotArea type="all" dataOnly="0" outline="0" fieldPosition="0"/>
    </format>
    <format dxfId="1261">
      <pivotArea type="all" dataOnly="0" outline="0" fieldPosition="0"/>
    </format>
    <format dxfId="1260">
      <pivotArea type="all" dataOnly="0" outline="0" fieldPosition="0"/>
    </format>
    <format dxfId="1259">
      <pivotArea type="all" dataOnly="0" outline="0" fieldPosition="0"/>
    </format>
    <format dxfId="1258">
      <pivotArea type="all" dataOnly="0" outline="0" fieldPosition="0"/>
    </format>
    <format dxfId="1257">
      <pivotArea outline="0" collapsedLevelsAreSubtotals="1" fieldPosition="0"/>
    </format>
    <format dxfId="125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1.xml><?xml version="1.0" encoding="utf-8"?>
<pivotTableDefinition xmlns="http://schemas.openxmlformats.org/spreadsheetml/2006/main" xmlns:mc="http://schemas.openxmlformats.org/markup-compatibility/2006" xmlns:xr="http://schemas.microsoft.com/office/spreadsheetml/2014/revision" mc:Ignorable="xr" xr:uid="{0459304B-2126-4796-9DF1-1F3342BF30B6}" name="PivotTable96" cacheId="2"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477:I480" firstHeaderRow="1" firstDataRow="1" firstDataCol="1" rowPageCount="1" colPageCount="1"/>
  <pivotFields count="58">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6">
        <item h="1" x="0"/>
        <item h="1" x="1"/>
        <item x="2"/>
        <item h="1" x="3"/>
        <item h="1" x="4"/>
        <item h="1" m="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 axis="axisRow" showAll="0">
      <items count="4">
        <item m="1" x="2"/>
        <item x="0"/>
        <item x="1"/>
        <item t="default"/>
      </items>
    </pivotField>
  </pivotFields>
  <rowFields count="1">
    <field x="57"/>
  </rowFields>
  <rowItems count="3">
    <i>
      <x v="1"/>
    </i>
    <i>
      <x v="2"/>
    </i>
    <i t="grand">
      <x/>
    </i>
  </rowItems>
  <colItems count="1">
    <i/>
  </colItems>
  <pageFields count="1">
    <pageField fld="7" hier="-1"/>
  </pageFields>
  <dataFields count="1">
    <dataField name="Sum of Units Proposed" fld="28" baseField="0" baseItem="0"/>
  </dataFields>
  <formats count="16">
    <format dxfId="1284">
      <pivotArea type="all" dataOnly="0" outline="0" fieldPosition="0"/>
    </format>
    <format dxfId="1283">
      <pivotArea type="all" dataOnly="0" outline="0" fieldPosition="0"/>
    </format>
    <format dxfId="1282">
      <pivotArea type="all" dataOnly="0" outline="0" fieldPosition="0"/>
    </format>
    <format dxfId="1281">
      <pivotArea type="all" dataOnly="0" outline="0" fieldPosition="0"/>
    </format>
    <format dxfId="1280">
      <pivotArea type="all" dataOnly="0" outline="0" fieldPosition="0"/>
    </format>
    <format dxfId="1279">
      <pivotArea type="all" dataOnly="0" outline="0" fieldPosition="0"/>
    </format>
    <format dxfId="1278">
      <pivotArea type="all" dataOnly="0" outline="0" fieldPosition="0"/>
    </format>
    <format dxfId="1277">
      <pivotArea type="all" dataOnly="0" outline="0" fieldPosition="0"/>
    </format>
    <format dxfId="1276">
      <pivotArea type="all" dataOnly="0" outline="0" fieldPosition="0"/>
    </format>
    <format dxfId="1275">
      <pivotArea type="all" dataOnly="0" outline="0" fieldPosition="0"/>
    </format>
    <format dxfId="1274">
      <pivotArea type="all" dataOnly="0" outline="0" fieldPosition="0"/>
    </format>
    <format dxfId="1273">
      <pivotArea outline="0" collapsedLevelsAreSubtotals="1" fieldPosition="0"/>
    </format>
    <format dxfId="1272">
      <pivotArea field="57" type="button" dataOnly="0" labelOnly="1" outline="0" axis="axisRow" fieldPosition="0"/>
    </format>
    <format dxfId="1271">
      <pivotArea dataOnly="0" labelOnly="1" fieldPosition="0">
        <references count="1">
          <reference field="57" count="0"/>
        </references>
      </pivotArea>
    </format>
    <format dxfId="1270">
      <pivotArea dataOnly="0" labelOnly="1" grandRow="1" outline="0" fieldPosition="0"/>
    </format>
    <format dxfId="126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2.xml><?xml version="1.0" encoding="utf-8"?>
<pivotTableDefinition xmlns="http://schemas.openxmlformats.org/spreadsheetml/2006/main" xmlns:mc="http://schemas.openxmlformats.org/markup-compatibility/2006" xmlns:xr="http://schemas.microsoft.com/office/spreadsheetml/2014/revision" mc:Ignorable="xr" xr:uid="{56558571-A52F-46C7-983E-19BEF1376684}" name="PivotTable94"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56:F57" firstHeaderRow="0" firstDataRow="1" firstDataCol="0" rowPageCount="2" colPageCount="1"/>
  <pivotFields count="57">
    <pivotField showAll="0" defaultSubtotal="0"/>
    <pivotField multipleItemSelectionAllowed="1" showAll="0" defaultSubtotal="0"/>
    <pivotField multipleItemSelectionAllowed="1" showAll="0" defaultSubtotal="0"/>
    <pivotField showAll="0"/>
    <pivotField showAll="0"/>
    <pivotField showAll="0" defaultSubtotal="0"/>
    <pivotField showAll="0" defaultSubtotal="0"/>
    <pivotField axis="axisPage" multipleItemSelectionAllowed="1" showAll="0" defaultSubtotal="0">
      <items count="5">
        <item h="1" x="0"/>
        <item h="1" x="1"/>
        <item h="1" x="2"/>
        <item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dataField="1" numFmtId="165" showAll="0"/>
    <pivotField dataField="1" numFmtId="165" showAll="0"/>
    <pivotField dataField="1" numFmtId="165" showAll="0"/>
    <pivotField dataField="1" numFmtId="165" showAll="0"/>
    <pivotField dataField="1" numFmtId="165" showAll="0"/>
    <pivotField axis="axisPage" multipleItemSelectionAllowed="1" showAll="0" defaultSubtotal="0">
      <items count="2">
        <item h="1" x="0"/>
        <item x="1"/>
      </items>
    </pivotField>
    <pivotField showAll="0"/>
    <pivotField showAll="0"/>
    <pivotField showAll="0"/>
    <pivotField showAll="0"/>
    <pivotField showAll="0"/>
    <pivotField showAll="0" defaultSubtotal="0"/>
    <pivotField showAll="0" defaultSubtotal="0"/>
    <pivotField showAll="0" defaultSubtotal="0"/>
    <pivotField showAll="0" defaultSubtotal="0"/>
    <pivotField showAll="0"/>
  </pivotFields>
  <rowItems count="1">
    <i/>
  </rowItems>
  <colFields count="1">
    <field x="-2"/>
  </colFields>
  <colItems count="5">
    <i>
      <x/>
    </i>
    <i i="1">
      <x v="1"/>
    </i>
    <i i="2">
      <x v="2"/>
    </i>
    <i i="3">
      <x v="3"/>
    </i>
    <i i="4">
      <x v="4"/>
    </i>
  </colItems>
  <pageFields count="2">
    <pageField fld="7" hier="-1"/>
    <pageField fld="46" hier="-1"/>
  </pageFields>
  <dataFields count="5">
    <dataField name="Sum of 2020/21 (1)" fld="41" baseField="0" baseItem="0"/>
    <dataField name="Sum of 2021/22 (2)" fld="42" baseField="0" baseItem="0"/>
    <dataField name="Sum of 2022/23 (3)" fld="43" baseField="0" baseItem="0"/>
    <dataField name="Sum of 2023/24 (4)" fld="44" baseField="0" baseItem="0"/>
    <dataField name="Sum of 2024/25 (5)" fld="45" baseField="0" baseItem="0"/>
  </dataFields>
  <formats count="14">
    <format dxfId="1298">
      <pivotArea type="all" dataOnly="0" outline="0" fieldPosition="0"/>
    </format>
    <format dxfId="1297">
      <pivotArea type="all" dataOnly="0" outline="0" fieldPosition="0"/>
    </format>
    <format dxfId="1296">
      <pivotArea type="all" dataOnly="0" outline="0" fieldPosition="0"/>
    </format>
    <format dxfId="1295">
      <pivotArea type="all" dataOnly="0" outline="0" fieldPosition="0"/>
    </format>
    <format dxfId="1294">
      <pivotArea type="all" dataOnly="0" outline="0" fieldPosition="0"/>
    </format>
    <format dxfId="1293">
      <pivotArea type="all" dataOnly="0" outline="0" fieldPosition="0"/>
    </format>
    <format dxfId="1292">
      <pivotArea type="all" dataOnly="0" outline="0" fieldPosition="0"/>
    </format>
    <format dxfId="1291">
      <pivotArea outline="0" collapsedLevelsAreSubtotals="1" fieldPosition="0"/>
    </format>
    <format dxfId="1290">
      <pivotArea type="all" dataOnly="0" outline="0" fieldPosition="0"/>
    </format>
    <format dxfId="1289">
      <pivotArea type="all" dataOnly="0" outline="0" fieldPosition="0"/>
    </format>
    <format dxfId="1288">
      <pivotArea type="all" dataOnly="0" outline="0" fieldPosition="0"/>
    </format>
    <format dxfId="1287">
      <pivotArea type="all" dataOnly="0" outline="0" fieldPosition="0"/>
    </format>
    <format dxfId="1286">
      <pivotArea outline="0" collapsedLevelsAreSubtotals="1" fieldPosition="0"/>
    </format>
    <format dxfId="1285">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3.xml><?xml version="1.0" encoding="utf-8"?>
<pivotTableDefinition xmlns="http://schemas.openxmlformats.org/spreadsheetml/2006/main" xmlns:mc="http://schemas.openxmlformats.org/markup-compatibility/2006" xmlns:xr="http://schemas.microsoft.com/office/spreadsheetml/2014/revision" mc:Ignorable="xr" xr:uid="{7A9EAC2C-02B5-41EC-BCCB-AC8C01E17301}" name="PivotTable13"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07:E108" firstHeaderRow="1" firstDataRow="1" firstDataCol="0" rowPageCount="1"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1">
    <pageField fld="7" hier="-1"/>
  </pageFields>
  <dataFields count="1">
    <dataField name="Sum of Net Dwellings" fld="37" baseField="0" baseItem="0"/>
  </dataFields>
  <formats count="13">
    <format dxfId="1311">
      <pivotArea type="all" dataOnly="0" outline="0" fieldPosition="0"/>
    </format>
    <format dxfId="1310">
      <pivotArea type="all" dataOnly="0" outline="0" fieldPosition="0"/>
    </format>
    <format dxfId="1309">
      <pivotArea type="all" dataOnly="0" outline="0" fieldPosition="0"/>
    </format>
    <format dxfId="1308">
      <pivotArea type="all" dataOnly="0" outline="0" fieldPosition="0"/>
    </format>
    <format dxfId="1307">
      <pivotArea type="all" dataOnly="0" outline="0" fieldPosition="0"/>
    </format>
    <format dxfId="1306">
      <pivotArea type="all" dataOnly="0" outline="0" fieldPosition="0"/>
    </format>
    <format dxfId="1305">
      <pivotArea type="all" dataOnly="0" outline="0" fieldPosition="0"/>
    </format>
    <format dxfId="1304">
      <pivotArea type="all" dataOnly="0" outline="0" fieldPosition="0"/>
    </format>
    <format dxfId="1303">
      <pivotArea type="all" dataOnly="0" outline="0" fieldPosition="0"/>
    </format>
    <format dxfId="1302">
      <pivotArea type="all" dataOnly="0" outline="0" fieldPosition="0"/>
    </format>
    <format dxfId="1301">
      <pivotArea type="all" dataOnly="0" outline="0" fieldPosition="0"/>
    </format>
    <format dxfId="1300">
      <pivotArea outline="0" collapsedLevelsAreSubtotals="1" fieldPosition="0"/>
    </format>
    <format dxfId="129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4.xml><?xml version="1.0" encoding="utf-8"?>
<pivotTableDefinition xmlns="http://schemas.openxmlformats.org/spreadsheetml/2006/main" xmlns:mc="http://schemas.openxmlformats.org/markup-compatibility/2006" xmlns:xr="http://schemas.microsoft.com/office/spreadsheetml/2014/revision" mc:Ignorable="xr" xr:uid="{1C194FB1-B265-4419-AE5D-81227F6B44D9}" name="PivotTable73"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279:C282" firstHeaderRow="1" firstDataRow="1" firstDataCol="1" rowPageCount="1"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axis="axisRow" showAll="0" defaultSubtotal="0">
      <items count="2">
        <item x="1"/>
        <item x="0"/>
      </items>
    </pivotField>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Fields count="1">
    <field x="38"/>
  </rowFields>
  <rowItems count="3">
    <i>
      <x/>
    </i>
    <i>
      <x v="1"/>
    </i>
    <i t="grand">
      <x/>
    </i>
  </rowItems>
  <colItems count="1">
    <i/>
  </colItems>
  <pageFields count="1">
    <pageField fld="7" hier="-1"/>
  </pageFields>
  <dataFields count="1">
    <dataField name="Sum of Net Dwellings" fld="37" baseField="0" baseItem="0"/>
  </dataFields>
  <formats count="16">
    <format dxfId="1327">
      <pivotArea type="all" dataOnly="0" outline="0" fieldPosition="0"/>
    </format>
    <format dxfId="1326">
      <pivotArea type="all" dataOnly="0" outline="0" fieldPosition="0"/>
    </format>
    <format dxfId="1325">
      <pivotArea type="all" dataOnly="0" outline="0" fieldPosition="0"/>
    </format>
    <format dxfId="1324">
      <pivotArea type="all" dataOnly="0" outline="0" fieldPosition="0"/>
    </format>
    <format dxfId="1323">
      <pivotArea type="all" dataOnly="0" outline="0" fieldPosition="0"/>
    </format>
    <format dxfId="1322">
      <pivotArea type="all" dataOnly="0" outline="0" fieldPosition="0"/>
    </format>
    <format dxfId="1321">
      <pivotArea type="all" dataOnly="0" outline="0" fieldPosition="0"/>
    </format>
    <format dxfId="1320">
      <pivotArea type="all" dataOnly="0" outline="0" fieldPosition="0"/>
    </format>
    <format dxfId="1319">
      <pivotArea type="all" dataOnly="0" outline="0" fieldPosition="0"/>
    </format>
    <format dxfId="1318">
      <pivotArea type="all" dataOnly="0" outline="0" fieldPosition="0"/>
    </format>
    <format dxfId="1317">
      <pivotArea type="all" dataOnly="0" outline="0" fieldPosition="0"/>
    </format>
    <format dxfId="1316">
      <pivotArea outline="0" collapsedLevelsAreSubtotals="1" fieldPosition="0"/>
    </format>
    <format dxfId="1315">
      <pivotArea field="38" type="button" dataOnly="0" labelOnly="1" outline="0" axis="axisRow" fieldPosition="0"/>
    </format>
    <format dxfId="1314">
      <pivotArea dataOnly="0" labelOnly="1" fieldPosition="0">
        <references count="1">
          <reference field="38" count="0"/>
        </references>
      </pivotArea>
    </format>
    <format dxfId="1313">
      <pivotArea dataOnly="0" labelOnly="1" grandRow="1" outline="0" fieldPosition="0"/>
    </format>
    <format dxfId="131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5.xml><?xml version="1.0" encoding="utf-8"?>
<pivotTableDefinition xmlns="http://schemas.openxmlformats.org/spreadsheetml/2006/main" xmlns:mc="http://schemas.openxmlformats.org/markup-compatibility/2006" xmlns:xr="http://schemas.microsoft.com/office/spreadsheetml/2014/revision" mc:Ignorable="xr" xr:uid="{0677B0C2-BC97-48A4-B290-8FCEBC527AB9}" name="PivotTable46"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213:E214" firstHeaderRow="1" firstDataRow="1" firstDataCol="0" rowPageCount="3" colPageCount="1"/>
  <pivotFields count="57">
    <pivotField showAll="0" defaultSubtotal="0"/>
    <pivotField axis="axisPage" multipleItemSelectionAllowed="1" showAll="0" defaultSubtotal="0">
      <items count="6">
        <item h="1" x="3"/>
        <item h="1" x="0"/>
        <item h="1" x="2"/>
        <item x="4"/>
        <item x="1"/>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7">
        <item h="1" x="1"/>
        <item x="2"/>
        <item h="1" x="0"/>
        <item h="1" x="5"/>
        <item h="1" x="6"/>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28" baseField="0" baseItem="0"/>
  </dataFields>
  <formats count="13">
    <format dxfId="1340">
      <pivotArea type="all" dataOnly="0" outline="0" fieldPosition="0"/>
    </format>
    <format dxfId="1339">
      <pivotArea type="all" dataOnly="0" outline="0" fieldPosition="0"/>
    </format>
    <format dxfId="1338">
      <pivotArea type="all" dataOnly="0" outline="0" fieldPosition="0"/>
    </format>
    <format dxfId="1337">
      <pivotArea type="all" dataOnly="0" outline="0" fieldPosition="0"/>
    </format>
    <format dxfId="1336">
      <pivotArea type="all" dataOnly="0" outline="0" fieldPosition="0"/>
    </format>
    <format dxfId="1335">
      <pivotArea type="all" dataOnly="0" outline="0" fieldPosition="0"/>
    </format>
    <format dxfId="1334">
      <pivotArea type="all" dataOnly="0" outline="0" fieldPosition="0"/>
    </format>
    <format dxfId="1333">
      <pivotArea type="all" dataOnly="0" outline="0" fieldPosition="0"/>
    </format>
    <format dxfId="1332">
      <pivotArea type="all" dataOnly="0" outline="0" fieldPosition="0"/>
    </format>
    <format dxfId="1331">
      <pivotArea type="all" dataOnly="0" outline="0" fieldPosition="0"/>
    </format>
    <format dxfId="1330">
      <pivotArea type="all" dataOnly="0" outline="0" fieldPosition="0"/>
    </format>
    <format dxfId="1329">
      <pivotArea outline="0" collapsedLevelsAreSubtotals="1" fieldPosition="0"/>
    </format>
    <format dxfId="132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6.xml><?xml version="1.0" encoding="utf-8"?>
<pivotTableDefinition xmlns="http://schemas.openxmlformats.org/spreadsheetml/2006/main" xmlns:mc="http://schemas.openxmlformats.org/markup-compatibility/2006" xmlns:xr="http://schemas.microsoft.com/office/spreadsheetml/2014/revision" mc:Ignorable="xr" xr:uid="{6BB1FEF2-91CE-4DB7-9857-4D32F56BB7C2}" name="PivotTable87"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403:F420" firstHeaderRow="1" firstDataRow="1" firstDataCol="1" rowPageCount="3" colPageCount="1"/>
  <pivotFields count="57">
    <pivotField showAll="0" defaultSubtotal="0"/>
    <pivotField axis="axisPage" multipleItemSelectionAllowed="1" showAll="0" defaultSubtotal="0">
      <items count="6">
        <item h="1" x="3"/>
        <item h="1" x="0"/>
        <item h="1" x="2"/>
        <item x="4"/>
        <item x="1"/>
        <item x="5"/>
      </items>
    </pivotField>
    <pivotField axis="axisPage" multipleItemSelectionAllowed="1" showAll="0" defaultSubtotal="0">
      <items count="3">
        <item h="1" x="1"/>
        <item x="0"/>
        <item h="1" x="2"/>
      </items>
    </pivotField>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axis="axisRow" showAll="0" defaultSubtotal="0">
      <items count="19">
        <item x="14"/>
        <item x="6"/>
        <item x="5"/>
        <item x="7"/>
        <item x="8"/>
        <item x="13"/>
        <item x="9"/>
        <item x="0"/>
        <item x="10"/>
        <item x="11"/>
        <item x="16"/>
        <item x="12"/>
        <item x="17"/>
        <item x="3"/>
        <item x="2"/>
        <item x="4"/>
        <item x="1"/>
        <item x="15"/>
        <item x="18"/>
      </items>
    </pivotField>
    <pivotField showAll="0" defaultSubtotal="0"/>
    <pivotField showAll="0" defaultSubtotal="0"/>
    <pivotField showAll="0" defaultSubtotal="0"/>
    <pivotField showAll="0"/>
  </pivotFields>
  <rowFields count="1">
    <field x="52"/>
  </rowFields>
  <rowItems count="17">
    <i>
      <x/>
    </i>
    <i>
      <x v="1"/>
    </i>
    <i>
      <x v="2"/>
    </i>
    <i>
      <x v="3"/>
    </i>
    <i>
      <x v="4"/>
    </i>
    <i>
      <x v="5"/>
    </i>
    <i>
      <x v="6"/>
    </i>
    <i>
      <x v="8"/>
    </i>
    <i>
      <x v="9"/>
    </i>
    <i>
      <x v="10"/>
    </i>
    <i>
      <x v="11"/>
    </i>
    <i>
      <x v="12"/>
    </i>
    <i>
      <x v="14"/>
    </i>
    <i>
      <x v="15"/>
    </i>
    <i>
      <x v="16"/>
    </i>
    <i>
      <x v="17"/>
    </i>
    <i t="grand">
      <x/>
    </i>
  </rowItems>
  <colItems count="1">
    <i/>
  </colItems>
  <pageFields count="3">
    <pageField fld="7" hier="-1"/>
    <pageField fld="2" hier="-1"/>
    <pageField fld="1" hier="-1"/>
  </pageFields>
  <dataFields count="1">
    <dataField name="Sum of Net Dwellings" fld="37" baseField="0" baseItem="0"/>
  </dataFields>
  <formats count="22">
    <format dxfId="1362">
      <pivotArea type="all" dataOnly="0" outline="0" fieldPosition="0"/>
    </format>
    <format dxfId="1361">
      <pivotArea type="all" dataOnly="0" outline="0" fieldPosition="0"/>
    </format>
    <format dxfId="1360">
      <pivotArea type="all" dataOnly="0" outline="0" fieldPosition="0"/>
    </format>
    <format dxfId="1359">
      <pivotArea type="all" dataOnly="0" outline="0" fieldPosition="0"/>
    </format>
    <format dxfId="1358">
      <pivotArea type="all" dataOnly="0" outline="0" fieldPosition="0"/>
    </format>
    <format dxfId="1357">
      <pivotArea type="all" dataOnly="0" outline="0" fieldPosition="0"/>
    </format>
    <format dxfId="1356">
      <pivotArea type="all" dataOnly="0" outline="0" fieldPosition="0"/>
    </format>
    <format dxfId="1355">
      <pivotArea field="52" type="button" dataOnly="0" labelOnly="1" outline="0" axis="axisRow" fieldPosition="0"/>
    </format>
    <format dxfId="1354">
      <pivotArea dataOnly="0" labelOnly="1" outline="0" fieldPosition="0">
        <references count="1">
          <reference field="4294967294" count="1">
            <x v="0"/>
          </reference>
        </references>
      </pivotArea>
    </format>
    <format dxfId="1353">
      <pivotArea field="52" type="button" dataOnly="0" labelOnly="1" outline="0" axis="axisRow" fieldPosition="0"/>
    </format>
    <format dxfId="1352">
      <pivotArea dataOnly="0" labelOnly="1" outline="0" fieldPosition="0">
        <references count="1">
          <reference field="4294967294" count="1">
            <x v="0"/>
          </reference>
        </references>
      </pivotArea>
    </format>
    <format dxfId="1351">
      <pivotArea field="52" type="button" dataOnly="0" labelOnly="1" outline="0" axis="axisRow" fieldPosition="0"/>
    </format>
    <format dxfId="1350">
      <pivotArea dataOnly="0" labelOnly="1" outline="0" fieldPosition="0">
        <references count="1">
          <reference field="4294967294" count="1">
            <x v="0"/>
          </reference>
        </references>
      </pivotArea>
    </format>
    <format dxfId="1349">
      <pivotArea type="all" dataOnly="0" outline="0" fieldPosition="0"/>
    </format>
    <format dxfId="1348">
      <pivotArea type="all" dataOnly="0" outline="0" fieldPosition="0"/>
    </format>
    <format dxfId="1347">
      <pivotArea type="all" dataOnly="0" outline="0" fieldPosition="0"/>
    </format>
    <format dxfId="1346">
      <pivotArea type="all" dataOnly="0" outline="0" fieldPosition="0"/>
    </format>
    <format dxfId="1345">
      <pivotArea outline="0" collapsedLevelsAreSubtotals="1" fieldPosition="0"/>
    </format>
    <format dxfId="1344">
      <pivotArea field="52" type="button" dataOnly="0" labelOnly="1" outline="0" axis="axisRow" fieldPosition="0"/>
    </format>
    <format dxfId="1343">
      <pivotArea dataOnly="0" labelOnly="1" fieldPosition="0">
        <references count="1">
          <reference field="52" count="16">
            <x v="0"/>
            <x v="1"/>
            <x v="2"/>
            <x v="3"/>
            <x v="4"/>
            <x v="5"/>
            <x v="6"/>
            <x v="8"/>
            <x v="9"/>
            <x v="10"/>
            <x v="11"/>
            <x v="12"/>
            <x v="14"/>
            <x v="15"/>
            <x v="16"/>
            <x v="17"/>
          </reference>
        </references>
      </pivotArea>
    </format>
    <format dxfId="1342">
      <pivotArea dataOnly="0" labelOnly="1" grandRow="1" outline="0" fieldPosition="0"/>
    </format>
    <format dxfId="134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7.xml><?xml version="1.0" encoding="utf-8"?>
<pivotTableDefinition xmlns="http://schemas.openxmlformats.org/spreadsheetml/2006/main" xmlns:mc="http://schemas.openxmlformats.org/markup-compatibility/2006" xmlns:xr="http://schemas.microsoft.com/office/spreadsheetml/2014/revision" mc:Ignorable="xr" xr:uid="{666F4DA6-56BE-49C8-83C2-9C02E79C169C}" name="PivotTable79"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307:F326" firstHeaderRow="1" firstDataRow="1" firstDataCol="1" rowPageCount="1"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axis="axisRow" showAll="0" defaultSubtotal="0">
      <items count="19">
        <item x="14"/>
        <item x="6"/>
        <item x="5"/>
        <item x="7"/>
        <item x="8"/>
        <item x="13"/>
        <item x="9"/>
        <item x="0"/>
        <item x="10"/>
        <item x="11"/>
        <item x="16"/>
        <item x="12"/>
        <item x="17"/>
        <item x="3"/>
        <item x="2"/>
        <item x="4"/>
        <item x="1"/>
        <item x="15"/>
        <item x="18"/>
      </items>
    </pivotField>
    <pivotField showAll="0" defaultSubtotal="0"/>
    <pivotField showAll="0" defaultSubtotal="0"/>
    <pivotField showAll="0" defaultSubtotal="0"/>
    <pivotField showAll="0"/>
  </pivotFields>
  <rowFields count="1">
    <field x="52"/>
  </rowFields>
  <rowItems count="19">
    <i>
      <x/>
    </i>
    <i>
      <x v="1"/>
    </i>
    <i>
      <x v="2"/>
    </i>
    <i>
      <x v="3"/>
    </i>
    <i>
      <x v="4"/>
    </i>
    <i>
      <x v="5"/>
    </i>
    <i>
      <x v="6"/>
    </i>
    <i>
      <x v="7"/>
    </i>
    <i>
      <x v="8"/>
    </i>
    <i>
      <x v="9"/>
    </i>
    <i>
      <x v="10"/>
    </i>
    <i>
      <x v="11"/>
    </i>
    <i>
      <x v="12"/>
    </i>
    <i>
      <x v="13"/>
    </i>
    <i>
      <x v="14"/>
    </i>
    <i>
      <x v="15"/>
    </i>
    <i>
      <x v="16"/>
    </i>
    <i>
      <x v="17"/>
    </i>
    <i t="grand">
      <x/>
    </i>
  </rowItems>
  <colItems count="1">
    <i/>
  </colItems>
  <pageFields count="1">
    <pageField fld="7" hier="-1"/>
  </pageFields>
  <dataFields count="1">
    <dataField name="Sum of Net Dwellings" fld="37" baseField="0" baseItem="0"/>
  </dataFields>
  <formats count="16">
    <format dxfId="1378">
      <pivotArea type="all" dataOnly="0" outline="0" fieldPosition="0"/>
    </format>
    <format dxfId="1377">
      <pivotArea type="all" dataOnly="0" outline="0" fieldPosition="0"/>
    </format>
    <format dxfId="1376">
      <pivotArea type="all" dataOnly="0" outline="0" fieldPosition="0"/>
    </format>
    <format dxfId="1375">
      <pivotArea type="all" dataOnly="0" outline="0" fieldPosition="0"/>
    </format>
    <format dxfId="1374">
      <pivotArea type="all" dataOnly="0" outline="0" fieldPosition="0"/>
    </format>
    <format dxfId="1373">
      <pivotArea type="all" dataOnly="0" outline="0" fieldPosition="0"/>
    </format>
    <format dxfId="1372">
      <pivotArea type="all" dataOnly="0" outline="0" fieldPosition="0"/>
    </format>
    <format dxfId="1371">
      <pivotArea type="all" dataOnly="0" outline="0" fieldPosition="0"/>
    </format>
    <format dxfId="1370">
      <pivotArea type="all" dataOnly="0" outline="0" fieldPosition="0"/>
    </format>
    <format dxfId="1369">
      <pivotArea type="all" dataOnly="0" outline="0" fieldPosition="0"/>
    </format>
    <format dxfId="1368">
      <pivotArea type="all" dataOnly="0" outline="0" fieldPosition="0"/>
    </format>
    <format dxfId="1367">
      <pivotArea outline="0" collapsedLevelsAreSubtotals="1" fieldPosition="0"/>
    </format>
    <format dxfId="1366">
      <pivotArea field="52" type="button" dataOnly="0" labelOnly="1" outline="0" axis="axisRow" fieldPosition="0"/>
    </format>
    <format dxfId="1365">
      <pivotArea dataOnly="0" labelOnly="1" fieldPosition="0">
        <references count="1">
          <reference field="52" count="18">
            <x v="0"/>
            <x v="1"/>
            <x v="2"/>
            <x v="3"/>
            <x v="4"/>
            <x v="5"/>
            <x v="6"/>
            <x v="7"/>
            <x v="8"/>
            <x v="9"/>
            <x v="10"/>
            <x v="11"/>
            <x v="12"/>
            <x v="13"/>
            <x v="14"/>
            <x v="15"/>
            <x v="16"/>
            <x v="17"/>
          </reference>
        </references>
      </pivotArea>
    </format>
    <format dxfId="1364">
      <pivotArea dataOnly="0" labelOnly="1" grandRow="1" outline="0" fieldPosition="0"/>
    </format>
    <format dxfId="136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8.xml><?xml version="1.0" encoding="utf-8"?>
<pivotTableDefinition xmlns="http://schemas.openxmlformats.org/spreadsheetml/2006/main" xmlns:mc="http://schemas.openxmlformats.org/markup-compatibility/2006" xmlns:xr="http://schemas.microsoft.com/office/spreadsheetml/2014/revision" mc:Ignorable="xr" xr:uid="{6769FBF7-5981-42AC-A617-2C14B806F420}" name="PivotTable84"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K403:L420" firstHeaderRow="1" firstDataRow="1" firstDataCol="1" rowPageCount="3" colPageCount="1"/>
  <pivotFields count="57">
    <pivotField showAll="0" defaultSubtotal="0"/>
    <pivotField axis="axisPage" multipleItemSelectionAllowed="1" showAll="0" defaultSubtotal="0">
      <items count="6">
        <item x="3"/>
        <item x="0"/>
        <item x="2"/>
        <item h="1" x="4"/>
        <item h="1" x="1"/>
        <item h="1" x="5"/>
      </items>
    </pivotField>
    <pivotField axis="axisPage" multipleItemSelectionAllowed="1" showAll="0" defaultSubtotal="0">
      <items count="3">
        <item h="1" x="1"/>
        <item x="0"/>
        <item h="1" x="2"/>
      </items>
    </pivotField>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numFmtId="165" showAll="0"/>
    <pivotField numFmtId="165" showAll="0"/>
    <pivotField numFmtId="165" showAll="0"/>
    <pivotField numFmtId="165" showAll="0"/>
    <pivotField numFmtId="165" showAll="0"/>
    <pivotField numFmtId="165" showAll="0"/>
    <pivotField numFmtId="165" showAll="0"/>
    <pivotField showAll="0" defaultSubtotal="0"/>
    <pivotField numFmtId="165" showAll="0"/>
    <pivotField numFmtId="165" showAll="0"/>
    <pivotField numFmtId="165" showAll="0"/>
    <pivotField numFmtId="165" showAll="0"/>
    <pivotField numFmtId="165" showAll="0"/>
    <pivotField axis="axisRow" showAll="0" defaultSubtotal="0">
      <items count="19">
        <item x="14"/>
        <item x="6"/>
        <item x="5"/>
        <item x="7"/>
        <item x="8"/>
        <item x="13"/>
        <item x="9"/>
        <item x="0"/>
        <item x="10"/>
        <item x="11"/>
        <item x="16"/>
        <item x="12"/>
        <item x="17"/>
        <item x="3"/>
        <item x="2"/>
        <item x="4"/>
        <item x="1"/>
        <item x="15"/>
        <item x="18"/>
      </items>
    </pivotField>
    <pivotField showAll="0" defaultSubtotal="0"/>
    <pivotField showAll="0" defaultSubtotal="0"/>
    <pivotField showAll="0" defaultSubtotal="0"/>
    <pivotField showAll="0"/>
  </pivotFields>
  <rowFields count="1">
    <field x="52"/>
  </rowFields>
  <rowItems count="17">
    <i>
      <x/>
    </i>
    <i>
      <x v="1"/>
    </i>
    <i>
      <x v="2"/>
    </i>
    <i>
      <x v="3"/>
    </i>
    <i>
      <x v="4"/>
    </i>
    <i>
      <x v="6"/>
    </i>
    <i>
      <x v="8"/>
    </i>
    <i>
      <x v="9"/>
    </i>
    <i>
      <x v="10"/>
    </i>
    <i>
      <x v="11"/>
    </i>
    <i>
      <x v="12"/>
    </i>
    <i>
      <x v="13"/>
    </i>
    <i>
      <x v="14"/>
    </i>
    <i>
      <x v="15"/>
    </i>
    <i>
      <x v="16"/>
    </i>
    <i>
      <x v="17"/>
    </i>
    <i t="grand">
      <x/>
    </i>
  </rowItems>
  <colItems count="1">
    <i/>
  </colItems>
  <pageFields count="3">
    <pageField fld="7" hier="-1"/>
    <pageField fld="2" hier="-1"/>
    <pageField fld="1" hier="-1"/>
  </pageFields>
  <dataFields count="1">
    <dataField name="Sum of Net Dwellings" fld="37" baseField="0" baseItem="0"/>
  </dataFields>
  <formats count="22">
    <format dxfId="1400">
      <pivotArea type="all" dataOnly="0" outline="0" fieldPosition="0"/>
    </format>
    <format dxfId="1399">
      <pivotArea type="all" dataOnly="0" outline="0" fieldPosition="0"/>
    </format>
    <format dxfId="1398">
      <pivotArea type="all" dataOnly="0" outline="0" fieldPosition="0"/>
    </format>
    <format dxfId="1397">
      <pivotArea type="all" dataOnly="0" outline="0" fieldPosition="0"/>
    </format>
    <format dxfId="1396">
      <pivotArea type="all" dataOnly="0" outline="0" fieldPosition="0"/>
    </format>
    <format dxfId="1395">
      <pivotArea type="all" dataOnly="0" outline="0" fieldPosition="0"/>
    </format>
    <format dxfId="1394">
      <pivotArea type="all" dataOnly="0" outline="0" fieldPosition="0"/>
    </format>
    <format dxfId="1393">
      <pivotArea field="52" type="button" dataOnly="0" labelOnly="1" outline="0" axis="axisRow" fieldPosition="0"/>
    </format>
    <format dxfId="1392">
      <pivotArea dataOnly="0" labelOnly="1" outline="0" fieldPosition="0">
        <references count="1">
          <reference field="4294967294" count="1">
            <x v="0"/>
          </reference>
        </references>
      </pivotArea>
    </format>
    <format dxfId="1391">
      <pivotArea field="52" type="button" dataOnly="0" labelOnly="1" outline="0" axis="axisRow" fieldPosition="0"/>
    </format>
    <format dxfId="1390">
      <pivotArea dataOnly="0" labelOnly="1" outline="0" fieldPosition="0">
        <references count="1">
          <reference field="4294967294" count="1">
            <x v="0"/>
          </reference>
        </references>
      </pivotArea>
    </format>
    <format dxfId="1389">
      <pivotArea field="52" type="button" dataOnly="0" labelOnly="1" outline="0" axis="axisRow" fieldPosition="0"/>
    </format>
    <format dxfId="1388">
      <pivotArea dataOnly="0" labelOnly="1" outline="0" fieldPosition="0">
        <references count="1">
          <reference field="4294967294" count="1">
            <x v="0"/>
          </reference>
        </references>
      </pivotArea>
    </format>
    <format dxfId="1387">
      <pivotArea type="all" dataOnly="0" outline="0" fieldPosition="0"/>
    </format>
    <format dxfId="1386">
      <pivotArea type="all" dataOnly="0" outline="0" fieldPosition="0"/>
    </format>
    <format dxfId="1385">
      <pivotArea type="all" dataOnly="0" outline="0" fieldPosition="0"/>
    </format>
    <format dxfId="1384">
      <pivotArea type="all" dataOnly="0" outline="0" fieldPosition="0"/>
    </format>
    <format dxfId="1383">
      <pivotArea outline="0" collapsedLevelsAreSubtotals="1" fieldPosition="0"/>
    </format>
    <format dxfId="1382">
      <pivotArea field="52" type="button" dataOnly="0" labelOnly="1" outline="0" axis="axisRow" fieldPosition="0"/>
    </format>
    <format dxfId="1381">
      <pivotArea dataOnly="0" labelOnly="1" fieldPosition="0">
        <references count="1">
          <reference field="52" count="16">
            <x v="0"/>
            <x v="1"/>
            <x v="2"/>
            <x v="3"/>
            <x v="4"/>
            <x v="6"/>
            <x v="8"/>
            <x v="9"/>
            <x v="10"/>
            <x v="11"/>
            <x v="12"/>
            <x v="13"/>
            <x v="14"/>
            <x v="15"/>
            <x v="16"/>
            <x v="17"/>
          </reference>
        </references>
      </pivotArea>
    </format>
    <format dxfId="1380">
      <pivotArea dataOnly="0" labelOnly="1" grandRow="1" outline="0" fieldPosition="0"/>
    </format>
    <format dxfId="137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pivotTable" Target="../pivotTables/pivotTable26.xml"/><Relationship Id="rId21" Type="http://schemas.openxmlformats.org/officeDocument/2006/relationships/pivotTable" Target="../pivotTables/pivotTable21.xml"/><Relationship Id="rId34" Type="http://schemas.openxmlformats.org/officeDocument/2006/relationships/pivotTable" Target="../pivotTables/pivotTable34.xml"/><Relationship Id="rId42" Type="http://schemas.openxmlformats.org/officeDocument/2006/relationships/pivotTable" Target="../pivotTables/pivotTable42.xml"/><Relationship Id="rId47" Type="http://schemas.openxmlformats.org/officeDocument/2006/relationships/pivotTable" Target="../pivotTables/pivotTable47.xml"/><Relationship Id="rId50" Type="http://schemas.openxmlformats.org/officeDocument/2006/relationships/pivotTable" Target="../pivotTables/pivotTable50.xml"/><Relationship Id="rId55" Type="http://schemas.openxmlformats.org/officeDocument/2006/relationships/pivotTable" Target="../pivotTables/pivotTable55.xml"/><Relationship Id="rId63" Type="http://schemas.openxmlformats.org/officeDocument/2006/relationships/pivotTable" Target="../pivotTables/pivotTable63.xml"/><Relationship Id="rId68" Type="http://schemas.openxmlformats.org/officeDocument/2006/relationships/pivotTable" Target="../pivotTables/pivotTable68.xml"/><Relationship Id="rId76" Type="http://schemas.openxmlformats.org/officeDocument/2006/relationships/pivotTable" Target="../pivotTables/pivotTable76.xml"/><Relationship Id="rId84" Type="http://schemas.openxmlformats.org/officeDocument/2006/relationships/pivotTable" Target="../pivotTables/pivotTable84.xml"/><Relationship Id="rId89" Type="http://schemas.openxmlformats.org/officeDocument/2006/relationships/pivotTable" Target="../pivotTables/pivotTable89.xml"/><Relationship Id="rId97" Type="http://schemas.openxmlformats.org/officeDocument/2006/relationships/pivotTable" Target="../pivotTables/pivotTable97.xml"/><Relationship Id="rId7" Type="http://schemas.openxmlformats.org/officeDocument/2006/relationships/pivotTable" Target="../pivotTables/pivotTable7.xml"/><Relationship Id="rId71" Type="http://schemas.openxmlformats.org/officeDocument/2006/relationships/pivotTable" Target="../pivotTables/pivotTable71.xml"/><Relationship Id="rId92" Type="http://schemas.openxmlformats.org/officeDocument/2006/relationships/pivotTable" Target="../pivotTables/pivotTable92.xml"/><Relationship Id="rId2" Type="http://schemas.openxmlformats.org/officeDocument/2006/relationships/pivotTable" Target="../pivotTables/pivotTable2.xml"/><Relationship Id="rId16" Type="http://schemas.openxmlformats.org/officeDocument/2006/relationships/pivotTable" Target="../pivotTables/pivotTable16.xml"/><Relationship Id="rId29" Type="http://schemas.openxmlformats.org/officeDocument/2006/relationships/pivotTable" Target="../pivotTables/pivotTable29.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37" Type="http://schemas.openxmlformats.org/officeDocument/2006/relationships/pivotTable" Target="../pivotTables/pivotTable37.xml"/><Relationship Id="rId40" Type="http://schemas.openxmlformats.org/officeDocument/2006/relationships/pivotTable" Target="../pivotTables/pivotTable40.xml"/><Relationship Id="rId45" Type="http://schemas.openxmlformats.org/officeDocument/2006/relationships/pivotTable" Target="../pivotTables/pivotTable45.xml"/><Relationship Id="rId53" Type="http://schemas.openxmlformats.org/officeDocument/2006/relationships/pivotTable" Target="../pivotTables/pivotTable53.xml"/><Relationship Id="rId58" Type="http://schemas.openxmlformats.org/officeDocument/2006/relationships/pivotTable" Target="../pivotTables/pivotTable58.xml"/><Relationship Id="rId66" Type="http://schemas.openxmlformats.org/officeDocument/2006/relationships/pivotTable" Target="../pivotTables/pivotTable66.xml"/><Relationship Id="rId74" Type="http://schemas.openxmlformats.org/officeDocument/2006/relationships/pivotTable" Target="../pivotTables/pivotTable74.xml"/><Relationship Id="rId79" Type="http://schemas.openxmlformats.org/officeDocument/2006/relationships/pivotTable" Target="../pivotTables/pivotTable79.xml"/><Relationship Id="rId87" Type="http://schemas.openxmlformats.org/officeDocument/2006/relationships/pivotTable" Target="../pivotTables/pivotTable87.xml"/><Relationship Id="rId5" Type="http://schemas.openxmlformats.org/officeDocument/2006/relationships/pivotTable" Target="../pivotTables/pivotTable5.xml"/><Relationship Id="rId61" Type="http://schemas.openxmlformats.org/officeDocument/2006/relationships/pivotTable" Target="../pivotTables/pivotTable61.xml"/><Relationship Id="rId82" Type="http://schemas.openxmlformats.org/officeDocument/2006/relationships/pivotTable" Target="../pivotTables/pivotTable82.xml"/><Relationship Id="rId90" Type="http://schemas.openxmlformats.org/officeDocument/2006/relationships/pivotTable" Target="../pivotTables/pivotTable90.xml"/><Relationship Id="rId95" Type="http://schemas.openxmlformats.org/officeDocument/2006/relationships/pivotTable" Target="../pivotTables/pivotTable95.xml"/><Relationship Id="rId19" Type="http://schemas.openxmlformats.org/officeDocument/2006/relationships/pivotTable" Target="../pivotTables/pivotTable1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43" Type="http://schemas.openxmlformats.org/officeDocument/2006/relationships/pivotTable" Target="../pivotTables/pivotTable43.xml"/><Relationship Id="rId48" Type="http://schemas.openxmlformats.org/officeDocument/2006/relationships/pivotTable" Target="../pivotTables/pivotTable48.xml"/><Relationship Id="rId56" Type="http://schemas.openxmlformats.org/officeDocument/2006/relationships/pivotTable" Target="../pivotTables/pivotTable56.xml"/><Relationship Id="rId64" Type="http://schemas.openxmlformats.org/officeDocument/2006/relationships/pivotTable" Target="../pivotTables/pivotTable64.xml"/><Relationship Id="rId69" Type="http://schemas.openxmlformats.org/officeDocument/2006/relationships/pivotTable" Target="../pivotTables/pivotTable69.xml"/><Relationship Id="rId77" Type="http://schemas.openxmlformats.org/officeDocument/2006/relationships/pivotTable" Target="../pivotTables/pivotTable77.xml"/><Relationship Id="rId8" Type="http://schemas.openxmlformats.org/officeDocument/2006/relationships/pivotTable" Target="../pivotTables/pivotTable8.xml"/><Relationship Id="rId51" Type="http://schemas.openxmlformats.org/officeDocument/2006/relationships/pivotTable" Target="../pivotTables/pivotTable51.xml"/><Relationship Id="rId72" Type="http://schemas.openxmlformats.org/officeDocument/2006/relationships/pivotTable" Target="../pivotTables/pivotTable72.xml"/><Relationship Id="rId80" Type="http://schemas.openxmlformats.org/officeDocument/2006/relationships/pivotTable" Target="../pivotTables/pivotTable80.xml"/><Relationship Id="rId85" Type="http://schemas.openxmlformats.org/officeDocument/2006/relationships/pivotTable" Target="../pivotTables/pivotTable85.xml"/><Relationship Id="rId93" Type="http://schemas.openxmlformats.org/officeDocument/2006/relationships/pivotTable" Target="../pivotTables/pivotTable93.xml"/><Relationship Id="rId98" Type="http://schemas.openxmlformats.org/officeDocument/2006/relationships/pivotTable" Target="../pivotTables/pivotTable98.xml"/><Relationship Id="rId3" Type="http://schemas.openxmlformats.org/officeDocument/2006/relationships/pivotTable" Target="../pivotTables/pivotTable3.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46" Type="http://schemas.openxmlformats.org/officeDocument/2006/relationships/pivotTable" Target="../pivotTables/pivotTable46.xml"/><Relationship Id="rId59" Type="http://schemas.openxmlformats.org/officeDocument/2006/relationships/pivotTable" Target="../pivotTables/pivotTable59.xml"/><Relationship Id="rId67" Type="http://schemas.openxmlformats.org/officeDocument/2006/relationships/pivotTable" Target="../pivotTables/pivotTable67.xml"/><Relationship Id="rId20" Type="http://schemas.openxmlformats.org/officeDocument/2006/relationships/pivotTable" Target="../pivotTables/pivotTable20.xml"/><Relationship Id="rId41" Type="http://schemas.openxmlformats.org/officeDocument/2006/relationships/pivotTable" Target="../pivotTables/pivotTable41.xml"/><Relationship Id="rId54" Type="http://schemas.openxmlformats.org/officeDocument/2006/relationships/pivotTable" Target="../pivotTables/pivotTable54.xml"/><Relationship Id="rId62" Type="http://schemas.openxmlformats.org/officeDocument/2006/relationships/pivotTable" Target="../pivotTables/pivotTable62.xml"/><Relationship Id="rId70" Type="http://schemas.openxmlformats.org/officeDocument/2006/relationships/pivotTable" Target="../pivotTables/pivotTable70.xml"/><Relationship Id="rId75" Type="http://schemas.openxmlformats.org/officeDocument/2006/relationships/pivotTable" Target="../pivotTables/pivotTable75.xml"/><Relationship Id="rId83" Type="http://schemas.openxmlformats.org/officeDocument/2006/relationships/pivotTable" Target="../pivotTables/pivotTable83.xml"/><Relationship Id="rId88" Type="http://schemas.openxmlformats.org/officeDocument/2006/relationships/pivotTable" Target="../pivotTables/pivotTable88.xml"/><Relationship Id="rId91" Type="http://schemas.openxmlformats.org/officeDocument/2006/relationships/pivotTable" Target="../pivotTables/pivotTable91.xml"/><Relationship Id="rId96" Type="http://schemas.openxmlformats.org/officeDocument/2006/relationships/pivotTable" Target="../pivotTables/pivotTable96.xml"/><Relationship Id="rId1" Type="http://schemas.openxmlformats.org/officeDocument/2006/relationships/pivotTable" Target="../pivotTables/pivotTable1.xml"/><Relationship Id="rId6" Type="http://schemas.openxmlformats.org/officeDocument/2006/relationships/pivotTable" Target="../pivotTables/pivotTable6.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49" Type="http://schemas.openxmlformats.org/officeDocument/2006/relationships/pivotTable" Target="../pivotTables/pivotTable49.xml"/><Relationship Id="rId57" Type="http://schemas.openxmlformats.org/officeDocument/2006/relationships/pivotTable" Target="../pivotTables/pivotTable57.xml"/><Relationship Id="rId10" Type="http://schemas.openxmlformats.org/officeDocument/2006/relationships/pivotTable" Target="../pivotTables/pivotTable10.xml"/><Relationship Id="rId31" Type="http://schemas.openxmlformats.org/officeDocument/2006/relationships/pivotTable" Target="../pivotTables/pivotTable31.xml"/><Relationship Id="rId44" Type="http://schemas.openxmlformats.org/officeDocument/2006/relationships/pivotTable" Target="../pivotTables/pivotTable44.xml"/><Relationship Id="rId52" Type="http://schemas.openxmlformats.org/officeDocument/2006/relationships/pivotTable" Target="../pivotTables/pivotTable52.xml"/><Relationship Id="rId60" Type="http://schemas.openxmlformats.org/officeDocument/2006/relationships/pivotTable" Target="../pivotTables/pivotTable60.xml"/><Relationship Id="rId65" Type="http://schemas.openxmlformats.org/officeDocument/2006/relationships/pivotTable" Target="../pivotTables/pivotTable65.xml"/><Relationship Id="rId73" Type="http://schemas.openxmlformats.org/officeDocument/2006/relationships/pivotTable" Target="../pivotTables/pivotTable73.xml"/><Relationship Id="rId78" Type="http://schemas.openxmlformats.org/officeDocument/2006/relationships/pivotTable" Target="../pivotTables/pivotTable78.xml"/><Relationship Id="rId81" Type="http://schemas.openxmlformats.org/officeDocument/2006/relationships/pivotTable" Target="../pivotTables/pivotTable81.xml"/><Relationship Id="rId86" Type="http://schemas.openxmlformats.org/officeDocument/2006/relationships/pivotTable" Target="../pivotTables/pivotTable86.xml"/><Relationship Id="rId94" Type="http://schemas.openxmlformats.org/officeDocument/2006/relationships/pivotTable" Target="../pivotTables/pivotTable94.xml"/><Relationship Id="rId4" Type="http://schemas.openxmlformats.org/officeDocument/2006/relationships/pivotTable" Target="../pivotTables/pivotTable4.xml"/><Relationship Id="rId9" Type="http://schemas.openxmlformats.org/officeDocument/2006/relationships/pivotTable" Target="../pivotTables/pivotTable9.xml"/><Relationship Id="rId13" Type="http://schemas.openxmlformats.org/officeDocument/2006/relationships/pivotTable" Target="../pivotTables/pivotTable13.xml"/><Relationship Id="rId18" Type="http://schemas.openxmlformats.org/officeDocument/2006/relationships/pivotTable" Target="../pivotTables/pivotTable18.xml"/><Relationship Id="rId39" Type="http://schemas.openxmlformats.org/officeDocument/2006/relationships/pivotTable" Target="../pivotTables/pivotTable3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DDCC0-86BC-4091-BCF1-ACA505B1CE1D}">
  <sheetPr>
    <tabColor theme="8" tint="0.39997558519241921"/>
    <pageSetUpPr autoPageBreaks="0"/>
  </sheetPr>
  <dimension ref="A1:AM403"/>
  <sheetViews>
    <sheetView tabSelected="1" zoomScaleNormal="100" zoomScaleSheetLayoutView="100" zoomScalePageLayoutView="60" workbookViewId="0">
      <selection activeCell="B2" sqref="B2:R3"/>
    </sheetView>
  </sheetViews>
  <sheetFormatPr defaultRowHeight="12.75" x14ac:dyDescent="0.2"/>
  <cols>
    <col min="1" max="2" width="9.140625" style="11"/>
    <col min="3" max="3" width="9.140625" style="11" customWidth="1"/>
    <col min="4" max="5" width="9.140625" style="11"/>
    <col min="6" max="6" width="9.42578125" style="11" customWidth="1"/>
    <col min="7" max="7" width="9.140625" style="11"/>
    <col min="8" max="8" width="9.140625" style="11" customWidth="1"/>
    <col min="9" max="11" width="9.140625" style="11"/>
    <col min="12" max="12" width="9.140625" style="11" customWidth="1"/>
    <col min="13" max="16384" width="9.140625" style="11"/>
  </cols>
  <sheetData>
    <row r="1" spans="1:31" x14ac:dyDescent="0.2">
      <c r="A1" s="7"/>
      <c r="B1" s="8"/>
      <c r="C1" s="9"/>
      <c r="D1" s="9"/>
      <c r="E1" s="9"/>
      <c r="F1" s="9"/>
      <c r="G1" s="9"/>
      <c r="H1" s="9"/>
      <c r="I1" s="9"/>
      <c r="J1" s="9"/>
      <c r="K1" s="9"/>
      <c r="L1" s="9"/>
      <c r="M1" s="9"/>
      <c r="N1" s="9"/>
      <c r="O1" s="9"/>
      <c r="P1" s="9"/>
      <c r="Q1" s="9"/>
      <c r="R1" s="9"/>
      <c r="S1" s="7"/>
      <c r="T1" s="10"/>
      <c r="U1" s="10"/>
      <c r="V1" s="10"/>
      <c r="W1" s="10"/>
      <c r="X1" s="10"/>
      <c r="Y1" s="10"/>
      <c r="Z1" s="10"/>
      <c r="AA1" s="10"/>
      <c r="AB1" s="10"/>
      <c r="AC1" s="10"/>
      <c r="AD1" s="10"/>
    </row>
    <row r="2" spans="1:31" ht="50.1" customHeight="1" x14ac:dyDescent="0.2">
      <c r="A2" s="10"/>
      <c r="B2" s="469" t="s">
        <v>1419</v>
      </c>
      <c r="C2" s="470"/>
      <c r="D2" s="470"/>
      <c r="E2" s="470"/>
      <c r="F2" s="470"/>
      <c r="G2" s="470"/>
      <c r="H2" s="470"/>
      <c r="I2" s="470"/>
      <c r="J2" s="470"/>
      <c r="K2" s="470"/>
      <c r="L2" s="470"/>
      <c r="M2" s="470"/>
      <c r="N2" s="470"/>
      <c r="O2" s="470"/>
      <c r="P2" s="470"/>
      <c r="Q2" s="470"/>
      <c r="R2" s="471"/>
      <c r="S2" s="7"/>
      <c r="T2" s="10"/>
      <c r="U2" s="10"/>
      <c r="V2" s="10"/>
      <c r="W2" s="10"/>
      <c r="X2" s="10"/>
      <c r="Y2" s="10"/>
      <c r="Z2" s="10"/>
      <c r="AA2" s="10"/>
      <c r="AB2" s="10"/>
      <c r="AC2" s="10"/>
      <c r="AD2" s="10"/>
    </row>
    <row r="3" spans="1:31" ht="20.25" customHeight="1" x14ac:dyDescent="0.2">
      <c r="A3" s="10"/>
      <c r="B3" s="472"/>
      <c r="C3" s="473"/>
      <c r="D3" s="473"/>
      <c r="E3" s="473"/>
      <c r="F3" s="473"/>
      <c r="G3" s="473"/>
      <c r="H3" s="473"/>
      <c r="I3" s="473"/>
      <c r="J3" s="473"/>
      <c r="K3" s="473"/>
      <c r="L3" s="473"/>
      <c r="M3" s="473"/>
      <c r="N3" s="473"/>
      <c r="O3" s="473"/>
      <c r="P3" s="473"/>
      <c r="Q3" s="473"/>
      <c r="R3" s="474"/>
      <c r="S3" s="7"/>
      <c r="T3" s="10"/>
      <c r="U3" s="10"/>
      <c r="V3" s="10"/>
      <c r="W3" s="10"/>
      <c r="X3" s="10"/>
      <c r="Y3" s="10"/>
      <c r="Z3" s="10"/>
      <c r="AA3" s="10"/>
      <c r="AB3" s="10"/>
      <c r="AC3" s="10"/>
      <c r="AD3" s="10"/>
    </row>
    <row r="4" spans="1:31" x14ac:dyDescent="0.2">
      <c r="A4" s="10"/>
      <c r="B4" s="12"/>
      <c r="C4" s="13"/>
      <c r="D4" s="13"/>
      <c r="E4" s="13"/>
      <c r="F4" s="13"/>
      <c r="G4" s="13"/>
      <c r="H4" s="13"/>
      <c r="I4" s="13"/>
      <c r="J4" s="13"/>
      <c r="K4" s="13"/>
      <c r="L4" s="13"/>
      <c r="M4" s="13"/>
      <c r="N4" s="13"/>
      <c r="O4" s="13"/>
      <c r="P4" s="13"/>
      <c r="Q4" s="13"/>
      <c r="R4" s="14"/>
      <c r="S4" s="7"/>
      <c r="T4" s="10"/>
      <c r="U4" s="10"/>
      <c r="V4" s="10"/>
      <c r="W4" s="10"/>
      <c r="X4" s="10"/>
      <c r="Y4" s="10"/>
      <c r="Z4" s="10"/>
      <c r="AA4" s="10"/>
      <c r="AB4" s="10"/>
      <c r="AC4" s="10"/>
      <c r="AD4" s="10"/>
    </row>
    <row r="5" spans="1:31" x14ac:dyDescent="0.2">
      <c r="A5" s="10"/>
      <c r="B5" s="15" t="s">
        <v>1093</v>
      </c>
      <c r="C5" s="16" t="s">
        <v>1094</v>
      </c>
      <c r="D5" s="17"/>
      <c r="E5" s="17"/>
      <c r="F5" s="17"/>
      <c r="G5" s="17"/>
      <c r="H5" s="17"/>
      <c r="I5" s="17"/>
      <c r="J5" s="17"/>
      <c r="K5" s="17"/>
      <c r="L5" s="17"/>
      <c r="M5" s="17"/>
      <c r="N5" s="18"/>
      <c r="O5" s="18"/>
      <c r="P5" s="18"/>
      <c r="Q5" s="18"/>
      <c r="R5" s="19"/>
      <c r="S5" s="7"/>
      <c r="T5" s="10"/>
      <c r="U5" s="10"/>
      <c r="V5" s="10"/>
      <c r="W5" s="10"/>
      <c r="X5" s="10"/>
      <c r="Y5" s="10"/>
      <c r="Z5" s="10"/>
      <c r="AA5" s="10"/>
      <c r="AB5" s="10"/>
      <c r="AC5" s="10"/>
      <c r="AD5" s="10"/>
    </row>
    <row r="6" spans="1:31" ht="22.5" customHeight="1" x14ac:dyDescent="0.2">
      <c r="A6" s="10"/>
      <c r="B6" s="426" t="s">
        <v>1095</v>
      </c>
      <c r="C6" s="475"/>
      <c r="D6" s="475"/>
      <c r="E6" s="476" t="s">
        <v>1096</v>
      </c>
      <c r="F6" s="477" t="s">
        <v>1271</v>
      </c>
      <c r="G6" s="478"/>
      <c r="H6" s="478"/>
      <c r="I6" s="478"/>
      <c r="J6" s="478"/>
      <c r="K6" s="478"/>
      <c r="L6" s="478"/>
      <c r="M6" s="479"/>
      <c r="N6" s="476" t="s">
        <v>1061</v>
      </c>
      <c r="O6" s="476" t="s">
        <v>1097</v>
      </c>
      <c r="P6" s="18"/>
      <c r="Q6" s="18"/>
      <c r="R6" s="19"/>
      <c r="S6" s="18"/>
      <c r="T6" s="7"/>
      <c r="U6" s="10"/>
      <c r="V6" s="10"/>
      <c r="W6" s="10"/>
      <c r="X6" s="10"/>
      <c r="Y6" s="10"/>
      <c r="Z6" s="10"/>
      <c r="AA6" s="10"/>
      <c r="AB6" s="10"/>
      <c r="AC6" s="10"/>
      <c r="AD6" s="10"/>
      <c r="AE6" s="10"/>
    </row>
    <row r="7" spans="1:31" x14ac:dyDescent="0.2">
      <c r="A7" s="10"/>
      <c r="B7" s="426"/>
      <c r="C7" s="475"/>
      <c r="D7" s="475"/>
      <c r="E7" s="476"/>
      <c r="F7" s="20" t="s">
        <v>1098</v>
      </c>
      <c r="G7" s="20" t="s">
        <v>1099</v>
      </c>
      <c r="H7" s="20" t="s">
        <v>1100</v>
      </c>
      <c r="I7" s="20" t="s">
        <v>1101</v>
      </c>
      <c r="J7" s="20" t="s">
        <v>1102</v>
      </c>
      <c r="K7" s="20" t="s">
        <v>1103</v>
      </c>
      <c r="L7" s="20" t="s">
        <v>1104</v>
      </c>
      <c r="M7" s="20" t="s">
        <v>1270</v>
      </c>
      <c r="N7" s="476"/>
      <c r="O7" s="476"/>
      <c r="P7" s="18"/>
      <c r="Q7" s="18"/>
      <c r="R7" s="19"/>
      <c r="S7" s="18"/>
      <c r="T7" s="7"/>
      <c r="U7" s="10"/>
      <c r="V7" s="10"/>
      <c r="W7" s="10"/>
      <c r="X7" s="10"/>
      <c r="Y7" s="10"/>
      <c r="Z7" s="10"/>
      <c r="AA7" s="10"/>
      <c r="AB7" s="10"/>
      <c r="AC7" s="10"/>
      <c r="AD7" s="10"/>
      <c r="AE7" s="10"/>
    </row>
    <row r="8" spans="1:31" x14ac:dyDescent="0.2">
      <c r="A8" s="10"/>
      <c r="B8" s="480" t="s">
        <v>1105</v>
      </c>
      <c r="C8" s="481"/>
      <c r="D8" s="481"/>
      <c r="E8" s="21">
        <v>2450</v>
      </c>
      <c r="F8" s="21">
        <v>208</v>
      </c>
      <c r="G8" s="22">
        <v>695</v>
      </c>
      <c r="H8" s="23">
        <v>235</v>
      </c>
      <c r="I8" s="21">
        <v>304</v>
      </c>
      <c r="J8" s="21">
        <v>491</v>
      </c>
      <c r="K8" s="21">
        <v>460</v>
      </c>
      <c r="L8" s="24">
        <v>382</v>
      </c>
      <c r="M8" s="24">
        <f>GETPIVOTDATA("Net Dwellings",Pivots!$B$5)</f>
        <v>419</v>
      </c>
      <c r="N8" s="24">
        <f>SUM(F8:M8)</f>
        <v>3194</v>
      </c>
      <c r="O8" s="25">
        <f>N8/E8</f>
        <v>1.3036734693877552</v>
      </c>
      <c r="P8" s="18"/>
      <c r="Q8" s="18"/>
      <c r="R8" s="19"/>
      <c r="S8" s="18"/>
      <c r="T8" s="7"/>
      <c r="U8" s="10"/>
      <c r="V8" s="10"/>
      <c r="W8" s="10"/>
      <c r="X8" s="10"/>
      <c r="Y8" s="10"/>
      <c r="Z8" s="10"/>
      <c r="AA8" s="10"/>
      <c r="AB8" s="10"/>
      <c r="AC8" s="10"/>
      <c r="AD8" s="10"/>
      <c r="AE8" s="10"/>
    </row>
    <row r="9" spans="1:31" ht="12.75" customHeight="1" x14ac:dyDescent="0.2">
      <c r="A9" s="10"/>
      <c r="B9" s="26"/>
      <c r="C9" s="27"/>
      <c r="D9" s="27"/>
      <c r="E9" s="28"/>
      <c r="F9" s="28"/>
      <c r="G9" s="29"/>
      <c r="H9" s="30"/>
      <c r="I9" s="28"/>
      <c r="J9" s="28"/>
      <c r="K9" s="28"/>
      <c r="L9" s="28"/>
      <c r="M9" s="28"/>
      <c r="N9" s="31"/>
      <c r="O9" s="18"/>
      <c r="P9" s="18"/>
      <c r="Q9" s="18"/>
      <c r="R9" s="19"/>
      <c r="S9" s="18"/>
      <c r="T9" s="7"/>
      <c r="U9" s="10"/>
      <c r="V9" s="10"/>
      <c r="W9" s="10"/>
      <c r="X9" s="10"/>
      <c r="Y9" s="10"/>
      <c r="Z9" s="10"/>
      <c r="AA9" s="10"/>
      <c r="AB9" s="10"/>
      <c r="AC9" s="10"/>
      <c r="AD9" s="10"/>
      <c r="AE9" s="10"/>
    </row>
    <row r="10" spans="1:31" ht="12.75" customHeight="1" x14ac:dyDescent="0.2">
      <c r="A10" s="10"/>
      <c r="B10" s="32"/>
      <c r="C10" s="18"/>
      <c r="D10" s="18"/>
      <c r="E10" s="18"/>
      <c r="F10" s="18"/>
      <c r="G10" s="18"/>
      <c r="H10" s="18"/>
      <c r="I10" s="18"/>
      <c r="J10" s="18"/>
      <c r="K10" s="18"/>
      <c r="L10" s="18"/>
      <c r="M10" s="18"/>
      <c r="N10" s="18"/>
      <c r="O10" s="18"/>
      <c r="P10" s="18"/>
      <c r="Q10" s="18"/>
      <c r="R10" s="19"/>
      <c r="S10" s="7"/>
      <c r="T10" s="10"/>
      <c r="U10" s="10"/>
      <c r="V10" s="10"/>
      <c r="W10" s="10"/>
      <c r="X10" s="10"/>
      <c r="Y10" s="10"/>
      <c r="Z10" s="10"/>
      <c r="AA10" s="10"/>
      <c r="AB10" s="10"/>
      <c r="AC10" s="10"/>
      <c r="AD10" s="10"/>
    </row>
    <row r="11" spans="1:31" x14ac:dyDescent="0.2">
      <c r="A11" s="10"/>
      <c r="B11" s="15" t="s">
        <v>1106</v>
      </c>
      <c r="C11" s="16" t="s">
        <v>1107</v>
      </c>
      <c r="D11" s="17"/>
      <c r="E11" s="17"/>
      <c r="F11" s="17"/>
      <c r="G11" s="17"/>
      <c r="H11" s="17"/>
      <c r="I11" s="17"/>
      <c r="J11" s="18"/>
      <c r="K11" s="18"/>
      <c r="L11" s="18"/>
      <c r="M11" s="18"/>
      <c r="N11" s="18"/>
      <c r="O11" s="18"/>
      <c r="P11" s="18"/>
      <c r="Q11" s="18"/>
      <c r="R11" s="19"/>
      <c r="S11" s="7"/>
      <c r="T11" s="10"/>
      <c r="U11" s="10"/>
      <c r="V11" s="10"/>
      <c r="W11" s="10"/>
      <c r="X11" s="10"/>
      <c r="Y11" s="10"/>
      <c r="Z11" s="10"/>
      <c r="AA11" s="10"/>
      <c r="AB11" s="10"/>
      <c r="AC11" s="10"/>
      <c r="AD11" s="10"/>
    </row>
    <row r="12" spans="1:31" ht="21.95" customHeight="1" x14ac:dyDescent="0.2">
      <c r="A12" s="10"/>
      <c r="B12" s="426" t="s">
        <v>1095</v>
      </c>
      <c r="C12" s="475"/>
      <c r="D12" s="475"/>
      <c r="E12" s="476" t="s">
        <v>1096</v>
      </c>
      <c r="F12" s="477" t="s">
        <v>1272</v>
      </c>
      <c r="G12" s="478"/>
      <c r="H12" s="478"/>
      <c r="I12" s="479"/>
      <c r="J12" s="476" t="s">
        <v>1061</v>
      </c>
      <c r="K12" s="476" t="s">
        <v>1097</v>
      </c>
      <c r="L12" s="18"/>
      <c r="M12" s="18"/>
      <c r="N12" s="18"/>
      <c r="O12" s="18"/>
      <c r="P12" s="18"/>
      <c r="Q12" s="18"/>
      <c r="R12" s="19"/>
      <c r="S12" s="7"/>
      <c r="T12" s="10"/>
      <c r="U12" s="10"/>
      <c r="V12" s="10"/>
      <c r="W12" s="10"/>
      <c r="X12" s="10"/>
      <c r="Y12" s="10"/>
      <c r="Z12" s="10"/>
      <c r="AA12" s="10"/>
      <c r="AB12" s="10"/>
      <c r="AC12" s="10"/>
      <c r="AD12" s="10"/>
    </row>
    <row r="13" spans="1:31" x14ac:dyDescent="0.2">
      <c r="A13" s="10"/>
      <c r="B13" s="426"/>
      <c r="C13" s="475"/>
      <c r="D13" s="475"/>
      <c r="E13" s="476"/>
      <c r="F13" s="33" t="s">
        <v>1102</v>
      </c>
      <c r="G13" s="33" t="s">
        <v>1103</v>
      </c>
      <c r="H13" s="20" t="s">
        <v>1104</v>
      </c>
      <c r="I13" s="20" t="s">
        <v>1270</v>
      </c>
      <c r="J13" s="476"/>
      <c r="K13" s="476"/>
      <c r="L13" s="18"/>
      <c r="M13" s="18"/>
      <c r="N13" s="18"/>
      <c r="O13" s="18"/>
      <c r="P13" s="18"/>
      <c r="Q13" s="18"/>
      <c r="R13" s="19"/>
      <c r="S13" s="7"/>
      <c r="T13" s="10"/>
      <c r="U13" s="7"/>
      <c r="V13" s="7"/>
      <c r="W13" s="10"/>
      <c r="X13" s="10"/>
      <c r="Y13" s="10"/>
      <c r="Z13" s="10"/>
      <c r="AA13" s="10"/>
      <c r="AB13" s="10"/>
      <c r="AC13" s="10"/>
      <c r="AD13" s="10"/>
    </row>
    <row r="14" spans="1:31" x14ac:dyDescent="0.2">
      <c r="A14" s="10"/>
      <c r="B14" s="480" t="s">
        <v>1105</v>
      </c>
      <c r="C14" s="481"/>
      <c r="D14" s="481"/>
      <c r="E14" s="21">
        <v>3150</v>
      </c>
      <c r="F14" s="21">
        <v>491</v>
      </c>
      <c r="G14" s="21">
        <v>460</v>
      </c>
      <c r="H14" s="21">
        <v>382</v>
      </c>
      <c r="I14" s="24">
        <f>GETPIVOTDATA("Net Dwellings",Pivots!$B$6)</f>
        <v>419</v>
      </c>
      <c r="J14" s="24">
        <f>SUM(F14:I14)</f>
        <v>1752</v>
      </c>
      <c r="K14" s="25">
        <f>J14/E14</f>
        <v>0.55619047619047624</v>
      </c>
      <c r="L14" s="18"/>
      <c r="M14" s="18"/>
      <c r="N14" s="18"/>
      <c r="O14" s="18"/>
      <c r="P14" s="18"/>
      <c r="Q14" s="18"/>
      <c r="R14" s="19"/>
      <c r="S14" s="7"/>
      <c r="T14" s="10"/>
      <c r="U14" s="18"/>
      <c r="V14" s="7"/>
      <c r="W14" s="10"/>
      <c r="X14" s="10"/>
      <c r="Y14" s="10"/>
      <c r="Z14" s="10"/>
      <c r="AA14" s="10"/>
      <c r="AB14" s="10"/>
      <c r="AC14" s="10"/>
      <c r="AD14" s="10"/>
    </row>
    <row r="15" spans="1:31" ht="22.5" customHeight="1" x14ac:dyDescent="0.2">
      <c r="A15" s="10"/>
      <c r="B15" s="34"/>
      <c r="C15" s="35"/>
      <c r="D15" s="18"/>
      <c r="E15" s="18"/>
      <c r="F15" s="18"/>
      <c r="G15" s="18"/>
      <c r="H15" s="18"/>
      <c r="I15" s="18"/>
      <c r="J15" s="18"/>
      <c r="K15" s="18"/>
      <c r="L15" s="18"/>
      <c r="M15" s="18"/>
      <c r="N15" s="18"/>
      <c r="O15" s="18"/>
      <c r="P15" s="18"/>
      <c r="Q15" s="18"/>
      <c r="R15" s="19"/>
      <c r="S15" s="7"/>
      <c r="T15" s="10"/>
      <c r="U15" s="7"/>
      <c r="V15" s="7"/>
      <c r="W15" s="10"/>
      <c r="X15" s="10"/>
      <c r="Y15" s="10"/>
      <c r="Z15" s="10"/>
      <c r="AA15" s="10"/>
      <c r="AB15" s="10"/>
      <c r="AC15" s="10"/>
      <c r="AD15" s="10"/>
    </row>
    <row r="16" spans="1:31" x14ac:dyDescent="0.2">
      <c r="A16" s="10"/>
      <c r="B16" s="15" t="s">
        <v>1108</v>
      </c>
      <c r="C16" s="16" t="s">
        <v>1109</v>
      </c>
      <c r="D16" s="17"/>
      <c r="E16" s="17"/>
      <c r="F16" s="17"/>
      <c r="G16" s="17"/>
      <c r="H16" s="17"/>
      <c r="I16" s="17"/>
      <c r="J16" s="17"/>
      <c r="K16" s="17"/>
      <c r="L16" s="17"/>
      <c r="M16" s="36"/>
      <c r="N16" s="36"/>
      <c r="O16" s="18"/>
      <c r="P16" s="18"/>
      <c r="Q16" s="18"/>
      <c r="R16" s="19"/>
      <c r="S16" s="7"/>
      <c r="T16" s="10"/>
      <c r="U16" s="10"/>
      <c r="V16" s="10"/>
      <c r="W16" s="10"/>
      <c r="X16" s="10"/>
      <c r="Y16" s="10"/>
      <c r="Z16" s="10"/>
      <c r="AA16" s="10"/>
      <c r="AB16" s="10"/>
      <c r="AC16" s="10"/>
      <c r="AD16" s="10"/>
    </row>
    <row r="17" spans="1:30" x14ac:dyDescent="0.2">
      <c r="A17" s="10"/>
      <c r="B17" s="482"/>
      <c r="C17" s="483"/>
      <c r="D17" s="483"/>
      <c r="E17" s="483"/>
      <c r="F17" s="483"/>
      <c r="G17" s="483"/>
      <c r="H17" s="483"/>
      <c r="I17" s="483"/>
      <c r="J17" s="483"/>
      <c r="K17" s="483"/>
      <c r="L17" s="483"/>
      <c r="M17" s="36"/>
      <c r="N17" s="18"/>
      <c r="O17" s="18"/>
      <c r="P17" s="18"/>
      <c r="Q17" s="18"/>
      <c r="R17" s="19"/>
      <c r="S17" s="7"/>
      <c r="T17" s="10"/>
      <c r="U17" s="10"/>
      <c r="V17" s="10"/>
      <c r="W17" s="10"/>
      <c r="X17" s="10"/>
      <c r="Y17" s="10"/>
      <c r="Z17" s="10"/>
      <c r="AA17" s="10"/>
      <c r="AB17" s="10"/>
      <c r="AC17" s="10"/>
      <c r="AD17" s="10"/>
    </row>
    <row r="18" spans="1:30" ht="12.75" customHeight="1" x14ac:dyDescent="0.2">
      <c r="A18" s="10"/>
      <c r="B18" s="37" t="s">
        <v>1110</v>
      </c>
      <c r="C18" s="462" t="s">
        <v>1111</v>
      </c>
      <c r="D18" s="462"/>
      <c r="E18" s="462"/>
      <c r="F18" s="462"/>
      <c r="G18" s="462"/>
      <c r="H18" s="462"/>
      <c r="I18" s="462"/>
      <c r="J18" s="462"/>
      <c r="K18" s="462"/>
      <c r="L18" s="325">
        <v>3150</v>
      </c>
      <c r="M18" s="18"/>
      <c r="N18" s="18"/>
      <c r="O18" s="18"/>
      <c r="P18" s="18"/>
      <c r="Q18" s="18"/>
      <c r="R18" s="19"/>
      <c r="S18" s="7"/>
      <c r="T18" s="10"/>
      <c r="U18" s="10"/>
      <c r="V18" s="10"/>
      <c r="W18" s="10"/>
      <c r="X18" s="10"/>
      <c r="Y18" s="10"/>
      <c r="Z18" s="10"/>
      <c r="AA18" s="10"/>
      <c r="AB18" s="10"/>
      <c r="AC18" s="10"/>
      <c r="AD18" s="10"/>
    </row>
    <row r="19" spans="1:30" ht="12.75" customHeight="1" x14ac:dyDescent="0.2">
      <c r="A19" s="10"/>
      <c r="B19" s="37" t="s">
        <v>1112</v>
      </c>
      <c r="C19" s="462" t="s">
        <v>1331</v>
      </c>
      <c r="D19" s="462"/>
      <c r="E19" s="462"/>
      <c r="F19" s="462"/>
      <c r="G19" s="462"/>
      <c r="H19" s="462"/>
      <c r="I19" s="462"/>
      <c r="J19" s="462"/>
      <c r="K19" s="462"/>
      <c r="L19" s="325">
        <f>J8+K8+L8+M8</f>
        <v>1752</v>
      </c>
      <c r="M19" s="18"/>
      <c r="N19" s="18"/>
      <c r="O19" s="18"/>
      <c r="P19" s="18"/>
      <c r="Q19" s="18"/>
      <c r="R19" s="19"/>
      <c r="S19" s="7"/>
      <c r="T19" s="10"/>
      <c r="U19" s="10"/>
      <c r="V19" s="10"/>
      <c r="W19" s="10"/>
      <c r="X19" s="10"/>
      <c r="Y19" s="10"/>
      <c r="Z19" s="10"/>
      <c r="AA19" s="10"/>
      <c r="AB19" s="10"/>
      <c r="AC19" s="10"/>
      <c r="AD19" s="10"/>
    </row>
    <row r="20" spans="1:30" x14ac:dyDescent="0.2">
      <c r="A20" s="10"/>
      <c r="B20" s="37" t="s">
        <v>1113</v>
      </c>
      <c r="C20" s="462" t="s">
        <v>1332</v>
      </c>
      <c r="D20" s="462"/>
      <c r="E20" s="462"/>
      <c r="F20" s="462"/>
      <c r="G20" s="462"/>
      <c r="H20" s="462"/>
      <c r="I20" s="462"/>
      <c r="J20" s="463" t="s">
        <v>1114</v>
      </c>
      <c r="K20" s="463"/>
      <c r="L20" s="325">
        <f>L18-L19</f>
        <v>1398</v>
      </c>
      <c r="M20" s="18"/>
      <c r="N20" s="18"/>
      <c r="O20" s="18"/>
      <c r="P20" s="18"/>
      <c r="Q20" s="18"/>
      <c r="R20" s="19"/>
      <c r="S20" s="7"/>
      <c r="T20" s="10"/>
      <c r="U20" s="10"/>
      <c r="V20" s="10"/>
      <c r="W20" s="10"/>
      <c r="X20" s="10"/>
      <c r="Y20" s="10"/>
      <c r="Z20" s="10"/>
      <c r="AA20" s="10"/>
      <c r="AB20" s="10"/>
      <c r="AC20" s="10"/>
      <c r="AD20" s="10"/>
    </row>
    <row r="21" spans="1:30" ht="12.75" customHeight="1" x14ac:dyDescent="0.2">
      <c r="A21" s="10"/>
      <c r="B21" s="37" t="s">
        <v>1115</v>
      </c>
      <c r="C21" s="462" t="s">
        <v>1116</v>
      </c>
      <c r="D21" s="462"/>
      <c r="E21" s="462"/>
      <c r="F21" s="462"/>
      <c r="G21" s="462"/>
      <c r="H21" s="462"/>
      <c r="I21" s="462"/>
      <c r="J21" s="466" t="s">
        <v>1333</v>
      </c>
      <c r="K21" s="466"/>
      <c r="L21" s="325">
        <f>L20/6</f>
        <v>233</v>
      </c>
      <c r="M21" s="18"/>
      <c r="N21" s="18"/>
      <c r="O21" s="18"/>
      <c r="P21" s="18"/>
      <c r="Q21" s="18"/>
      <c r="R21" s="19"/>
      <c r="S21" s="7"/>
      <c r="T21" s="10"/>
      <c r="U21" s="10"/>
      <c r="V21" s="10"/>
      <c r="W21" s="10"/>
      <c r="X21" s="10"/>
      <c r="Y21" s="10"/>
      <c r="Z21" s="10"/>
      <c r="AA21" s="10"/>
      <c r="AB21" s="10"/>
      <c r="AC21" s="10"/>
      <c r="AD21" s="10"/>
    </row>
    <row r="22" spans="1:30" ht="12.75" customHeight="1" x14ac:dyDescent="0.2">
      <c r="A22" s="10"/>
      <c r="B22" s="37" t="s">
        <v>1117</v>
      </c>
      <c r="C22" s="462" t="s">
        <v>1118</v>
      </c>
      <c r="D22" s="462"/>
      <c r="E22" s="462"/>
      <c r="F22" s="462"/>
      <c r="G22" s="462"/>
      <c r="H22" s="462"/>
      <c r="I22" s="462"/>
      <c r="J22" s="466" t="s">
        <v>1119</v>
      </c>
      <c r="K22" s="466"/>
      <c r="L22" s="325">
        <f>L21*5</f>
        <v>1165</v>
      </c>
      <c r="M22" s="18"/>
      <c r="N22" s="18"/>
      <c r="O22" s="18"/>
      <c r="P22" s="18"/>
      <c r="Q22" s="18"/>
      <c r="R22" s="19"/>
      <c r="S22" s="7"/>
      <c r="T22" s="10"/>
      <c r="U22" s="10"/>
      <c r="V22" s="10"/>
      <c r="W22" s="10"/>
      <c r="X22" s="10"/>
      <c r="Y22" s="10"/>
      <c r="Z22" s="10"/>
      <c r="AA22" s="10"/>
      <c r="AB22" s="10"/>
      <c r="AC22" s="10"/>
      <c r="AD22" s="10"/>
    </row>
    <row r="23" spans="1:30" ht="12.75" customHeight="1" x14ac:dyDescent="0.2">
      <c r="A23" s="10"/>
      <c r="B23" s="37" t="s">
        <v>1120</v>
      </c>
      <c r="C23" s="462" t="s">
        <v>1121</v>
      </c>
      <c r="D23" s="462"/>
      <c r="E23" s="462"/>
      <c r="F23" s="462"/>
      <c r="G23" s="462"/>
      <c r="H23" s="462"/>
      <c r="I23" s="462"/>
      <c r="J23" s="466" t="s">
        <v>1122</v>
      </c>
      <c r="K23" s="466"/>
      <c r="L23" s="326">
        <f>L22*0.05</f>
        <v>58.25</v>
      </c>
      <c r="M23" s="18"/>
      <c r="N23" s="18"/>
      <c r="O23" s="18"/>
      <c r="P23" s="18"/>
      <c r="Q23" s="18"/>
      <c r="R23" s="19"/>
      <c r="S23" s="7"/>
      <c r="T23" s="10"/>
      <c r="U23" s="10"/>
      <c r="V23" s="10"/>
      <c r="W23" s="10"/>
      <c r="X23" s="10"/>
      <c r="Y23" s="10"/>
      <c r="Z23" s="10"/>
      <c r="AA23" s="10"/>
      <c r="AB23" s="10"/>
      <c r="AC23" s="10"/>
      <c r="AD23" s="10"/>
    </row>
    <row r="24" spans="1:30" ht="12.75" customHeight="1" x14ac:dyDescent="0.2">
      <c r="A24" s="10"/>
      <c r="B24" s="37" t="s">
        <v>1123</v>
      </c>
      <c r="C24" s="462" t="s">
        <v>1124</v>
      </c>
      <c r="D24" s="462"/>
      <c r="E24" s="462"/>
      <c r="F24" s="462"/>
      <c r="G24" s="462"/>
      <c r="H24" s="462"/>
      <c r="I24" s="462"/>
      <c r="J24" s="463" t="s">
        <v>1125</v>
      </c>
      <c r="K24" s="463"/>
      <c r="L24" s="325">
        <f>L22+L23</f>
        <v>1223.25</v>
      </c>
      <c r="M24" s="18"/>
      <c r="N24" s="18"/>
      <c r="O24" s="18"/>
      <c r="P24" s="18"/>
      <c r="Q24" s="18"/>
      <c r="R24" s="19"/>
      <c r="S24" s="7"/>
      <c r="T24" s="10"/>
      <c r="U24" s="10"/>
      <c r="V24" s="10"/>
      <c r="W24" s="10"/>
      <c r="X24" s="10"/>
      <c r="Y24" s="10"/>
      <c r="Z24" s="10"/>
      <c r="AA24" s="10"/>
      <c r="AB24" s="10"/>
      <c r="AC24" s="10"/>
      <c r="AD24" s="10"/>
    </row>
    <row r="25" spans="1:30" ht="12.75" customHeight="1" x14ac:dyDescent="0.2">
      <c r="A25" s="10"/>
      <c r="B25" s="37" t="s">
        <v>1126</v>
      </c>
      <c r="C25" s="462" t="s">
        <v>1127</v>
      </c>
      <c r="D25" s="462"/>
      <c r="E25" s="462"/>
      <c r="F25" s="462"/>
      <c r="G25" s="462"/>
      <c r="H25" s="462"/>
      <c r="I25" s="462"/>
      <c r="J25" s="463"/>
      <c r="K25" s="463"/>
      <c r="L25" s="325">
        <f>H38</f>
        <v>1474</v>
      </c>
      <c r="M25" s="18"/>
      <c r="N25" s="18"/>
      <c r="O25" s="18"/>
      <c r="P25" s="18"/>
      <c r="Q25" s="18"/>
      <c r="R25" s="19"/>
      <c r="S25" s="7"/>
      <c r="T25" s="10"/>
      <c r="U25" s="10"/>
      <c r="V25" s="10"/>
      <c r="W25" s="10"/>
      <c r="X25" s="10"/>
      <c r="Y25" s="10"/>
      <c r="Z25" s="10"/>
      <c r="AA25" s="10"/>
      <c r="AB25" s="10"/>
      <c r="AC25" s="10"/>
      <c r="AD25" s="10"/>
    </row>
    <row r="26" spans="1:30" ht="12.75" customHeight="1" x14ac:dyDescent="0.2">
      <c r="A26" s="10"/>
      <c r="B26" s="37" t="s">
        <v>1128</v>
      </c>
      <c r="C26" s="462" t="s">
        <v>1129</v>
      </c>
      <c r="D26" s="462"/>
      <c r="E26" s="462"/>
      <c r="F26" s="462"/>
      <c r="G26" s="462"/>
      <c r="H26" s="462"/>
      <c r="I26" s="462"/>
      <c r="J26" s="463" t="s">
        <v>1130</v>
      </c>
      <c r="K26" s="463"/>
      <c r="L26" s="357">
        <f>L25/L22</f>
        <v>1.2652360515021459</v>
      </c>
      <c r="M26" s="18"/>
      <c r="N26" s="18"/>
      <c r="O26" s="18"/>
      <c r="P26" s="18"/>
      <c r="Q26" s="18"/>
      <c r="R26" s="19"/>
      <c r="S26" s="7"/>
      <c r="T26" s="10"/>
      <c r="U26" s="10"/>
      <c r="V26" s="10"/>
      <c r="W26" s="10"/>
      <c r="X26" s="10"/>
      <c r="Y26" s="10"/>
      <c r="Z26" s="10"/>
      <c r="AA26" s="10"/>
      <c r="AB26" s="10"/>
      <c r="AC26" s="10"/>
      <c r="AD26" s="10"/>
    </row>
    <row r="27" spans="1:30" ht="12.75" customHeight="1" x14ac:dyDescent="0.2">
      <c r="A27" s="10"/>
      <c r="B27" s="37" t="s">
        <v>1131</v>
      </c>
      <c r="C27" s="462" t="s">
        <v>1132</v>
      </c>
      <c r="D27" s="462"/>
      <c r="E27" s="462"/>
      <c r="F27" s="462"/>
      <c r="G27" s="462"/>
      <c r="H27" s="462"/>
      <c r="I27" s="462"/>
      <c r="J27" s="463" t="s">
        <v>1133</v>
      </c>
      <c r="K27" s="463"/>
      <c r="L27" s="345">
        <f>L25/L21</f>
        <v>6.32618025751073</v>
      </c>
      <c r="M27" s="18"/>
      <c r="N27" s="18"/>
      <c r="O27" s="18"/>
      <c r="P27" s="18"/>
      <c r="Q27" s="18"/>
      <c r="R27" s="19"/>
      <c r="S27" s="7"/>
      <c r="T27" s="10"/>
      <c r="U27" s="10"/>
      <c r="V27" s="10"/>
      <c r="W27" s="10"/>
      <c r="X27" s="10"/>
      <c r="Y27" s="10"/>
      <c r="Z27" s="10"/>
      <c r="AA27" s="10"/>
      <c r="AB27" s="10"/>
      <c r="AC27" s="10"/>
      <c r="AD27" s="10"/>
    </row>
    <row r="28" spans="1:30" ht="12.75" customHeight="1" x14ac:dyDescent="0.2">
      <c r="A28" s="10"/>
      <c r="B28" s="38"/>
      <c r="C28" s="39"/>
      <c r="D28" s="39"/>
      <c r="E28" s="39"/>
      <c r="F28" s="39"/>
      <c r="G28" s="39"/>
      <c r="H28" s="39"/>
      <c r="I28" s="39"/>
      <c r="J28" s="40"/>
      <c r="K28" s="40"/>
      <c r="L28" s="41"/>
      <c r="M28" s="18"/>
      <c r="N28" s="18"/>
      <c r="O28" s="18"/>
      <c r="P28" s="18"/>
      <c r="Q28" s="18"/>
      <c r="R28" s="19"/>
      <c r="S28" s="7"/>
      <c r="T28" s="10"/>
      <c r="U28" s="10"/>
      <c r="V28" s="10"/>
      <c r="W28" s="10"/>
      <c r="X28" s="10"/>
      <c r="Y28" s="10"/>
      <c r="Z28" s="10"/>
      <c r="AA28" s="10"/>
      <c r="AB28" s="10"/>
      <c r="AC28" s="10"/>
      <c r="AD28" s="10"/>
    </row>
    <row r="29" spans="1:30" ht="12.75" customHeight="1" x14ac:dyDescent="0.2">
      <c r="A29" s="10"/>
      <c r="B29" s="38"/>
      <c r="C29" s="39"/>
      <c r="D29" s="39"/>
      <c r="E29" s="39"/>
      <c r="F29" s="39"/>
      <c r="G29" s="39"/>
      <c r="H29" s="39"/>
      <c r="I29" s="39"/>
      <c r="J29" s="40"/>
      <c r="K29" s="40"/>
      <c r="L29" s="41"/>
      <c r="M29" s="18"/>
      <c r="N29" s="18"/>
      <c r="O29" s="18"/>
      <c r="P29" s="18"/>
      <c r="Q29" s="18"/>
      <c r="R29" s="19"/>
      <c r="S29" s="7"/>
      <c r="T29" s="10"/>
      <c r="U29" s="10"/>
      <c r="V29" s="10"/>
      <c r="W29" s="10"/>
      <c r="X29" s="10"/>
      <c r="Y29" s="10"/>
      <c r="Z29" s="10"/>
      <c r="AA29" s="10"/>
      <c r="AB29" s="10"/>
      <c r="AC29" s="10"/>
      <c r="AD29" s="10"/>
    </row>
    <row r="30" spans="1:30" ht="12.75" customHeight="1" x14ac:dyDescent="0.2">
      <c r="A30" s="10"/>
      <c r="B30" s="15" t="s">
        <v>1092</v>
      </c>
      <c r="C30" s="16" t="s">
        <v>1127</v>
      </c>
      <c r="D30" s="39"/>
      <c r="E30" s="39"/>
      <c r="F30" s="39"/>
      <c r="G30" s="39"/>
      <c r="H30" s="39"/>
      <c r="I30" s="39"/>
      <c r="J30" s="40"/>
      <c r="K30" s="40"/>
      <c r="L30" s="41"/>
      <c r="M30" s="18"/>
      <c r="N30" s="18"/>
      <c r="O30" s="18"/>
      <c r="P30" s="18"/>
      <c r="Q30" s="18"/>
      <c r="R30" s="19"/>
      <c r="S30" s="7"/>
      <c r="T30" s="10"/>
      <c r="U30" s="10"/>
      <c r="V30" s="10"/>
      <c r="W30" s="10"/>
      <c r="X30" s="10"/>
      <c r="Y30" s="10"/>
      <c r="Z30" s="10"/>
      <c r="AA30" s="10"/>
      <c r="AB30" s="10"/>
      <c r="AC30" s="10"/>
      <c r="AD30" s="10"/>
    </row>
    <row r="31" spans="1:30" ht="21.95" customHeight="1" x14ac:dyDescent="0.2">
      <c r="A31" s="10"/>
      <c r="B31" s="464" t="s">
        <v>1134</v>
      </c>
      <c r="C31" s="465"/>
      <c r="D31" s="465"/>
      <c r="E31" s="465"/>
      <c r="F31" s="465"/>
      <c r="G31" s="465"/>
      <c r="H31" s="465" t="s">
        <v>1135</v>
      </c>
      <c r="I31" s="465"/>
      <c r="J31" s="18"/>
      <c r="K31" s="18"/>
      <c r="L31" s="18"/>
      <c r="M31" s="18"/>
      <c r="N31" s="18"/>
      <c r="O31" s="18"/>
      <c r="P31" s="18"/>
      <c r="Q31" s="18"/>
      <c r="R31" s="19"/>
      <c r="S31" s="7"/>
      <c r="T31" s="10"/>
      <c r="U31" s="10"/>
      <c r="V31" s="10"/>
      <c r="W31" s="10"/>
      <c r="X31" s="10"/>
      <c r="Y31" s="10"/>
      <c r="Z31" s="10"/>
      <c r="AA31" s="10"/>
      <c r="AB31" s="10"/>
      <c r="AC31" s="10"/>
      <c r="AD31" s="10"/>
    </row>
    <row r="32" spans="1:30" x14ac:dyDescent="0.2">
      <c r="A32" s="42"/>
      <c r="B32" s="454" t="s">
        <v>1136</v>
      </c>
      <c r="C32" s="455"/>
      <c r="D32" s="455"/>
      <c r="E32" s="455"/>
      <c r="F32" s="455"/>
      <c r="G32" s="455"/>
      <c r="H32" s="456">
        <f>Pivots!G14</f>
        <v>428.5</v>
      </c>
      <c r="I32" s="457"/>
      <c r="J32" s="18"/>
      <c r="K32" s="18"/>
      <c r="L32" s="18"/>
      <c r="M32" s="18"/>
      <c r="N32" s="18"/>
      <c r="O32" s="18"/>
      <c r="P32" s="18"/>
      <c r="Q32" s="18"/>
      <c r="R32" s="19"/>
      <c r="S32" s="43"/>
      <c r="T32" s="10"/>
      <c r="U32" s="10"/>
      <c r="V32" s="10"/>
      <c r="W32" s="10"/>
      <c r="X32" s="10"/>
      <c r="Y32" s="10"/>
      <c r="Z32" s="10"/>
      <c r="AA32" s="10"/>
      <c r="AB32" s="10"/>
      <c r="AC32" s="10"/>
      <c r="AD32" s="10"/>
    </row>
    <row r="33" spans="1:30" ht="12.75" customHeight="1" x14ac:dyDescent="0.2">
      <c r="A33" s="10"/>
      <c r="B33" s="454" t="s">
        <v>1137</v>
      </c>
      <c r="C33" s="455"/>
      <c r="D33" s="455"/>
      <c r="E33" s="455"/>
      <c r="F33" s="455"/>
      <c r="G33" s="455"/>
      <c r="H33" s="456">
        <f>Pivots!G22</f>
        <v>168</v>
      </c>
      <c r="I33" s="457"/>
      <c r="J33" s="18"/>
      <c r="K33" s="18"/>
      <c r="L33" s="18"/>
      <c r="M33" s="18"/>
      <c r="N33" s="18"/>
      <c r="O33" s="18"/>
      <c r="P33" s="18"/>
      <c r="Q33" s="18"/>
      <c r="R33" s="19"/>
      <c r="S33" s="7"/>
      <c r="T33" s="10"/>
      <c r="U33" s="10"/>
      <c r="V33" s="10"/>
      <c r="W33" s="10"/>
      <c r="X33" s="10"/>
      <c r="Y33" s="10"/>
      <c r="Z33" s="10"/>
      <c r="AA33" s="10"/>
      <c r="AB33" s="10"/>
      <c r="AC33" s="10"/>
      <c r="AD33" s="10"/>
    </row>
    <row r="34" spans="1:30" ht="12.6" customHeight="1" x14ac:dyDescent="0.2">
      <c r="A34" s="10"/>
      <c r="B34" s="454" t="s">
        <v>1138</v>
      </c>
      <c r="C34" s="455"/>
      <c r="D34" s="455"/>
      <c r="E34" s="455"/>
      <c r="F34" s="455"/>
      <c r="G34" s="455"/>
      <c r="H34" s="456">
        <f>Pivots!G30</f>
        <v>30.5</v>
      </c>
      <c r="I34" s="457"/>
      <c r="J34" s="18"/>
      <c r="K34" s="18"/>
      <c r="L34" s="18"/>
      <c r="M34" s="18"/>
      <c r="N34" s="18"/>
      <c r="O34" s="18"/>
      <c r="P34" s="18"/>
      <c r="Q34" s="18"/>
      <c r="R34" s="19"/>
      <c r="S34" s="7"/>
      <c r="T34" s="10"/>
      <c r="U34" s="10"/>
      <c r="V34" s="10"/>
      <c r="W34" s="10"/>
      <c r="X34" s="10"/>
      <c r="Y34" s="10"/>
      <c r="Z34" s="10"/>
      <c r="AA34" s="10"/>
      <c r="AB34" s="10"/>
      <c r="AC34" s="10"/>
      <c r="AD34" s="10"/>
    </row>
    <row r="35" spans="1:30" ht="12.6" customHeight="1" x14ac:dyDescent="0.2">
      <c r="A35" s="10"/>
      <c r="B35" s="454" t="s">
        <v>1139</v>
      </c>
      <c r="C35" s="455"/>
      <c r="D35" s="455"/>
      <c r="E35" s="455"/>
      <c r="F35" s="455"/>
      <c r="G35" s="455"/>
      <c r="H35" s="456">
        <f>Pivots!G39</f>
        <v>48</v>
      </c>
      <c r="I35" s="457"/>
      <c r="J35" s="18"/>
      <c r="K35" s="18"/>
      <c r="L35" s="18"/>
      <c r="M35" s="18"/>
      <c r="N35" s="18"/>
      <c r="O35" s="18"/>
      <c r="P35" s="18"/>
      <c r="Q35" s="18"/>
      <c r="R35" s="19"/>
      <c r="S35" s="7"/>
      <c r="T35" s="10"/>
      <c r="U35" s="10"/>
      <c r="V35" s="10"/>
      <c r="W35" s="10"/>
      <c r="X35" s="10"/>
      <c r="Y35" s="10"/>
      <c r="Z35" s="10"/>
      <c r="AA35" s="10"/>
      <c r="AB35" s="10"/>
      <c r="AC35" s="10"/>
      <c r="AD35" s="10"/>
    </row>
    <row r="36" spans="1:30" ht="12.6" customHeight="1" x14ac:dyDescent="0.2">
      <c r="A36" s="10"/>
      <c r="B36" s="454" t="s">
        <v>1140</v>
      </c>
      <c r="C36" s="455"/>
      <c r="D36" s="455"/>
      <c r="E36" s="455"/>
      <c r="F36" s="455"/>
      <c r="G36" s="455"/>
      <c r="H36" s="456">
        <f>Pivots!G48</f>
        <v>45</v>
      </c>
      <c r="I36" s="457"/>
      <c r="J36" s="18"/>
      <c r="K36" s="18"/>
      <c r="L36" s="18"/>
      <c r="M36" s="18"/>
      <c r="N36" s="18"/>
      <c r="O36" s="18"/>
      <c r="P36" s="18"/>
      <c r="Q36" s="18"/>
      <c r="R36" s="19"/>
      <c r="S36" s="7"/>
      <c r="T36" s="10"/>
      <c r="U36" s="10"/>
      <c r="V36" s="10"/>
      <c r="W36" s="10"/>
      <c r="X36" s="10"/>
      <c r="Y36" s="10"/>
      <c r="Z36" s="10"/>
      <c r="AA36" s="10"/>
      <c r="AB36" s="10"/>
      <c r="AC36" s="10"/>
      <c r="AD36" s="10"/>
    </row>
    <row r="37" spans="1:30" ht="12.6" customHeight="1" x14ac:dyDescent="0.2">
      <c r="A37" s="10"/>
      <c r="B37" s="454" t="s">
        <v>1141</v>
      </c>
      <c r="C37" s="455"/>
      <c r="D37" s="455"/>
      <c r="E37" s="455"/>
      <c r="F37" s="455"/>
      <c r="G37" s="455"/>
      <c r="H37" s="456">
        <f>Pivots!G57</f>
        <v>754</v>
      </c>
      <c r="I37" s="457"/>
      <c r="J37" s="44"/>
      <c r="K37" s="18"/>
      <c r="L37" s="18"/>
      <c r="M37" s="18"/>
      <c r="N37" s="18"/>
      <c r="O37" s="18"/>
      <c r="P37" s="18"/>
      <c r="Q37" s="18"/>
      <c r="R37" s="19"/>
      <c r="S37" s="7"/>
      <c r="T37" s="10"/>
      <c r="U37" s="10"/>
      <c r="V37" s="10"/>
      <c r="W37" s="10"/>
      <c r="X37" s="10"/>
      <c r="Y37" s="10"/>
      <c r="Z37" s="10"/>
      <c r="AA37" s="10"/>
      <c r="AB37" s="10"/>
      <c r="AC37" s="10"/>
      <c r="AD37" s="10"/>
    </row>
    <row r="38" spans="1:30" ht="12.6" customHeight="1" x14ac:dyDescent="0.2">
      <c r="A38" s="10"/>
      <c r="B38" s="458" t="s">
        <v>1142</v>
      </c>
      <c r="C38" s="459"/>
      <c r="D38" s="459"/>
      <c r="E38" s="459"/>
      <c r="F38" s="459"/>
      <c r="G38" s="459"/>
      <c r="H38" s="460">
        <f>SUM(H32:I37)</f>
        <v>1474</v>
      </c>
      <c r="I38" s="461"/>
      <c r="J38" s="45"/>
      <c r="K38" s="18"/>
      <c r="L38" s="18"/>
      <c r="M38" s="18"/>
      <c r="N38" s="18"/>
      <c r="O38" s="18"/>
      <c r="P38" s="18"/>
      <c r="Q38" s="18"/>
      <c r="R38" s="19"/>
      <c r="S38" s="7"/>
      <c r="T38" s="10"/>
      <c r="U38" s="10"/>
      <c r="V38" s="10"/>
      <c r="W38" s="10"/>
      <c r="X38" s="10"/>
      <c r="Y38" s="10"/>
      <c r="Z38" s="10"/>
      <c r="AA38" s="10"/>
      <c r="AB38" s="10"/>
      <c r="AC38" s="10"/>
      <c r="AD38" s="10"/>
    </row>
    <row r="39" spans="1:30" ht="12.6" customHeight="1" x14ac:dyDescent="0.2">
      <c r="A39" s="10"/>
      <c r="B39" s="46"/>
      <c r="C39" s="47"/>
      <c r="D39" s="47"/>
      <c r="E39" s="47"/>
      <c r="F39" s="47"/>
      <c r="G39" s="47"/>
      <c r="H39" s="47"/>
      <c r="I39" s="47"/>
      <c r="J39" s="18"/>
      <c r="K39" s="18"/>
      <c r="L39" s="18"/>
      <c r="M39" s="18"/>
      <c r="N39" s="18"/>
      <c r="O39" s="18"/>
      <c r="P39" s="18"/>
      <c r="Q39" s="18"/>
      <c r="R39" s="19"/>
      <c r="S39" s="7"/>
      <c r="T39" s="10"/>
      <c r="U39" s="10"/>
      <c r="V39" s="10"/>
      <c r="W39" s="10"/>
      <c r="X39" s="10"/>
      <c r="Y39" s="10"/>
      <c r="Z39" s="10"/>
      <c r="AA39" s="10"/>
      <c r="AB39" s="10"/>
      <c r="AC39" s="10"/>
      <c r="AD39" s="10"/>
    </row>
    <row r="40" spans="1:30" ht="12.6" customHeight="1" x14ac:dyDescent="0.2">
      <c r="A40" s="10"/>
      <c r="B40" s="46"/>
      <c r="C40" s="48"/>
      <c r="D40" s="48"/>
      <c r="E40" s="48"/>
      <c r="F40" s="48"/>
      <c r="G40" s="48"/>
      <c r="H40" s="49"/>
      <c r="I40" s="49"/>
      <c r="J40" s="50"/>
      <c r="K40" s="51"/>
      <c r="L40" s="18"/>
      <c r="M40" s="18"/>
      <c r="N40" s="18"/>
      <c r="O40" s="18"/>
      <c r="P40" s="18"/>
      <c r="Q40" s="18"/>
      <c r="R40" s="19"/>
      <c r="S40" s="52"/>
      <c r="T40" s="10"/>
      <c r="U40" s="10"/>
      <c r="V40" s="10"/>
      <c r="W40" s="10"/>
      <c r="X40" s="10"/>
      <c r="Y40" s="10"/>
      <c r="Z40" s="10"/>
      <c r="AA40" s="10"/>
      <c r="AB40" s="10"/>
      <c r="AC40" s="10"/>
      <c r="AD40" s="10"/>
    </row>
    <row r="41" spans="1:30" ht="12.6" customHeight="1" x14ac:dyDescent="0.2">
      <c r="A41" s="10"/>
      <c r="B41" s="53"/>
      <c r="C41" s="54"/>
      <c r="D41" s="54"/>
      <c r="E41" s="55"/>
      <c r="F41" s="55"/>
      <c r="G41" s="55"/>
      <c r="H41" s="55"/>
      <c r="I41" s="55"/>
      <c r="J41" s="55"/>
      <c r="K41" s="55"/>
      <c r="L41" s="55"/>
      <c r="M41" s="56"/>
      <c r="N41" s="56"/>
      <c r="O41" s="56"/>
      <c r="P41" s="56"/>
      <c r="Q41" s="56"/>
      <c r="R41" s="57"/>
      <c r="S41" s="7"/>
      <c r="T41" s="10"/>
      <c r="U41" s="10"/>
      <c r="V41" s="10"/>
      <c r="W41" s="10"/>
      <c r="X41" s="10"/>
      <c r="Y41" s="10"/>
      <c r="Z41" s="10"/>
      <c r="AA41" s="10"/>
      <c r="AB41" s="10"/>
      <c r="AC41" s="10"/>
      <c r="AD41" s="10"/>
    </row>
    <row r="42" spans="1:30" x14ac:dyDescent="0.2">
      <c r="A42" s="10"/>
      <c r="B42" s="58"/>
      <c r="C42" s="59"/>
      <c r="D42" s="59"/>
      <c r="E42" s="59"/>
      <c r="F42" s="59"/>
      <c r="G42" s="59"/>
      <c r="H42" s="59"/>
      <c r="I42" s="59"/>
      <c r="J42" s="60"/>
      <c r="K42" s="60"/>
      <c r="L42" s="61"/>
      <c r="M42" s="62"/>
      <c r="N42" s="62"/>
      <c r="O42" s="62"/>
      <c r="P42" s="62"/>
      <c r="Q42" s="62"/>
      <c r="R42" s="63"/>
      <c r="S42" s="7"/>
      <c r="T42" s="10"/>
      <c r="U42" s="10"/>
      <c r="V42" s="10"/>
      <c r="W42" s="10"/>
      <c r="X42" s="10"/>
      <c r="Y42" s="10"/>
      <c r="Z42" s="10"/>
      <c r="AA42" s="10"/>
      <c r="AB42" s="10"/>
      <c r="AC42" s="10"/>
      <c r="AD42" s="10"/>
    </row>
    <row r="43" spans="1:30" x14ac:dyDescent="0.2">
      <c r="A43" s="10"/>
      <c r="B43" s="64"/>
      <c r="C43" s="17"/>
      <c r="D43" s="17"/>
      <c r="E43" s="17"/>
      <c r="F43" s="17"/>
      <c r="G43" s="17"/>
      <c r="H43" s="17"/>
      <c r="I43" s="17"/>
      <c r="J43" s="17"/>
      <c r="K43" s="17"/>
      <c r="L43" s="17"/>
      <c r="M43" s="65"/>
      <c r="N43" s="65"/>
      <c r="O43" s="17"/>
      <c r="P43" s="17"/>
      <c r="Q43" s="17"/>
      <c r="R43" s="66"/>
      <c r="S43" s="7"/>
      <c r="T43" s="10"/>
      <c r="U43" s="10"/>
      <c r="V43" s="10"/>
      <c r="W43" s="10"/>
      <c r="X43" s="10"/>
      <c r="Y43" s="10"/>
      <c r="Z43" s="10"/>
      <c r="AA43" s="10"/>
      <c r="AB43" s="10"/>
      <c r="AC43" s="10"/>
      <c r="AD43" s="10"/>
    </row>
    <row r="44" spans="1:30" ht="12.75" customHeight="1" x14ac:dyDescent="0.2">
      <c r="A44" s="10"/>
      <c r="B44" s="67" t="s">
        <v>1143</v>
      </c>
      <c r="C44" s="68" t="s">
        <v>1578</v>
      </c>
      <c r="D44" s="9"/>
      <c r="E44" s="9"/>
      <c r="F44" s="9"/>
      <c r="G44" s="9"/>
      <c r="H44" s="9"/>
      <c r="I44" s="9"/>
      <c r="J44" s="9"/>
      <c r="K44" s="9"/>
      <c r="L44" s="9"/>
      <c r="M44" s="9"/>
      <c r="N44" s="9"/>
      <c r="O44" s="9"/>
      <c r="P44" s="9"/>
      <c r="Q44" s="9"/>
      <c r="R44" s="69"/>
      <c r="S44" s="7"/>
      <c r="T44" s="10"/>
      <c r="U44" s="10"/>
      <c r="V44" s="10"/>
      <c r="W44" s="10"/>
      <c r="X44" s="10"/>
      <c r="Y44" s="10"/>
      <c r="Z44" s="10"/>
      <c r="AA44" s="10"/>
      <c r="AB44" s="10"/>
      <c r="AC44" s="10"/>
      <c r="AD44" s="10"/>
    </row>
    <row r="45" spans="1:30" x14ac:dyDescent="0.2">
      <c r="A45" s="10"/>
      <c r="B45" s="422" t="s">
        <v>1144</v>
      </c>
      <c r="C45" s="423"/>
      <c r="D45" s="423"/>
      <c r="E45" s="453" t="s">
        <v>1145</v>
      </c>
      <c r="F45" s="453"/>
      <c r="G45" s="453" t="s">
        <v>1146</v>
      </c>
      <c r="H45" s="453"/>
      <c r="I45" s="453" t="s">
        <v>1061</v>
      </c>
      <c r="J45" s="453"/>
      <c r="K45" s="9"/>
      <c r="L45" s="9"/>
      <c r="M45" s="9"/>
      <c r="N45" s="9"/>
      <c r="O45" s="9"/>
      <c r="P45" s="9"/>
      <c r="Q45" s="9"/>
      <c r="R45" s="69"/>
      <c r="S45" s="7"/>
      <c r="T45" s="10"/>
      <c r="U45" s="10"/>
      <c r="V45" s="10"/>
      <c r="W45" s="10"/>
      <c r="X45" s="10"/>
      <c r="Y45" s="10"/>
      <c r="Z45" s="10"/>
      <c r="AA45" s="10"/>
      <c r="AB45" s="10"/>
      <c r="AC45" s="10"/>
      <c r="AD45" s="10"/>
    </row>
    <row r="46" spans="1:30" x14ac:dyDescent="0.2">
      <c r="A46" s="10"/>
      <c r="B46" s="422"/>
      <c r="C46" s="423"/>
      <c r="D46" s="423"/>
      <c r="E46" s="70" t="s">
        <v>1147</v>
      </c>
      <c r="F46" s="70" t="s">
        <v>1148</v>
      </c>
      <c r="G46" s="70" t="s">
        <v>1147</v>
      </c>
      <c r="H46" s="70" t="s">
        <v>1148</v>
      </c>
      <c r="I46" s="70" t="s">
        <v>1147</v>
      </c>
      <c r="J46" s="70" t="s">
        <v>1148</v>
      </c>
      <c r="K46" s="9"/>
      <c r="L46" s="9"/>
      <c r="M46" s="9"/>
      <c r="N46" s="9"/>
      <c r="O46" s="9"/>
      <c r="P46" s="9"/>
      <c r="Q46" s="9"/>
      <c r="R46" s="69"/>
      <c r="S46" s="7"/>
      <c r="T46" s="10"/>
      <c r="U46" s="10"/>
      <c r="V46" s="10"/>
      <c r="W46" s="10"/>
      <c r="X46" s="10"/>
      <c r="Y46" s="10"/>
      <c r="Z46" s="10"/>
      <c r="AA46" s="10"/>
      <c r="AB46" s="10"/>
      <c r="AC46" s="10"/>
      <c r="AD46" s="10"/>
    </row>
    <row r="47" spans="1:30" ht="12.75" customHeight="1" x14ac:dyDescent="0.2">
      <c r="A47" s="10"/>
      <c r="B47" s="447" t="s">
        <v>1418</v>
      </c>
      <c r="C47" s="448"/>
      <c r="D47" s="448"/>
      <c r="E47" s="327">
        <f>GETPIVOTDATA("Units Proposed",Pivots!$B$80)</f>
        <v>206</v>
      </c>
      <c r="F47" s="327">
        <f>GETPIVOTDATA("Net Dwellings",Pivots!$B$71)</f>
        <v>187</v>
      </c>
      <c r="G47" s="327">
        <f>GETPIVOTDATA("Units Proposed",Pivots!$B$96)</f>
        <v>290</v>
      </c>
      <c r="H47" s="327">
        <f>GETPIVOTDATA("Net Dwellings",Pivots!$B$88)</f>
        <v>232</v>
      </c>
      <c r="I47" s="327">
        <f>GETPIVOTDATA("Units Proposed",Pivots!$B$114)</f>
        <v>496</v>
      </c>
      <c r="J47" s="327">
        <f>GETPIVOTDATA("Net Dwellings",Pivots!$B$105)</f>
        <v>419</v>
      </c>
      <c r="K47" s="9"/>
      <c r="L47" s="9"/>
      <c r="M47" s="71"/>
      <c r="N47" s="71"/>
      <c r="O47" s="71"/>
      <c r="P47" s="71"/>
      <c r="Q47" s="71"/>
      <c r="R47" s="72"/>
      <c r="S47" s="7"/>
      <c r="T47" s="10"/>
      <c r="U47" s="10"/>
      <c r="V47" s="10"/>
      <c r="W47" s="10"/>
      <c r="X47" s="10"/>
      <c r="Y47" s="10"/>
      <c r="Z47" s="10"/>
      <c r="AA47" s="10"/>
      <c r="AB47" s="10"/>
      <c r="AC47" s="10"/>
      <c r="AD47" s="10"/>
    </row>
    <row r="48" spans="1:30" ht="12.75" customHeight="1" x14ac:dyDescent="0.2">
      <c r="A48" s="10"/>
      <c r="B48" s="449" t="s">
        <v>246</v>
      </c>
      <c r="C48" s="450"/>
      <c r="D48" s="450"/>
      <c r="E48" s="327">
        <f>GETPIVOTDATA("Units Proposed",Pivots!$E$79)</f>
        <v>667</v>
      </c>
      <c r="F48" s="327">
        <f>GETPIVOTDATA("Net Dwellings",Pivots!$E$71)</f>
        <v>624</v>
      </c>
      <c r="G48" s="327">
        <f>GETPIVOTDATA("Units Proposed",Pivots!$E$96)</f>
        <v>125</v>
      </c>
      <c r="H48" s="327">
        <f>GETPIVOTDATA("Net Dwellings",Pivots!$E$88)</f>
        <v>85</v>
      </c>
      <c r="I48" s="327">
        <f>GETPIVOTDATA("Units Proposed",Pivots!$E$114)</f>
        <v>792</v>
      </c>
      <c r="J48" s="327">
        <f>GETPIVOTDATA("Net Dwellings",Pivots!$E$105)</f>
        <v>709</v>
      </c>
      <c r="K48" s="9"/>
      <c r="L48" s="9"/>
      <c r="M48" s="71"/>
      <c r="N48" s="71"/>
      <c r="O48" s="71"/>
      <c r="P48" s="71"/>
      <c r="Q48" s="71"/>
      <c r="R48" s="72"/>
      <c r="S48" s="7"/>
      <c r="T48" s="10"/>
      <c r="U48" s="10"/>
      <c r="V48" s="10"/>
      <c r="W48" s="10"/>
      <c r="X48" s="10"/>
      <c r="Y48" s="10"/>
      <c r="Z48" s="10"/>
      <c r="AA48" s="10"/>
      <c r="AB48" s="10"/>
      <c r="AC48" s="10"/>
      <c r="AD48" s="10"/>
    </row>
    <row r="49" spans="1:30" ht="12.75" customHeight="1" x14ac:dyDescent="0.2">
      <c r="A49" s="10"/>
      <c r="B49" s="449" t="s">
        <v>1149</v>
      </c>
      <c r="C49" s="450"/>
      <c r="D49" s="450"/>
      <c r="E49" s="327">
        <f>GETPIVOTDATA("Units Proposed",Pivots!$H$79)</f>
        <v>253</v>
      </c>
      <c r="F49" s="327">
        <f>GETPIVOTDATA("Net Dwellings",Pivots!$H$71)</f>
        <v>183</v>
      </c>
      <c r="G49" s="327">
        <f>GETPIVOTDATA("Units Proposed",Pivots!$H$96)</f>
        <v>168</v>
      </c>
      <c r="H49" s="327">
        <f>GETPIVOTDATA("Net Dwellings",Pivots!$H$88)</f>
        <v>131</v>
      </c>
      <c r="I49" s="327">
        <f>GETPIVOTDATA("Units Proposed",Pivots!$H$114)</f>
        <v>421</v>
      </c>
      <c r="J49" s="327">
        <f>GETPIVOTDATA("Net Dwellings",Pivots!$H$105)</f>
        <v>314</v>
      </c>
      <c r="K49" s="9"/>
      <c r="L49" s="9"/>
      <c r="M49" s="71"/>
      <c r="N49" s="71"/>
      <c r="O49" s="71"/>
      <c r="P49" s="71"/>
      <c r="Q49" s="71"/>
      <c r="R49" s="72"/>
      <c r="S49" s="7"/>
      <c r="T49" s="10"/>
      <c r="U49" s="10"/>
      <c r="V49" s="10"/>
      <c r="W49" s="10"/>
      <c r="X49" s="10"/>
      <c r="Y49" s="10"/>
      <c r="Z49" s="10"/>
      <c r="AA49" s="10"/>
      <c r="AB49" s="10"/>
      <c r="AC49" s="10"/>
      <c r="AD49" s="10"/>
    </row>
    <row r="50" spans="1:30" s="76" customFormat="1" ht="12.75" customHeight="1" x14ac:dyDescent="0.2">
      <c r="A50" s="73"/>
      <c r="B50" s="449" t="s">
        <v>1150</v>
      </c>
      <c r="C50" s="450"/>
      <c r="D50" s="450"/>
      <c r="E50" s="327">
        <f>GETPIVOTDATA("Net Dwellings",Pivots!$K$70)</f>
        <v>1979</v>
      </c>
      <c r="F50" s="327">
        <f>GETPIVOTDATA("Net Dwellings",Pivots!$K$70)</f>
        <v>1979</v>
      </c>
      <c r="G50" s="327">
        <v>0</v>
      </c>
      <c r="H50" s="327">
        <v>0</v>
      </c>
      <c r="I50" s="327">
        <f>E50</f>
        <v>1979</v>
      </c>
      <c r="J50" s="327">
        <f>F50</f>
        <v>1979</v>
      </c>
      <c r="K50" s="74"/>
      <c r="L50" s="9"/>
      <c r="M50" s="71"/>
      <c r="N50" s="71"/>
      <c r="O50" s="71"/>
      <c r="P50" s="71"/>
      <c r="Q50" s="71"/>
      <c r="R50" s="72"/>
      <c r="S50" s="75"/>
      <c r="T50" s="73"/>
      <c r="U50" s="73"/>
      <c r="V50" s="73"/>
      <c r="W50" s="73"/>
      <c r="X50" s="73"/>
      <c r="Y50" s="73"/>
      <c r="Z50" s="73"/>
      <c r="AA50" s="73"/>
      <c r="AB50" s="73"/>
      <c r="AC50" s="73"/>
      <c r="AD50" s="73"/>
    </row>
    <row r="51" spans="1:30" ht="12.75" customHeight="1" x14ac:dyDescent="0.2">
      <c r="A51" s="10"/>
      <c r="B51" s="440" t="s">
        <v>1383</v>
      </c>
      <c r="C51" s="441"/>
      <c r="D51" s="441"/>
      <c r="E51" s="77">
        <f t="shared" ref="E51:I51" si="0">SUM(E48:E50)</f>
        <v>2899</v>
      </c>
      <c r="F51" s="77">
        <f t="shared" si="0"/>
        <v>2786</v>
      </c>
      <c r="G51" s="77">
        <f t="shared" si="0"/>
        <v>293</v>
      </c>
      <c r="H51" s="77">
        <f t="shared" si="0"/>
        <v>216</v>
      </c>
      <c r="I51" s="77">
        <f t="shared" si="0"/>
        <v>3192</v>
      </c>
      <c r="J51" s="77">
        <f>SUM(J48:J50)</f>
        <v>3002</v>
      </c>
      <c r="K51" s="9"/>
      <c r="L51" s="9"/>
      <c r="M51" s="71"/>
      <c r="N51" s="71"/>
      <c r="O51" s="71"/>
      <c r="P51" s="71"/>
      <c r="Q51" s="71"/>
      <c r="R51" s="72"/>
      <c r="S51" s="7"/>
      <c r="T51" s="10"/>
      <c r="U51" s="10"/>
      <c r="V51" s="10"/>
      <c r="W51" s="10"/>
      <c r="X51" s="10"/>
      <c r="Y51" s="10"/>
      <c r="Z51" s="10"/>
      <c r="AA51" s="10"/>
      <c r="AB51" s="10"/>
      <c r="AC51" s="10"/>
      <c r="AD51" s="10"/>
    </row>
    <row r="52" spans="1:30" x14ac:dyDescent="0.2">
      <c r="A52" s="10"/>
      <c r="B52" s="46"/>
      <c r="C52" s="78"/>
      <c r="D52" s="78"/>
      <c r="E52" s="79"/>
      <c r="F52" s="79"/>
      <c r="G52" s="79"/>
      <c r="H52" s="79"/>
      <c r="I52" s="79"/>
      <c r="J52" s="79"/>
      <c r="K52" s="9"/>
      <c r="L52" s="9"/>
      <c r="M52" s="71"/>
      <c r="N52" s="71"/>
      <c r="O52" s="71"/>
      <c r="P52" s="71"/>
      <c r="Q52" s="71"/>
      <c r="R52" s="72"/>
      <c r="S52" s="7"/>
      <c r="T52" s="10"/>
      <c r="U52" s="10"/>
      <c r="V52" s="10"/>
      <c r="W52" s="10"/>
      <c r="X52" s="10"/>
      <c r="Y52" s="10"/>
      <c r="Z52" s="10"/>
      <c r="AA52" s="10"/>
      <c r="AB52" s="10"/>
      <c r="AC52" s="10"/>
      <c r="AD52" s="10"/>
    </row>
    <row r="53" spans="1:30" x14ac:dyDescent="0.2">
      <c r="A53" s="10"/>
      <c r="B53" s="46"/>
      <c r="C53" s="78"/>
      <c r="D53" s="78"/>
      <c r="E53" s="79"/>
      <c r="F53" s="79"/>
      <c r="G53" s="79"/>
      <c r="H53" s="79"/>
      <c r="I53" s="79"/>
      <c r="J53" s="79"/>
      <c r="K53" s="9"/>
      <c r="L53" s="9"/>
      <c r="M53" s="71"/>
      <c r="N53" s="71"/>
      <c r="O53" s="71"/>
      <c r="P53" s="71"/>
      <c r="Q53" s="71"/>
      <c r="R53" s="72"/>
      <c r="S53" s="7"/>
      <c r="T53" s="10"/>
      <c r="U53" s="10"/>
      <c r="V53" s="10"/>
      <c r="W53" s="10"/>
      <c r="X53" s="10"/>
      <c r="Y53" s="10"/>
      <c r="Z53" s="10"/>
      <c r="AA53" s="10"/>
      <c r="AB53" s="10"/>
      <c r="AC53" s="10"/>
      <c r="AD53" s="10"/>
    </row>
    <row r="54" spans="1:30" x14ac:dyDescent="0.2">
      <c r="A54" s="10"/>
      <c r="B54" s="46"/>
      <c r="C54" s="78"/>
      <c r="D54" s="78"/>
      <c r="E54" s="79"/>
      <c r="F54" s="79"/>
      <c r="G54" s="79"/>
      <c r="H54" s="79"/>
      <c r="I54" s="79"/>
      <c r="J54" s="79"/>
      <c r="K54" s="9"/>
      <c r="L54" s="9"/>
      <c r="M54" s="71"/>
      <c r="N54" s="71"/>
      <c r="O54" s="71"/>
      <c r="P54" s="71"/>
      <c r="Q54" s="71"/>
      <c r="R54" s="72"/>
      <c r="S54" s="7"/>
      <c r="T54" s="10"/>
      <c r="U54" s="10"/>
      <c r="V54" s="10"/>
      <c r="W54" s="10"/>
      <c r="X54" s="10"/>
      <c r="Y54" s="10"/>
      <c r="Z54" s="10"/>
      <c r="AA54" s="10"/>
      <c r="AB54" s="10"/>
      <c r="AC54" s="10"/>
      <c r="AD54" s="10"/>
    </row>
    <row r="55" spans="1:30" x14ac:dyDescent="0.2">
      <c r="A55" s="10"/>
      <c r="B55" s="80" t="s">
        <v>1151</v>
      </c>
      <c r="C55" s="81" t="s">
        <v>1577</v>
      </c>
      <c r="D55" s="82"/>
      <c r="E55" s="82"/>
      <c r="F55" s="82"/>
      <c r="G55" s="82"/>
      <c r="H55" s="82"/>
      <c r="I55" s="82"/>
      <c r="J55" s="82"/>
      <c r="K55" s="82"/>
      <c r="L55" s="82"/>
      <c r="M55" s="82"/>
      <c r="N55" s="82"/>
      <c r="O55" s="82"/>
      <c r="P55" s="82"/>
      <c r="Q55" s="82"/>
      <c r="R55" s="83"/>
      <c r="S55" s="7"/>
      <c r="T55" s="10"/>
      <c r="U55" s="10"/>
      <c r="V55" s="10"/>
      <c r="W55" s="10"/>
      <c r="X55" s="10"/>
      <c r="Y55" s="10"/>
      <c r="Z55" s="10"/>
      <c r="AA55" s="10"/>
      <c r="AB55" s="10"/>
      <c r="AC55" s="10"/>
      <c r="AD55" s="10"/>
    </row>
    <row r="56" spans="1:30" x14ac:dyDescent="0.2">
      <c r="A56" s="10"/>
      <c r="B56" s="451" t="s">
        <v>0</v>
      </c>
      <c r="C56" s="444"/>
      <c r="D56" s="444"/>
      <c r="E56" s="444" t="s">
        <v>1048</v>
      </c>
      <c r="F56" s="444"/>
      <c r="G56" s="445" t="s">
        <v>1</v>
      </c>
      <c r="H56" s="445"/>
      <c r="I56" s="445"/>
      <c r="J56" s="445"/>
      <c r="K56" s="452" t="s">
        <v>1152</v>
      </c>
      <c r="L56" s="452"/>
      <c r="M56" s="444" t="s">
        <v>1153</v>
      </c>
      <c r="N56" s="444"/>
      <c r="O56" s="444" t="s">
        <v>1154</v>
      </c>
      <c r="P56" s="444"/>
      <c r="Q56" s="444" t="s">
        <v>1061</v>
      </c>
      <c r="R56" s="444"/>
      <c r="S56" s="7"/>
      <c r="T56" s="10"/>
      <c r="U56" s="10"/>
      <c r="V56" s="10"/>
      <c r="W56" s="10"/>
      <c r="X56" s="10"/>
      <c r="Y56" s="10"/>
      <c r="Z56" s="10"/>
      <c r="AA56" s="10"/>
      <c r="AB56" s="10"/>
      <c r="AC56" s="10"/>
      <c r="AD56" s="10"/>
    </row>
    <row r="57" spans="1:30" x14ac:dyDescent="0.2">
      <c r="A57" s="10"/>
      <c r="B57" s="451"/>
      <c r="C57" s="444"/>
      <c r="D57" s="444"/>
      <c r="E57" s="444"/>
      <c r="F57" s="444"/>
      <c r="G57" s="445" t="s">
        <v>1049</v>
      </c>
      <c r="H57" s="445"/>
      <c r="I57" s="445" t="s">
        <v>1155</v>
      </c>
      <c r="J57" s="445"/>
      <c r="K57" s="452"/>
      <c r="L57" s="452"/>
      <c r="M57" s="444"/>
      <c r="N57" s="444"/>
      <c r="O57" s="444"/>
      <c r="P57" s="444"/>
      <c r="Q57" s="444"/>
      <c r="R57" s="444"/>
      <c r="S57" s="7"/>
      <c r="T57" s="10"/>
      <c r="U57" s="10"/>
      <c r="V57" s="10"/>
      <c r="W57" s="10"/>
      <c r="X57" s="10"/>
      <c r="Y57" s="10"/>
      <c r="Z57" s="10"/>
      <c r="AA57" s="10"/>
      <c r="AB57" s="10"/>
      <c r="AC57" s="10"/>
      <c r="AD57" s="10"/>
    </row>
    <row r="58" spans="1:30" x14ac:dyDescent="0.2">
      <c r="A58" s="10"/>
      <c r="B58" s="451"/>
      <c r="C58" s="444"/>
      <c r="D58" s="444"/>
      <c r="E58" s="84" t="s">
        <v>1156</v>
      </c>
      <c r="F58" s="84" t="s">
        <v>1148</v>
      </c>
      <c r="G58" s="84" t="s">
        <v>1156</v>
      </c>
      <c r="H58" s="84" t="s">
        <v>1148</v>
      </c>
      <c r="I58" s="240" t="s">
        <v>1156</v>
      </c>
      <c r="J58" s="84" t="s">
        <v>1148</v>
      </c>
      <c r="K58" s="84" t="s">
        <v>1156</v>
      </c>
      <c r="L58" s="84" t="s">
        <v>1148</v>
      </c>
      <c r="M58" s="84" t="s">
        <v>1156</v>
      </c>
      <c r="N58" s="84" t="s">
        <v>1148</v>
      </c>
      <c r="O58" s="84" t="s">
        <v>1156</v>
      </c>
      <c r="P58" s="84" t="s">
        <v>1148</v>
      </c>
      <c r="Q58" s="84" t="s">
        <v>1156</v>
      </c>
      <c r="R58" s="84" t="s">
        <v>1148</v>
      </c>
      <c r="S58" s="7"/>
      <c r="T58" s="10"/>
      <c r="U58" s="10"/>
      <c r="V58" s="10"/>
      <c r="W58" s="10"/>
      <c r="X58" s="10"/>
      <c r="Y58" s="10"/>
      <c r="Z58" s="10"/>
      <c r="AA58" s="10"/>
      <c r="AB58" s="10"/>
      <c r="AC58" s="10"/>
      <c r="AD58" s="10"/>
    </row>
    <row r="59" spans="1:30" x14ac:dyDescent="0.2">
      <c r="A59" s="10"/>
      <c r="B59" s="447" t="s">
        <v>1418</v>
      </c>
      <c r="C59" s="448"/>
      <c r="D59" s="448"/>
      <c r="E59" s="327">
        <f>GETPIVOTDATA("Units Proposed",Pivots!$B$171)</f>
        <v>426</v>
      </c>
      <c r="F59" s="327">
        <f>GETPIVOTDATA("Net Dwellings",Pivots!$B$145)</f>
        <v>349</v>
      </c>
      <c r="G59" s="327">
        <f>GETPIVOTDATA("Units Proposed",Pivots!$B$155)</f>
        <v>34</v>
      </c>
      <c r="H59" s="327">
        <f>GETPIVOTDATA("Net Dwellings",Pivots!$B$129)</f>
        <v>34</v>
      </c>
      <c r="I59" s="327">
        <f>GETPIVOTDATA("Units Proposed",Pivots!$B$163)</f>
        <v>36</v>
      </c>
      <c r="J59" s="327">
        <f>GETPIVOTDATA("Net Dwellings",Pivots!$B$137)</f>
        <v>36</v>
      </c>
      <c r="K59" s="327">
        <v>0</v>
      </c>
      <c r="L59" s="327">
        <v>0</v>
      </c>
      <c r="M59" s="327">
        <f t="shared" ref="M59:N60" si="1">I59+G59</f>
        <v>70</v>
      </c>
      <c r="N59" s="327">
        <f t="shared" si="1"/>
        <v>70</v>
      </c>
      <c r="O59" s="328">
        <f>M59/Q59</f>
        <v>0.14112903225806453</v>
      </c>
      <c r="P59" s="328">
        <f>N59/R59</f>
        <v>0.16706443914081145</v>
      </c>
      <c r="Q59" s="327">
        <f>E59+M59</f>
        <v>496</v>
      </c>
      <c r="R59" s="327">
        <f>F59+N59</f>
        <v>419</v>
      </c>
      <c r="S59" s="7"/>
      <c r="T59" s="10"/>
      <c r="U59" s="10"/>
      <c r="V59" s="10"/>
      <c r="W59" s="10"/>
      <c r="X59" s="10"/>
      <c r="Y59" s="10"/>
      <c r="Z59" s="10"/>
      <c r="AA59" s="10"/>
      <c r="AB59" s="10"/>
      <c r="AC59" s="10"/>
      <c r="AD59" s="10"/>
    </row>
    <row r="60" spans="1:30" x14ac:dyDescent="0.2">
      <c r="A60" s="10"/>
      <c r="B60" s="449" t="s">
        <v>246</v>
      </c>
      <c r="C60" s="450"/>
      <c r="D60" s="450"/>
      <c r="E60" s="329">
        <f>GETPIVOTDATA("Units Proposed",Pivots!$E$171)</f>
        <v>722</v>
      </c>
      <c r="F60" s="329">
        <f>GETPIVOTDATA("Net Dwellings",Pivots!$E$145)</f>
        <v>640</v>
      </c>
      <c r="G60" s="329">
        <f>GETPIVOTDATA("Units Proposed",Pivots!$E$155)</f>
        <v>8</v>
      </c>
      <c r="H60" s="329">
        <f>GETPIVOTDATA("Net Dwellings",Pivots!$E$129)</f>
        <v>8</v>
      </c>
      <c r="I60" s="329">
        <f>GETPIVOTDATA("Units Proposed",Pivots!$E$163)</f>
        <v>61</v>
      </c>
      <c r="J60" s="329">
        <f>GETPIVOTDATA("Net Dwellings",Pivots!$E$137)</f>
        <v>61</v>
      </c>
      <c r="K60" s="329">
        <v>0</v>
      </c>
      <c r="L60" s="329">
        <v>0</v>
      </c>
      <c r="M60" s="329">
        <f t="shared" si="1"/>
        <v>69</v>
      </c>
      <c r="N60" s="329">
        <f t="shared" si="1"/>
        <v>69</v>
      </c>
      <c r="O60" s="328">
        <f t="shared" ref="O60:P62" si="2">M60/Q60</f>
        <v>8.7231352718078387E-2</v>
      </c>
      <c r="P60" s="328">
        <f t="shared" si="2"/>
        <v>9.7320169252468267E-2</v>
      </c>
      <c r="Q60" s="329">
        <f>M60+E60</f>
        <v>791</v>
      </c>
      <c r="R60" s="329">
        <f>N60+F60</f>
        <v>709</v>
      </c>
      <c r="S60" s="7"/>
      <c r="T60" s="10"/>
      <c r="U60" s="10"/>
      <c r="V60" s="10"/>
      <c r="W60" s="10"/>
      <c r="X60" s="10"/>
      <c r="Y60" s="10"/>
      <c r="Z60" s="10"/>
      <c r="AA60" s="10"/>
      <c r="AB60" s="10"/>
      <c r="AC60" s="10"/>
      <c r="AD60" s="10"/>
    </row>
    <row r="61" spans="1:30" x14ac:dyDescent="0.2">
      <c r="A61" s="10"/>
      <c r="B61" s="449" t="s">
        <v>1149</v>
      </c>
      <c r="C61" s="450"/>
      <c r="D61" s="450"/>
      <c r="E61" s="329">
        <f>GETPIVOTDATA("Units Proposed",Pivots!$H$171)</f>
        <v>370</v>
      </c>
      <c r="F61" s="329">
        <f>GETPIVOTDATA("Net Dwellings",Pivots!$H$145)</f>
        <v>293</v>
      </c>
      <c r="G61" s="329">
        <f>GETPIVOTDATA("Units Proposed",Pivots!$H$155)</f>
        <v>27</v>
      </c>
      <c r="H61" s="329">
        <f>GETPIVOTDATA("Net Dwellings",Pivots!$H$129)</f>
        <v>27</v>
      </c>
      <c r="I61" s="329">
        <f>GETPIVOTDATA("Units Proposed",Pivots!$H$163)</f>
        <v>24</v>
      </c>
      <c r="J61" s="329">
        <f>GETPIVOTDATA("Net Dwellings",Pivots!$H$137)</f>
        <v>-6</v>
      </c>
      <c r="K61" s="329">
        <v>0</v>
      </c>
      <c r="L61" s="329">
        <v>0</v>
      </c>
      <c r="M61" s="329">
        <f>I61+G61</f>
        <v>51</v>
      </c>
      <c r="N61" s="329">
        <f>J61+H61</f>
        <v>21</v>
      </c>
      <c r="O61" s="328">
        <f t="shared" si="2"/>
        <v>0.12114014251781473</v>
      </c>
      <c r="P61" s="328">
        <f t="shared" si="2"/>
        <v>6.6878980891719744E-2</v>
      </c>
      <c r="Q61" s="329">
        <f>M61+E61</f>
        <v>421</v>
      </c>
      <c r="R61" s="329">
        <f>N61+F61</f>
        <v>314</v>
      </c>
      <c r="S61" s="7"/>
      <c r="T61" s="10"/>
      <c r="U61" s="10"/>
      <c r="V61" s="10"/>
      <c r="W61" s="10"/>
      <c r="X61" s="10"/>
      <c r="Y61" s="10"/>
      <c r="Z61" s="10"/>
      <c r="AA61" s="10"/>
      <c r="AB61" s="10"/>
      <c r="AC61" s="10"/>
      <c r="AD61" s="10"/>
    </row>
    <row r="62" spans="1:30" x14ac:dyDescent="0.2">
      <c r="A62" s="10"/>
      <c r="B62" s="438" t="s">
        <v>1150</v>
      </c>
      <c r="C62" s="439"/>
      <c r="D62" s="439"/>
      <c r="E62" s="329">
        <f>GETPIVOTDATA("Net Dwellings",Pivots!$K$80)</f>
        <v>1037</v>
      </c>
      <c r="F62" s="329">
        <f>GETPIVOTDATA("Net Dwellings",Pivots!$K$80)</f>
        <v>1037</v>
      </c>
      <c r="G62" s="329">
        <v>0</v>
      </c>
      <c r="H62" s="329">
        <v>0</v>
      </c>
      <c r="I62" s="329">
        <v>0</v>
      </c>
      <c r="J62" s="329">
        <v>0</v>
      </c>
      <c r="K62" s="330">
        <v>0</v>
      </c>
      <c r="L62" s="330">
        <v>0</v>
      </c>
      <c r="M62" s="329">
        <f>GETPIVOTDATA("Net Dwellings",Pivots!$K$88)</f>
        <v>942</v>
      </c>
      <c r="N62" s="329">
        <f>GETPIVOTDATA("Net Dwellings",Pivots!$K$88)</f>
        <v>942</v>
      </c>
      <c r="O62" s="328">
        <f t="shared" si="2"/>
        <v>0.47599797877716016</v>
      </c>
      <c r="P62" s="328">
        <f t="shared" si="2"/>
        <v>0.47599797877716016</v>
      </c>
      <c r="Q62" s="329">
        <f t="shared" ref="Q62:R62" si="3">M62+E62</f>
        <v>1979</v>
      </c>
      <c r="R62" s="329">
        <f t="shared" si="3"/>
        <v>1979</v>
      </c>
      <c r="S62" s="52"/>
      <c r="T62" s="10"/>
      <c r="U62" s="10"/>
      <c r="V62" s="10"/>
      <c r="W62" s="10"/>
      <c r="X62" s="10"/>
      <c r="Y62" s="10"/>
      <c r="Z62" s="10"/>
      <c r="AA62" s="10"/>
      <c r="AB62" s="10"/>
      <c r="AC62" s="10"/>
      <c r="AD62" s="10"/>
    </row>
    <row r="63" spans="1:30" ht="12.75" customHeight="1" x14ac:dyDescent="0.2">
      <c r="A63" s="10"/>
      <c r="B63" s="438" t="s">
        <v>1157</v>
      </c>
      <c r="C63" s="439"/>
      <c r="D63" s="439"/>
      <c r="E63" s="87">
        <v>0</v>
      </c>
      <c r="F63" s="87">
        <v>0</v>
      </c>
      <c r="G63" s="87">
        <v>0</v>
      </c>
      <c r="H63" s="87">
        <v>0</v>
      </c>
      <c r="I63" s="87">
        <v>0</v>
      </c>
      <c r="J63" s="87">
        <v>0</v>
      </c>
      <c r="K63" s="88">
        <v>1020</v>
      </c>
      <c r="L63" s="88">
        <v>1020</v>
      </c>
      <c r="M63" s="87">
        <v>0</v>
      </c>
      <c r="N63" s="87">
        <v>0</v>
      </c>
      <c r="O63" s="89">
        <v>0</v>
      </c>
      <c r="P63" s="85">
        <f>N63/R63</f>
        <v>0</v>
      </c>
      <c r="Q63" s="88">
        <v>1020</v>
      </c>
      <c r="R63" s="86">
        <f>L63</f>
        <v>1020</v>
      </c>
      <c r="S63" s="7"/>
      <c r="T63" s="10"/>
      <c r="U63" s="10"/>
      <c r="V63" s="10"/>
      <c r="W63" s="10"/>
      <c r="X63" s="10"/>
      <c r="Y63" s="10"/>
      <c r="Z63" s="10"/>
      <c r="AA63" s="10"/>
      <c r="AB63" s="10"/>
      <c r="AC63" s="10"/>
      <c r="AD63" s="10"/>
    </row>
    <row r="64" spans="1:30" ht="12.75" customHeight="1" x14ac:dyDescent="0.2">
      <c r="A64" s="10"/>
      <c r="B64" s="440" t="s">
        <v>1383</v>
      </c>
      <c r="C64" s="441"/>
      <c r="D64" s="441"/>
      <c r="E64" s="90">
        <f t="shared" ref="E64:I64" si="4">SUM(E60:E63)</f>
        <v>2129</v>
      </c>
      <c r="F64" s="90">
        <f>SUM(F60:F63)</f>
        <v>1970</v>
      </c>
      <c r="G64" s="90">
        <f t="shared" si="4"/>
        <v>35</v>
      </c>
      <c r="H64" s="90">
        <f t="shared" si="4"/>
        <v>35</v>
      </c>
      <c r="I64" s="90">
        <f t="shared" si="4"/>
        <v>85</v>
      </c>
      <c r="J64" s="90">
        <f>SUM(J60:J63)</f>
        <v>55</v>
      </c>
      <c r="K64" s="90">
        <f>SUM(K59:K63)</f>
        <v>1020</v>
      </c>
      <c r="L64" s="90">
        <f>SUM(L59:L63)</f>
        <v>1020</v>
      </c>
      <c r="M64" s="90">
        <f t="shared" ref="M64:N64" si="5">SUM(M60:M63)</f>
        <v>1062</v>
      </c>
      <c r="N64" s="90">
        <f t="shared" si="5"/>
        <v>1032</v>
      </c>
      <c r="O64" s="90"/>
      <c r="P64" s="90"/>
      <c r="Q64" s="90">
        <f>SUM(Q60:Q63)</f>
        <v>4211</v>
      </c>
      <c r="R64" s="90">
        <f>SUM(R60:R63)</f>
        <v>4022</v>
      </c>
      <c r="S64" s="52"/>
      <c r="T64" s="10"/>
      <c r="U64" s="10"/>
      <c r="V64" s="10"/>
      <c r="W64" s="10"/>
      <c r="X64" s="10"/>
      <c r="Y64" s="10"/>
      <c r="Z64" s="10"/>
      <c r="AA64" s="10"/>
      <c r="AB64" s="10"/>
      <c r="AC64" s="10"/>
      <c r="AD64" s="10"/>
    </row>
    <row r="65" spans="1:30" x14ac:dyDescent="0.2">
      <c r="A65" s="10"/>
      <c r="B65" s="46"/>
      <c r="C65" s="78"/>
      <c r="D65" s="78"/>
      <c r="E65" s="79"/>
      <c r="F65" s="79"/>
      <c r="G65" s="79"/>
      <c r="H65" s="79"/>
      <c r="I65" s="79"/>
      <c r="J65" s="79"/>
      <c r="K65" s="9"/>
      <c r="L65" s="9"/>
      <c r="M65" s="71"/>
      <c r="N65" s="71"/>
      <c r="O65" s="71"/>
      <c r="P65" s="71"/>
      <c r="Q65" s="71"/>
      <c r="R65" s="72"/>
      <c r="S65" s="7"/>
      <c r="T65" s="10"/>
      <c r="U65" s="10"/>
      <c r="V65" s="10"/>
      <c r="W65" s="10"/>
      <c r="X65" s="10"/>
      <c r="Y65" s="10"/>
      <c r="Z65" s="10"/>
      <c r="AA65" s="10"/>
      <c r="AB65" s="10"/>
      <c r="AC65" s="10"/>
      <c r="AD65" s="10"/>
    </row>
    <row r="66" spans="1:30" x14ac:dyDescent="0.2">
      <c r="A66" s="10"/>
      <c r="B66" s="46"/>
      <c r="C66" s="78"/>
      <c r="D66" s="78"/>
      <c r="E66" s="79"/>
      <c r="F66" s="79"/>
      <c r="G66" s="79"/>
      <c r="H66" s="79"/>
      <c r="I66" s="79"/>
      <c r="J66" s="79"/>
      <c r="K66" s="9"/>
      <c r="L66" s="9"/>
      <c r="M66" s="71"/>
      <c r="N66" s="71"/>
      <c r="O66" s="71"/>
      <c r="P66" s="71"/>
      <c r="Q66" s="71"/>
      <c r="R66" s="72"/>
      <c r="S66" s="7"/>
      <c r="T66" s="10"/>
      <c r="U66" s="10"/>
      <c r="V66" s="10"/>
      <c r="W66" s="10"/>
      <c r="X66" s="10"/>
      <c r="Y66" s="10"/>
      <c r="Z66" s="10"/>
      <c r="AA66" s="10"/>
      <c r="AB66" s="10"/>
      <c r="AC66" s="10"/>
      <c r="AD66" s="10"/>
    </row>
    <row r="67" spans="1:30" x14ac:dyDescent="0.2">
      <c r="A67" s="10"/>
      <c r="B67" s="80" t="s">
        <v>1158</v>
      </c>
      <c r="C67" s="81" t="s">
        <v>1399</v>
      </c>
      <c r="D67" s="82"/>
      <c r="E67" s="82"/>
      <c r="F67" s="82"/>
      <c r="G67" s="82"/>
      <c r="H67" s="82"/>
      <c r="I67" s="82"/>
      <c r="J67" s="82"/>
      <c r="K67" s="82"/>
      <c r="L67" s="82"/>
      <c r="M67" s="82"/>
      <c r="N67" s="82"/>
      <c r="O67" s="82"/>
      <c r="P67" s="82"/>
      <c r="Q67" s="82"/>
      <c r="R67" s="83"/>
      <c r="S67" s="7"/>
      <c r="T67" s="10"/>
      <c r="U67" s="10"/>
      <c r="V67" s="10"/>
      <c r="W67" s="10"/>
      <c r="X67" s="10"/>
      <c r="Y67" s="10"/>
      <c r="Z67" s="10"/>
      <c r="AA67" s="10"/>
      <c r="AB67" s="10"/>
      <c r="AC67" s="10"/>
      <c r="AD67" s="10"/>
    </row>
    <row r="68" spans="1:30" x14ac:dyDescent="0.2">
      <c r="A68" s="10"/>
      <c r="B68" s="451" t="s">
        <v>0</v>
      </c>
      <c r="C68" s="444"/>
      <c r="D68" s="444"/>
      <c r="E68" s="444" t="s">
        <v>1048</v>
      </c>
      <c r="F68" s="444"/>
      <c r="G68" s="445" t="s">
        <v>1</v>
      </c>
      <c r="H68" s="445"/>
      <c r="I68" s="445"/>
      <c r="J68" s="445"/>
      <c r="K68" s="452" t="s">
        <v>1152</v>
      </c>
      <c r="L68" s="452"/>
      <c r="M68" s="444" t="s">
        <v>1153</v>
      </c>
      <c r="N68" s="444"/>
      <c r="O68" s="444" t="s">
        <v>1154</v>
      </c>
      <c r="P68" s="444"/>
      <c r="Q68" s="444" t="s">
        <v>1061</v>
      </c>
      <c r="R68" s="444"/>
      <c r="S68" s="7"/>
      <c r="T68" s="10"/>
      <c r="U68" s="10"/>
      <c r="V68" s="10"/>
      <c r="W68" s="10"/>
      <c r="X68" s="10"/>
      <c r="Y68" s="10"/>
      <c r="Z68" s="10"/>
      <c r="AA68" s="10"/>
      <c r="AB68" s="10"/>
      <c r="AC68" s="10"/>
      <c r="AD68" s="10"/>
    </row>
    <row r="69" spans="1:30" x14ac:dyDescent="0.2">
      <c r="A69" s="10"/>
      <c r="B69" s="451"/>
      <c r="C69" s="444"/>
      <c r="D69" s="444"/>
      <c r="E69" s="444"/>
      <c r="F69" s="444"/>
      <c r="G69" s="445" t="s">
        <v>1049</v>
      </c>
      <c r="H69" s="445"/>
      <c r="I69" s="446" t="s">
        <v>1155</v>
      </c>
      <c r="J69" s="446"/>
      <c r="K69" s="452"/>
      <c r="L69" s="452"/>
      <c r="M69" s="444"/>
      <c r="N69" s="444"/>
      <c r="O69" s="444"/>
      <c r="P69" s="444"/>
      <c r="Q69" s="444"/>
      <c r="R69" s="444"/>
      <c r="S69" s="7"/>
      <c r="T69" s="10"/>
      <c r="U69" s="10"/>
      <c r="V69" s="10"/>
      <c r="W69" s="10"/>
      <c r="X69" s="10"/>
      <c r="Y69" s="10"/>
      <c r="Z69" s="10"/>
      <c r="AA69" s="10"/>
      <c r="AB69" s="10"/>
      <c r="AC69" s="10"/>
      <c r="AD69" s="10"/>
    </row>
    <row r="70" spans="1:30" x14ac:dyDescent="0.2">
      <c r="A70" s="10"/>
      <c r="B70" s="451"/>
      <c r="C70" s="444"/>
      <c r="D70" s="444"/>
      <c r="E70" s="84" t="s">
        <v>1156</v>
      </c>
      <c r="F70" s="84" t="s">
        <v>1148</v>
      </c>
      <c r="G70" s="84" t="s">
        <v>1156</v>
      </c>
      <c r="H70" s="84" t="s">
        <v>1148</v>
      </c>
      <c r="I70" s="84" t="s">
        <v>1156</v>
      </c>
      <c r="J70" s="84" t="s">
        <v>1148</v>
      </c>
      <c r="K70" s="84" t="s">
        <v>1156</v>
      </c>
      <c r="L70" s="84" t="s">
        <v>1148</v>
      </c>
      <c r="M70" s="84" t="s">
        <v>1156</v>
      </c>
      <c r="N70" s="84" t="s">
        <v>1148</v>
      </c>
      <c r="O70" s="84" t="s">
        <v>1156</v>
      </c>
      <c r="P70" s="84" t="s">
        <v>1148</v>
      </c>
      <c r="Q70" s="84" t="s">
        <v>1156</v>
      </c>
      <c r="R70" s="84" t="s">
        <v>1148</v>
      </c>
      <c r="S70" s="7"/>
      <c r="T70" s="10"/>
      <c r="U70" s="10"/>
      <c r="V70" s="10"/>
      <c r="W70" s="10"/>
      <c r="X70" s="10"/>
      <c r="Y70" s="10"/>
      <c r="Z70" s="10"/>
      <c r="AA70" s="10"/>
      <c r="AB70" s="10"/>
      <c r="AC70" s="10"/>
      <c r="AD70" s="10"/>
    </row>
    <row r="71" spans="1:30" x14ac:dyDescent="0.2">
      <c r="A71" s="10"/>
      <c r="B71" s="447" t="s">
        <v>1418</v>
      </c>
      <c r="C71" s="448"/>
      <c r="D71" s="448"/>
      <c r="E71" s="327">
        <f>GETPIVOTDATA("Units Proposed",Pivots!$B$195)</f>
        <v>181</v>
      </c>
      <c r="F71" s="327">
        <f>GETPIVOTDATA("Net Dwellings",Pivots!$B$186)</f>
        <v>162</v>
      </c>
      <c r="G71" s="327">
        <f>GETPIVOTDATA("Units Proposed",Pivots!$B$213)</f>
        <v>5</v>
      </c>
      <c r="H71" s="327">
        <f>GETPIVOTDATA("Net Dwellings",Pivots!$B$204)</f>
        <v>5</v>
      </c>
      <c r="I71" s="327">
        <f>GETPIVOTDATA("Units Proposed",Pivots!$B$232)</f>
        <v>20</v>
      </c>
      <c r="J71" s="327">
        <f>GETPIVOTDATA("Net Dwellings",Pivots!$B$223)</f>
        <v>20</v>
      </c>
      <c r="K71" s="329">
        <v>0</v>
      </c>
      <c r="L71" s="329">
        <v>0</v>
      </c>
      <c r="M71" s="329">
        <f>I71+G71</f>
        <v>25</v>
      </c>
      <c r="N71" s="329">
        <f>J71+H71</f>
        <v>25</v>
      </c>
      <c r="O71" s="328">
        <f t="shared" ref="O71:P73" si="6">M71/Q71</f>
        <v>0.12135922330097088</v>
      </c>
      <c r="P71" s="328">
        <f t="shared" si="6"/>
        <v>0.13368983957219252</v>
      </c>
      <c r="Q71" s="329">
        <f>M71+E71</f>
        <v>206</v>
      </c>
      <c r="R71" s="329">
        <f t="shared" ref="Q71:R73" si="7">N71+F71</f>
        <v>187</v>
      </c>
      <c r="S71" s="7"/>
      <c r="T71" s="10"/>
      <c r="U71" s="10"/>
      <c r="V71" s="10"/>
      <c r="W71" s="10"/>
      <c r="X71" s="10"/>
      <c r="Y71" s="10"/>
      <c r="Z71" s="10"/>
      <c r="AA71" s="10"/>
      <c r="AB71" s="10"/>
      <c r="AC71" s="10"/>
      <c r="AD71" s="10"/>
    </row>
    <row r="72" spans="1:30" x14ac:dyDescent="0.2">
      <c r="A72" s="10"/>
      <c r="B72" s="449" t="s">
        <v>246</v>
      </c>
      <c r="C72" s="450"/>
      <c r="D72" s="450"/>
      <c r="E72" s="329">
        <f>GETPIVOTDATA("Units Proposed",Pivots!$E$195)</f>
        <v>597</v>
      </c>
      <c r="F72" s="329">
        <f>GETPIVOTDATA("Net Dwellings",Pivots!$E$186)</f>
        <v>555</v>
      </c>
      <c r="G72" s="329">
        <f>GETPIVOTDATA("Units Proposed",Pivots!$E$213)</f>
        <v>8</v>
      </c>
      <c r="H72" s="329">
        <f>GETPIVOTDATA("Net Dwellings",Pivots!$E$204)</f>
        <v>8</v>
      </c>
      <c r="I72" s="329">
        <f>GETPIVOTDATA("Units Proposed",Pivots!$E$232)</f>
        <v>61</v>
      </c>
      <c r="J72" s="329">
        <f>GETPIVOTDATA("Net Dwellings",Pivots!$E$223)</f>
        <v>61</v>
      </c>
      <c r="K72" s="329">
        <v>0</v>
      </c>
      <c r="L72" s="329">
        <v>0</v>
      </c>
      <c r="M72" s="329">
        <f t="shared" ref="M72:N72" si="8">I72+G72</f>
        <v>69</v>
      </c>
      <c r="N72" s="329">
        <f t="shared" si="8"/>
        <v>69</v>
      </c>
      <c r="O72" s="328">
        <f t="shared" si="6"/>
        <v>0.1036036036036036</v>
      </c>
      <c r="P72" s="328">
        <f t="shared" si="6"/>
        <v>0.11057692307692307</v>
      </c>
      <c r="Q72" s="329">
        <f>M72+E72</f>
        <v>666</v>
      </c>
      <c r="R72" s="329">
        <f>N72+F72</f>
        <v>624</v>
      </c>
      <c r="S72" s="7"/>
      <c r="T72" s="10"/>
      <c r="U72" s="10"/>
      <c r="V72" s="10"/>
      <c r="W72" s="10"/>
      <c r="X72" s="10"/>
      <c r="Y72" s="10"/>
      <c r="Z72" s="10"/>
      <c r="AA72" s="10"/>
      <c r="AB72" s="10"/>
      <c r="AC72" s="10"/>
      <c r="AD72" s="10"/>
    </row>
    <row r="73" spans="1:30" x14ac:dyDescent="0.2">
      <c r="A73" s="10"/>
      <c r="B73" s="449" t="s">
        <v>1149</v>
      </c>
      <c r="C73" s="450"/>
      <c r="D73" s="450"/>
      <c r="E73" s="329">
        <f>GETPIVOTDATA("Units Proposed",Pivots!$H$195)</f>
        <v>202</v>
      </c>
      <c r="F73" s="329">
        <f>GETPIVOTDATA("Net Dwellings",Pivots!$H$186)</f>
        <v>162</v>
      </c>
      <c r="G73" s="329">
        <f>GETPIVOTDATA("Units Proposed",Pivots!$H$213)</f>
        <v>27</v>
      </c>
      <c r="H73" s="329">
        <f>GETPIVOTDATA("Net Dwellings",Pivots!$H$204)</f>
        <v>27</v>
      </c>
      <c r="I73" s="329">
        <f>GETPIVOTDATA("Units Proposed",Pivots!$H$232)</f>
        <v>24</v>
      </c>
      <c r="J73" s="329">
        <f>GETPIVOTDATA("Net Dwellings",Pivots!$H$223)</f>
        <v>24</v>
      </c>
      <c r="K73" s="329">
        <v>0</v>
      </c>
      <c r="L73" s="329">
        <v>0</v>
      </c>
      <c r="M73" s="329">
        <f>G73+I73</f>
        <v>51</v>
      </c>
      <c r="N73" s="329">
        <f>H73+J73</f>
        <v>51</v>
      </c>
      <c r="O73" s="328">
        <f t="shared" si="6"/>
        <v>0.20158102766798419</v>
      </c>
      <c r="P73" s="328">
        <f t="shared" si="6"/>
        <v>0.23943661971830985</v>
      </c>
      <c r="Q73" s="329">
        <f t="shared" si="7"/>
        <v>253</v>
      </c>
      <c r="R73" s="329">
        <f>N73+F73</f>
        <v>213</v>
      </c>
      <c r="S73" s="7"/>
      <c r="T73" s="10"/>
      <c r="U73" s="10"/>
      <c r="V73" s="10"/>
      <c r="W73" s="10"/>
      <c r="X73" s="10"/>
      <c r="Y73" s="10"/>
      <c r="Z73" s="10"/>
      <c r="AA73" s="10"/>
      <c r="AB73" s="10"/>
      <c r="AC73" s="10"/>
      <c r="AD73" s="10"/>
    </row>
    <row r="74" spans="1:30" x14ac:dyDescent="0.2">
      <c r="A74" s="10"/>
      <c r="B74" s="438" t="s">
        <v>1150</v>
      </c>
      <c r="C74" s="439"/>
      <c r="D74" s="439"/>
      <c r="E74" s="329">
        <f>GETPIVOTDATA("Net Dwellings",Pivots!$K$194)</f>
        <v>1037</v>
      </c>
      <c r="F74" s="329">
        <f>GETPIVOTDATA("Net Dwellings",Pivots!$K$194)</f>
        <v>1037</v>
      </c>
      <c r="G74" s="329">
        <v>0</v>
      </c>
      <c r="H74" s="329">
        <v>0</v>
      </c>
      <c r="I74" s="329">
        <v>0</v>
      </c>
      <c r="J74" s="329">
        <v>0</v>
      </c>
      <c r="K74" s="330">
        <v>0</v>
      </c>
      <c r="L74" s="330">
        <v>0</v>
      </c>
      <c r="M74" s="329">
        <f>GETPIVOTDATA("Net Dwellings",Pivots!$K$203)</f>
        <v>942</v>
      </c>
      <c r="N74" s="329">
        <f>GETPIVOTDATA("Net Dwellings",Pivots!$K$203)</f>
        <v>942</v>
      </c>
      <c r="O74" s="328">
        <f>M74/Q74</f>
        <v>0.47599797877716016</v>
      </c>
      <c r="P74" s="328">
        <f>N74/R74</f>
        <v>0.47599797877716016</v>
      </c>
      <c r="Q74" s="329">
        <f>M74+E74</f>
        <v>1979</v>
      </c>
      <c r="R74" s="329">
        <f>N74+F74</f>
        <v>1979</v>
      </c>
      <c r="S74" s="7"/>
      <c r="T74" s="10"/>
      <c r="U74" s="10"/>
      <c r="V74" s="10"/>
      <c r="W74" s="10"/>
      <c r="X74" s="10"/>
      <c r="Y74" s="10"/>
      <c r="Z74" s="10"/>
      <c r="AA74" s="10"/>
      <c r="AB74" s="10"/>
      <c r="AC74" s="10"/>
      <c r="AD74" s="10"/>
    </row>
    <row r="75" spans="1:30" x14ac:dyDescent="0.2">
      <c r="A75" s="10"/>
      <c r="B75" s="438" t="s">
        <v>1157</v>
      </c>
      <c r="C75" s="439"/>
      <c r="D75" s="439"/>
      <c r="E75" s="88">
        <v>0</v>
      </c>
      <c r="F75" s="88">
        <v>0</v>
      </c>
      <c r="G75" s="88">
        <v>0</v>
      </c>
      <c r="H75" s="88">
        <v>0</v>
      </c>
      <c r="I75" s="88">
        <v>0</v>
      </c>
      <c r="J75" s="88">
        <v>0</v>
      </c>
      <c r="K75" s="88">
        <v>1020</v>
      </c>
      <c r="L75" s="88">
        <v>1020</v>
      </c>
      <c r="M75" s="88">
        <v>0</v>
      </c>
      <c r="N75" s="88">
        <v>0</v>
      </c>
      <c r="O75" s="328">
        <v>0</v>
      </c>
      <c r="P75" s="328">
        <f>N75/R75</f>
        <v>0</v>
      </c>
      <c r="Q75" s="88">
        <v>1020</v>
      </c>
      <c r="R75" s="88">
        <f>L75</f>
        <v>1020</v>
      </c>
      <c r="S75" s="7"/>
      <c r="T75" s="10"/>
      <c r="U75" s="10"/>
      <c r="V75" s="10"/>
      <c r="W75" s="10"/>
      <c r="X75" s="10"/>
      <c r="Y75" s="10"/>
      <c r="Z75" s="10"/>
      <c r="AA75" s="10"/>
      <c r="AB75" s="10"/>
      <c r="AC75" s="10"/>
      <c r="AD75" s="10"/>
    </row>
    <row r="76" spans="1:30" ht="12.75" customHeight="1" x14ac:dyDescent="0.2">
      <c r="A76" s="10"/>
      <c r="B76" s="440" t="s">
        <v>1383</v>
      </c>
      <c r="C76" s="441"/>
      <c r="D76" s="441"/>
      <c r="E76" s="90">
        <f t="shared" ref="E76:J76" si="9">SUM(E72:E75)</f>
        <v>1836</v>
      </c>
      <c r="F76" s="90">
        <f>SUM(F72:F75)</f>
        <v>1754</v>
      </c>
      <c r="G76" s="90">
        <f t="shared" si="9"/>
        <v>35</v>
      </c>
      <c r="H76" s="90">
        <f t="shared" si="9"/>
        <v>35</v>
      </c>
      <c r="I76" s="90">
        <f t="shared" si="9"/>
        <v>85</v>
      </c>
      <c r="J76" s="90">
        <f t="shared" si="9"/>
        <v>85</v>
      </c>
      <c r="K76" s="90">
        <f>SUM(K72:K75)</f>
        <v>1020</v>
      </c>
      <c r="L76" s="90">
        <f>SUM(L72:L75)</f>
        <v>1020</v>
      </c>
      <c r="M76" s="90">
        <f t="shared" ref="M76:N76" si="10">SUM(M72:M75)</f>
        <v>1062</v>
      </c>
      <c r="N76" s="90">
        <f t="shared" si="10"/>
        <v>1062</v>
      </c>
      <c r="O76" s="90"/>
      <c r="P76" s="90"/>
      <c r="Q76" s="90">
        <f>SUM(Q72:Q75)</f>
        <v>3918</v>
      </c>
      <c r="R76" s="90">
        <f>SUM(R72:R75)</f>
        <v>3836</v>
      </c>
      <c r="S76" s="7"/>
      <c r="T76" s="10"/>
      <c r="U76" s="10"/>
      <c r="V76" s="10"/>
      <c r="W76" s="10"/>
      <c r="X76" s="10"/>
      <c r="Y76" s="10"/>
      <c r="Z76" s="10"/>
      <c r="AA76" s="10"/>
      <c r="AB76" s="10"/>
      <c r="AC76" s="10"/>
      <c r="AD76" s="10"/>
    </row>
    <row r="77" spans="1:30" x14ac:dyDescent="0.2">
      <c r="A77" s="10"/>
      <c r="B77" s="91"/>
      <c r="C77" s="92"/>
      <c r="D77" s="92"/>
      <c r="E77" s="92"/>
      <c r="F77" s="92"/>
      <c r="G77" s="92"/>
      <c r="H77" s="92"/>
      <c r="I77" s="92"/>
      <c r="J77" s="92"/>
      <c r="K77" s="92"/>
      <c r="L77" s="92"/>
      <c r="M77" s="92"/>
      <c r="N77" s="92"/>
      <c r="O77" s="92"/>
      <c r="P77" s="92"/>
      <c r="Q77" s="92"/>
      <c r="R77" s="93"/>
      <c r="S77" s="7"/>
      <c r="T77" s="10"/>
      <c r="U77" s="10"/>
      <c r="V77" s="10"/>
      <c r="W77" s="10"/>
      <c r="X77" s="10"/>
      <c r="Y77" s="10"/>
      <c r="Z77" s="10"/>
      <c r="AA77" s="10"/>
      <c r="AB77" s="10"/>
      <c r="AC77" s="10"/>
      <c r="AD77" s="10"/>
    </row>
    <row r="78" spans="1:30" x14ac:dyDescent="0.2">
      <c r="A78" s="10"/>
      <c r="B78" s="91"/>
      <c r="C78" s="92"/>
      <c r="D78" s="92"/>
      <c r="E78" s="92"/>
      <c r="F78" s="92"/>
      <c r="G78" s="92"/>
      <c r="H78" s="92"/>
      <c r="I78" s="92"/>
      <c r="J78" s="92"/>
      <c r="K78" s="92"/>
      <c r="L78" s="92"/>
      <c r="M78" s="92"/>
      <c r="N78" s="92"/>
      <c r="O78" s="92"/>
      <c r="P78" s="92"/>
      <c r="Q78" s="92"/>
      <c r="R78" s="93"/>
      <c r="S78" s="7"/>
      <c r="T78" s="10"/>
      <c r="U78" s="10"/>
      <c r="V78" s="10"/>
      <c r="W78" s="10"/>
      <c r="X78" s="10"/>
      <c r="Y78" s="10"/>
      <c r="Z78" s="10"/>
      <c r="AA78" s="10"/>
      <c r="AB78" s="10"/>
      <c r="AC78" s="10"/>
      <c r="AD78" s="10"/>
    </row>
    <row r="79" spans="1:30" x14ac:dyDescent="0.2">
      <c r="A79" s="10"/>
      <c r="B79" s="91"/>
      <c r="C79" s="92"/>
      <c r="D79" s="92"/>
      <c r="E79" s="92"/>
      <c r="F79" s="92"/>
      <c r="G79" s="92"/>
      <c r="H79" s="92"/>
      <c r="I79" s="92"/>
      <c r="J79" s="92"/>
      <c r="K79" s="92"/>
      <c r="L79" s="92"/>
      <c r="M79" s="92"/>
      <c r="N79" s="92"/>
      <c r="O79" s="92"/>
      <c r="P79" s="92"/>
      <c r="Q79" s="92"/>
      <c r="R79" s="93"/>
      <c r="S79" s="7"/>
      <c r="T79" s="10"/>
      <c r="U79" s="10"/>
      <c r="V79" s="10"/>
      <c r="W79" s="10"/>
      <c r="X79" s="10"/>
      <c r="Y79" s="10"/>
      <c r="Z79" s="10"/>
      <c r="AA79" s="10"/>
      <c r="AB79" s="10"/>
      <c r="AC79" s="10"/>
      <c r="AD79" s="10"/>
    </row>
    <row r="80" spans="1:30" x14ac:dyDescent="0.2">
      <c r="A80" s="10"/>
      <c r="B80" s="91"/>
      <c r="C80" s="92"/>
      <c r="D80" s="92"/>
      <c r="E80" s="92"/>
      <c r="F80" s="92"/>
      <c r="G80" s="92"/>
      <c r="H80" s="92"/>
      <c r="I80" s="92"/>
      <c r="J80" s="92"/>
      <c r="K80" s="92"/>
      <c r="L80" s="92"/>
      <c r="M80" s="92"/>
      <c r="N80" s="92"/>
      <c r="O80" s="92"/>
      <c r="P80" s="92"/>
      <c r="Q80" s="92"/>
      <c r="R80" s="93"/>
      <c r="S80" s="7"/>
      <c r="T80" s="10"/>
      <c r="U80" s="10"/>
      <c r="V80" s="10"/>
      <c r="W80" s="10"/>
      <c r="X80" s="10"/>
      <c r="Y80" s="10"/>
      <c r="Z80" s="10"/>
      <c r="AA80" s="10"/>
      <c r="AB80" s="10"/>
      <c r="AC80" s="10"/>
      <c r="AD80" s="10"/>
    </row>
    <row r="81" spans="1:30" x14ac:dyDescent="0.2">
      <c r="A81" s="10"/>
      <c r="B81" s="94" t="s">
        <v>1159</v>
      </c>
      <c r="C81" s="95"/>
      <c r="D81" s="95"/>
      <c r="E81" s="95"/>
      <c r="F81" s="95"/>
      <c r="G81" s="95"/>
      <c r="H81" s="95"/>
      <c r="I81" s="95"/>
      <c r="J81" s="95"/>
      <c r="K81" s="95"/>
      <c r="L81" s="95"/>
      <c r="M81" s="95"/>
      <c r="N81" s="95"/>
      <c r="O81" s="95"/>
      <c r="P81" s="95"/>
      <c r="Q81" s="95"/>
      <c r="R81" s="96"/>
      <c r="S81" s="7"/>
      <c r="T81" s="10"/>
      <c r="U81" s="10"/>
      <c r="V81" s="10"/>
      <c r="W81" s="10"/>
      <c r="X81" s="10"/>
      <c r="Y81" s="10"/>
      <c r="Z81" s="10"/>
      <c r="AA81" s="10"/>
      <c r="AB81" s="10"/>
      <c r="AC81" s="10"/>
      <c r="AD81" s="10"/>
    </row>
    <row r="82" spans="1:30" x14ac:dyDescent="0.2">
      <c r="A82" s="10"/>
      <c r="B82" s="91"/>
      <c r="C82" s="92"/>
      <c r="D82" s="92"/>
      <c r="E82" s="92"/>
      <c r="F82" s="92"/>
      <c r="G82" s="92"/>
      <c r="H82" s="92"/>
      <c r="I82" s="92"/>
      <c r="J82" s="92"/>
      <c r="K82" s="92"/>
      <c r="L82" s="92"/>
      <c r="M82" s="92"/>
      <c r="N82" s="92"/>
      <c r="O82" s="92"/>
      <c r="P82" s="92"/>
      <c r="Q82" s="92"/>
      <c r="R82" s="93"/>
      <c r="S82" s="7"/>
      <c r="T82" s="10"/>
      <c r="U82" s="10"/>
      <c r="V82" s="10"/>
      <c r="W82" s="10"/>
      <c r="X82" s="10"/>
      <c r="Y82" s="10"/>
      <c r="Z82" s="10"/>
      <c r="AA82" s="10"/>
      <c r="AB82" s="10"/>
      <c r="AC82" s="10"/>
      <c r="AD82" s="10"/>
    </row>
    <row r="83" spans="1:30" x14ac:dyDescent="0.2">
      <c r="A83" s="10"/>
      <c r="B83" s="67" t="s">
        <v>1160</v>
      </c>
      <c r="C83" s="97" t="s">
        <v>1576</v>
      </c>
      <c r="D83" s="82"/>
      <c r="E83" s="82"/>
      <c r="F83" s="82"/>
      <c r="G83" s="82"/>
      <c r="H83" s="82"/>
      <c r="I83" s="82"/>
      <c r="J83" s="82"/>
      <c r="K83" s="82"/>
      <c r="L83" s="92"/>
      <c r="M83" s="92"/>
      <c r="N83" s="92"/>
      <c r="O83" s="92"/>
      <c r="P83" s="92"/>
      <c r="Q83" s="92"/>
      <c r="R83" s="93"/>
      <c r="S83" s="7"/>
      <c r="T83" s="10"/>
      <c r="U83" s="10"/>
      <c r="V83" s="10"/>
      <c r="W83" s="10"/>
      <c r="X83" s="10"/>
      <c r="Y83" s="10"/>
      <c r="Z83" s="10"/>
      <c r="AA83" s="10"/>
      <c r="AB83" s="10"/>
      <c r="AC83" s="10"/>
      <c r="AD83" s="10"/>
    </row>
    <row r="84" spans="1:30" x14ac:dyDescent="0.2">
      <c r="A84" s="10"/>
      <c r="B84" s="243" t="s">
        <v>1161</v>
      </c>
      <c r="C84" s="98" t="s">
        <v>1162</v>
      </c>
      <c r="D84" s="99"/>
      <c r="E84" s="99"/>
      <c r="F84" s="100"/>
      <c r="G84" s="100"/>
      <c r="H84" s="100"/>
      <c r="I84" s="100"/>
      <c r="J84" s="100"/>
      <c r="K84" s="100"/>
      <c r="L84" s="101"/>
      <c r="M84" s="101"/>
      <c r="N84" s="101"/>
      <c r="O84" s="101"/>
      <c r="P84" s="101"/>
      <c r="Q84" s="101"/>
      <c r="R84" s="102"/>
      <c r="S84" s="7"/>
      <c r="T84" s="10"/>
      <c r="U84" s="10"/>
      <c r="V84" s="10"/>
      <c r="W84" s="10"/>
      <c r="X84" s="10"/>
      <c r="Y84" s="10"/>
      <c r="Z84" s="10"/>
      <c r="AA84" s="10"/>
      <c r="AB84" s="10"/>
      <c r="AC84" s="10"/>
      <c r="AD84" s="10"/>
    </row>
    <row r="85" spans="1:30" x14ac:dyDescent="0.2">
      <c r="A85" s="10"/>
      <c r="B85" s="103" t="s">
        <v>1163</v>
      </c>
      <c r="C85" s="331">
        <v>160</v>
      </c>
      <c r="D85" s="104"/>
      <c r="E85" s="104"/>
      <c r="F85" s="82"/>
      <c r="G85" s="82"/>
      <c r="H85" s="82"/>
      <c r="I85" s="82"/>
      <c r="J85" s="82"/>
      <c r="K85" s="82"/>
      <c r="L85" s="92"/>
      <c r="M85" s="92"/>
      <c r="N85" s="92"/>
      <c r="O85" s="92"/>
      <c r="P85" s="92"/>
      <c r="Q85" s="92"/>
      <c r="R85" s="93"/>
      <c r="S85" s="7"/>
      <c r="T85" s="10"/>
      <c r="U85" s="10"/>
      <c r="V85" s="10"/>
      <c r="W85" s="10"/>
      <c r="X85" s="10"/>
      <c r="Y85" s="10"/>
      <c r="Z85" s="10"/>
      <c r="AA85" s="10"/>
      <c r="AB85" s="10"/>
      <c r="AC85" s="10"/>
      <c r="AD85" s="10"/>
    </row>
    <row r="86" spans="1:30" x14ac:dyDescent="0.2">
      <c r="A86" s="10"/>
      <c r="B86" s="105" t="s">
        <v>1164</v>
      </c>
      <c r="C86" s="332">
        <v>319</v>
      </c>
      <c r="D86" s="104"/>
      <c r="E86" s="104"/>
      <c r="F86" s="82"/>
      <c r="G86" s="82"/>
      <c r="H86" s="82"/>
      <c r="I86" s="82"/>
      <c r="J86" s="82"/>
      <c r="K86" s="82"/>
      <c r="L86" s="92"/>
      <c r="M86" s="92"/>
      <c r="N86" s="92"/>
      <c r="O86" s="92"/>
      <c r="P86" s="92"/>
      <c r="Q86" s="92"/>
      <c r="R86" s="93"/>
      <c r="S86" s="7"/>
      <c r="T86" s="10"/>
      <c r="U86" s="10"/>
      <c r="V86" s="10"/>
      <c r="W86" s="10"/>
      <c r="X86" s="10"/>
      <c r="Y86" s="10"/>
      <c r="Z86" s="10"/>
      <c r="AA86" s="10"/>
      <c r="AB86" s="10"/>
      <c r="AC86" s="10"/>
      <c r="AD86" s="10"/>
    </row>
    <row r="87" spans="1:30" x14ac:dyDescent="0.2">
      <c r="A87" s="10"/>
      <c r="B87" s="105" t="s">
        <v>1165</v>
      </c>
      <c r="C87" s="332">
        <v>246</v>
      </c>
      <c r="D87" s="104"/>
      <c r="E87" s="104"/>
      <c r="F87" s="82"/>
      <c r="G87" s="82"/>
      <c r="H87" s="82"/>
      <c r="I87" s="82"/>
      <c r="J87" s="82"/>
      <c r="K87" s="82"/>
      <c r="L87" s="92"/>
      <c r="M87" s="92"/>
      <c r="N87" s="92"/>
      <c r="O87" s="92"/>
      <c r="P87" s="92"/>
      <c r="Q87" s="92"/>
      <c r="R87" s="93"/>
      <c r="S87" s="7"/>
      <c r="T87" s="10"/>
      <c r="U87" s="10"/>
      <c r="V87" s="10"/>
      <c r="W87" s="10"/>
      <c r="X87" s="10"/>
      <c r="Y87" s="10"/>
      <c r="Z87" s="10"/>
      <c r="AA87" s="10"/>
      <c r="AB87" s="10"/>
      <c r="AC87" s="10"/>
      <c r="AD87" s="10"/>
    </row>
    <row r="88" spans="1:30" x14ac:dyDescent="0.2">
      <c r="A88" s="10"/>
      <c r="B88" s="105" t="s">
        <v>1166</v>
      </c>
      <c r="C88" s="332">
        <v>582</v>
      </c>
      <c r="D88" s="104"/>
      <c r="E88" s="104"/>
      <c r="F88" s="82"/>
      <c r="G88" s="82"/>
      <c r="H88" s="82"/>
      <c r="I88" s="82"/>
      <c r="J88" s="82"/>
      <c r="K88" s="82"/>
      <c r="L88" s="92"/>
      <c r="M88" s="92"/>
      <c r="N88" s="92"/>
      <c r="O88" s="92"/>
      <c r="P88" s="92"/>
      <c r="Q88" s="92"/>
      <c r="R88" s="93"/>
      <c r="S88" s="7"/>
      <c r="T88" s="10"/>
      <c r="U88" s="10"/>
      <c r="V88" s="10"/>
      <c r="W88" s="10"/>
      <c r="X88" s="10"/>
      <c r="Y88" s="10"/>
      <c r="Z88" s="10"/>
      <c r="AA88" s="10"/>
      <c r="AB88" s="10"/>
      <c r="AC88" s="10"/>
      <c r="AD88" s="10"/>
    </row>
    <row r="89" spans="1:30" x14ac:dyDescent="0.2">
      <c r="A89" s="10"/>
      <c r="B89" s="105" t="s">
        <v>1167</v>
      </c>
      <c r="C89" s="332">
        <v>842</v>
      </c>
      <c r="D89" s="104"/>
      <c r="E89" s="104"/>
      <c r="F89" s="82"/>
      <c r="G89" s="82"/>
      <c r="H89" s="82"/>
      <c r="I89" s="82"/>
      <c r="J89" s="82"/>
      <c r="K89" s="82"/>
      <c r="L89" s="92"/>
      <c r="M89" s="92"/>
      <c r="N89" s="92"/>
      <c r="O89" s="92"/>
      <c r="P89" s="92"/>
      <c r="Q89" s="92"/>
      <c r="R89" s="93"/>
      <c r="S89" s="7"/>
      <c r="T89" s="10"/>
      <c r="U89" s="10"/>
      <c r="V89" s="10"/>
      <c r="W89" s="10"/>
      <c r="X89" s="10"/>
      <c r="Y89" s="10"/>
      <c r="Z89" s="10"/>
      <c r="AA89" s="10"/>
      <c r="AB89" s="10"/>
      <c r="AC89" s="10"/>
      <c r="AD89" s="10"/>
    </row>
    <row r="90" spans="1:30" x14ac:dyDescent="0.2">
      <c r="A90" s="10"/>
      <c r="B90" s="105" t="s">
        <v>1168</v>
      </c>
      <c r="C90" s="332">
        <v>230</v>
      </c>
      <c r="D90" s="104"/>
      <c r="E90" s="104"/>
      <c r="F90" s="82"/>
      <c r="G90" s="82"/>
      <c r="H90" s="82"/>
      <c r="I90" s="82"/>
      <c r="J90" s="82"/>
      <c r="K90" s="82"/>
      <c r="L90" s="92"/>
      <c r="M90" s="92"/>
      <c r="N90" s="92"/>
      <c r="O90" s="92"/>
      <c r="P90" s="92"/>
      <c r="Q90" s="92"/>
      <c r="R90" s="93"/>
      <c r="S90" s="7"/>
      <c r="T90" s="10"/>
      <c r="U90" s="10"/>
      <c r="V90" s="10"/>
      <c r="W90" s="10"/>
      <c r="X90" s="10"/>
      <c r="Y90" s="10"/>
      <c r="Z90" s="10"/>
      <c r="AA90" s="10"/>
      <c r="AB90" s="10"/>
      <c r="AC90" s="10"/>
      <c r="AD90" s="10"/>
    </row>
    <row r="91" spans="1:30" x14ac:dyDescent="0.2">
      <c r="A91" s="10"/>
      <c r="B91" s="105" t="s">
        <v>1169</v>
      </c>
      <c r="C91" s="332">
        <v>260</v>
      </c>
      <c r="D91" s="104"/>
      <c r="E91" s="104"/>
      <c r="F91" s="82"/>
      <c r="G91" s="82"/>
      <c r="H91" s="82"/>
      <c r="I91" s="82"/>
      <c r="J91" s="82"/>
      <c r="K91" s="82"/>
      <c r="L91" s="92"/>
      <c r="M91" s="92"/>
      <c r="N91" s="92"/>
      <c r="O91" s="92"/>
      <c r="P91" s="92"/>
      <c r="Q91" s="92"/>
      <c r="R91" s="93"/>
      <c r="S91" s="7"/>
      <c r="T91" s="10"/>
      <c r="U91" s="10"/>
      <c r="V91" s="10"/>
      <c r="W91" s="10"/>
      <c r="X91" s="10"/>
      <c r="Y91" s="10"/>
      <c r="Z91" s="10"/>
      <c r="AA91" s="10"/>
      <c r="AB91" s="10"/>
      <c r="AC91" s="10"/>
      <c r="AD91" s="10"/>
    </row>
    <row r="92" spans="1:30" x14ac:dyDescent="0.2">
      <c r="A92" s="10"/>
      <c r="B92" s="105" t="s">
        <v>1170</v>
      </c>
      <c r="C92" s="332">
        <v>436</v>
      </c>
      <c r="D92" s="104"/>
      <c r="E92" s="104"/>
      <c r="F92" s="82"/>
      <c r="G92" s="82"/>
      <c r="H92" s="82"/>
      <c r="I92" s="82"/>
      <c r="J92" s="82"/>
      <c r="K92" s="82"/>
      <c r="L92" s="92"/>
      <c r="M92" s="92"/>
      <c r="N92" s="92"/>
      <c r="O92" s="92"/>
      <c r="P92" s="92"/>
      <c r="Q92" s="92"/>
      <c r="R92" s="93"/>
      <c r="S92" s="7"/>
      <c r="T92" s="10"/>
      <c r="U92" s="10"/>
      <c r="V92" s="10"/>
      <c r="W92" s="10"/>
      <c r="X92" s="10"/>
      <c r="Y92" s="10"/>
      <c r="Z92" s="10"/>
      <c r="AA92" s="10"/>
      <c r="AB92" s="10"/>
      <c r="AC92" s="10"/>
      <c r="AD92" s="10"/>
    </row>
    <row r="93" spans="1:30" x14ac:dyDescent="0.2">
      <c r="A93" s="10"/>
      <c r="B93" s="105" t="s">
        <v>1171</v>
      </c>
      <c r="C93" s="332">
        <v>145</v>
      </c>
      <c r="D93" s="104"/>
      <c r="E93" s="104"/>
      <c r="F93" s="82"/>
      <c r="G93" s="82"/>
      <c r="H93" s="82"/>
      <c r="I93" s="82"/>
      <c r="J93" s="82"/>
      <c r="K93" s="82"/>
      <c r="L93" s="92"/>
      <c r="M93" s="92"/>
      <c r="N93" s="92"/>
      <c r="O93" s="92"/>
      <c r="P93" s="92"/>
      <c r="Q93" s="92"/>
      <c r="R93" s="93"/>
      <c r="S93" s="7"/>
      <c r="T93" s="10"/>
      <c r="U93" s="10"/>
      <c r="V93" s="10"/>
      <c r="W93" s="10"/>
      <c r="X93" s="10"/>
      <c r="Y93" s="10"/>
      <c r="Z93" s="10"/>
      <c r="AA93" s="10"/>
      <c r="AB93" s="10"/>
      <c r="AC93" s="10"/>
      <c r="AD93" s="10"/>
    </row>
    <row r="94" spans="1:30" x14ac:dyDescent="0.2">
      <c r="A94" s="10"/>
      <c r="B94" s="105" t="s">
        <v>1172</v>
      </c>
      <c r="C94" s="332">
        <v>399</v>
      </c>
      <c r="D94" s="104"/>
      <c r="E94" s="104"/>
      <c r="F94" s="82"/>
      <c r="G94" s="82"/>
      <c r="H94" s="82"/>
      <c r="I94" s="82"/>
      <c r="J94" s="82"/>
      <c r="K94" s="82"/>
      <c r="L94" s="92"/>
      <c r="M94" s="92"/>
      <c r="N94" s="92"/>
      <c r="O94" s="92"/>
      <c r="P94" s="92"/>
      <c r="Q94" s="92"/>
      <c r="R94" s="93"/>
      <c r="S94" s="7"/>
      <c r="T94" s="10"/>
      <c r="U94" s="10"/>
      <c r="V94" s="10"/>
      <c r="W94" s="10"/>
      <c r="X94" s="10"/>
      <c r="Y94" s="10"/>
      <c r="Z94" s="10"/>
      <c r="AA94" s="10"/>
      <c r="AB94" s="10"/>
      <c r="AC94" s="10"/>
      <c r="AD94" s="10"/>
    </row>
    <row r="95" spans="1:30" x14ac:dyDescent="0.2">
      <c r="A95" s="10"/>
      <c r="B95" s="105" t="s">
        <v>1098</v>
      </c>
      <c r="C95" s="332">
        <v>208</v>
      </c>
      <c r="D95" s="104"/>
      <c r="E95" s="104"/>
      <c r="F95" s="82"/>
      <c r="G95" s="82"/>
      <c r="H95" s="82"/>
      <c r="I95" s="82"/>
      <c r="J95" s="82"/>
      <c r="K95" s="82"/>
      <c r="L95" s="92"/>
      <c r="M95" s="92"/>
      <c r="N95" s="92"/>
      <c r="O95" s="92"/>
      <c r="P95" s="92"/>
      <c r="Q95" s="92"/>
      <c r="R95" s="93"/>
      <c r="S95" s="7"/>
      <c r="T95" s="10"/>
      <c r="U95" s="10"/>
      <c r="V95" s="10"/>
      <c r="W95" s="10"/>
      <c r="X95" s="10"/>
      <c r="Y95" s="10"/>
      <c r="Z95" s="10"/>
      <c r="AA95" s="10"/>
      <c r="AB95" s="10"/>
      <c r="AC95" s="10"/>
      <c r="AD95" s="10"/>
    </row>
    <row r="96" spans="1:30" x14ac:dyDescent="0.2">
      <c r="A96" s="10"/>
      <c r="B96" s="105" t="s">
        <v>1099</v>
      </c>
      <c r="C96" s="332">
        <v>695</v>
      </c>
      <c r="D96" s="104"/>
      <c r="E96" s="104"/>
      <c r="F96" s="106"/>
      <c r="G96" s="82"/>
      <c r="H96" s="82"/>
      <c r="I96" s="82"/>
      <c r="J96" s="82"/>
      <c r="K96" s="82"/>
      <c r="L96" s="92"/>
      <c r="M96" s="92"/>
      <c r="N96" s="92"/>
      <c r="O96" s="92"/>
      <c r="P96" s="92"/>
      <c r="Q96" s="92"/>
      <c r="R96" s="93"/>
      <c r="S96" s="7"/>
      <c r="T96" s="10"/>
      <c r="U96" s="10"/>
      <c r="V96" s="10"/>
      <c r="W96" s="10"/>
      <c r="X96" s="10"/>
      <c r="Y96" s="10"/>
      <c r="Z96" s="10"/>
      <c r="AA96" s="10"/>
      <c r="AB96" s="10"/>
      <c r="AC96" s="10"/>
      <c r="AD96" s="10"/>
    </row>
    <row r="97" spans="1:30" x14ac:dyDescent="0.2">
      <c r="A97" s="10"/>
      <c r="B97" s="105" t="s">
        <v>1100</v>
      </c>
      <c r="C97" s="332">
        <v>235</v>
      </c>
      <c r="D97" s="107"/>
      <c r="E97" s="107"/>
      <c r="F97" s="7"/>
      <c r="G97" s="7"/>
      <c r="H97" s="7"/>
      <c r="I97" s="7"/>
      <c r="J97" s="7"/>
      <c r="K97" s="7"/>
      <c r="L97" s="7"/>
      <c r="M97" s="7"/>
      <c r="N97" s="7"/>
      <c r="O97" s="7"/>
      <c r="P97" s="7"/>
      <c r="Q97" s="7"/>
      <c r="R97" s="108"/>
      <c r="S97" s="7"/>
      <c r="T97" s="10"/>
      <c r="U97" s="10"/>
      <c r="V97" s="10"/>
      <c r="W97" s="10"/>
      <c r="X97" s="10"/>
      <c r="Y97" s="10"/>
      <c r="Z97" s="10"/>
      <c r="AA97" s="10"/>
      <c r="AB97" s="10"/>
      <c r="AC97" s="10"/>
      <c r="AD97" s="10"/>
    </row>
    <row r="98" spans="1:30" x14ac:dyDescent="0.2">
      <c r="A98" s="10"/>
      <c r="B98" s="105" t="s">
        <v>1101</v>
      </c>
      <c r="C98" s="332">
        <v>304</v>
      </c>
      <c r="D98" s="107"/>
      <c r="E98" s="107"/>
      <c r="F98" s="7"/>
      <c r="G98" s="7"/>
      <c r="H98" s="7"/>
      <c r="I98" s="7"/>
      <c r="J98" s="7"/>
      <c r="K98" s="7"/>
      <c r="L98" s="7"/>
      <c r="M98" s="7"/>
      <c r="N98" s="7"/>
      <c r="O98" s="7"/>
      <c r="P98" s="7"/>
      <c r="Q98" s="7"/>
      <c r="R98" s="108"/>
      <c r="S98" s="7"/>
      <c r="T98" s="10"/>
      <c r="U98" s="10"/>
      <c r="V98" s="10"/>
      <c r="W98" s="10"/>
      <c r="X98" s="10"/>
      <c r="Y98" s="10"/>
      <c r="Z98" s="10"/>
      <c r="AA98" s="10"/>
      <c r="AB98" s="10"/>
      <c r="AC98" s="10"/>
      <c r="AD98" s="10"/>
    </row>
    <row r="99" spans="1:30" x14ac:dyDescent="0.2">
      <c r="A99" s="10"/>
      <c r="B99" s="105" t="s">
        <v>1102</v>
      </c>
      <c r="C99" s="332">
        <v>491</v>
      </c>
      <c r="D99" s="107"/>
      <c r="E99" s="107"/>
      <c r="F99" s="7"/>
      <c r="G99" s="7"/>
      <c r="H99" s="7"/>
      <c r="I99" s="7"/>
      <c r="J99" s="7"/>
      <c r="K99" s="7"/>
      <c r="L99" s="7"/>
      <c r="M99" s="7"/>
      <c r="N99" s="7"/>
      <c r="O99" s="7"/>
      <c r="P99" s="7"/>
      <c r="Q99" s="7"/>
      <c r="R99" s="108"/>
      <c r="S99" s="7"/>
      <c r="T99" s="10"/>
      <c r="U99" s="10"/>
      <c r="V99" s="10"/>
      <c r="W99" s="10"/>
      <c r="X99" s="10"/>
      <c r="Y99" s="10"/>
      <c r="Z99" s="10"/>
      <c r="AA99" s="10"/>
      <c r="AB99" s="10"/>
      <c r="AC99" s="10"/>
      <c r="AD99" s="10"/>
    </row>
    <row r="100" spans="1:30" x14ac:dyDescent="0.2">
      <c r="A100" s="10"/>
      <c r="B100" s="105" t="s">
        <v>1103</v>
      </c>
      <c r="C100" s="332">
        <v>460</v>
      </c>
      <c r="D100" s="107"/>
      <c r="E100" s="107"/>
      <c r="F100" s="7"/>
      <c r="G100" s="7"/>
      <c r="H100" s="7"/>
      <c r="I100" s="7"/>
      <c r="J100" s="7"/>
      <c r="K100" s="7"/>
      <c r="L100" s="7"/>
      <c r="M100" s="7"/>
      <c r="N100" s="7"/>
      <c r="O100" s="7"/>
      <c r="P100" s="7"/>
      <c r="Q100" s="7"/>
      <c r="R100" s="108"/>
      <c r="S100" s="7"/>
      <c r="T100" s="10"/>
      <c r="U100" s="10"/>
      <c r="V100" s="10"/>
      <c r="W100" s="10"/>
      <c r="X100" s="10"/>
      <c r="Y100" s="10"/>
      <c r="Z100" s="10"/>
      <c r="AA100" s="10"/>
      <c r="AB100" s="10"/>
      <c r="AC100" s="10"/>
      <c r="AD100" s="10"/>
    </row>
    <row r="101" spans="1:30" x14ac:dyDescent="0.2">
      <c r="A101" s="10"/>
      <c r="B101" s="105" t="s">
        <v>1104</v>
      </c>
      <c r="C101" s="332">
        <v>382</v>
      </c>
      <c r="D101" s="107"/>
      <c r="E101" s="107"/>
      <c r="F101" s="7"/>
      <c r="G101" s="7"/>
      <c r="H101" s="7"/>
      <c r="I101" s="7"/>
      <c r="J101" s="7"/>
      <c r="K101" s="7"/>
      <c r="L101" s="7"/>
      <c r="M101" s="7"/>
      <c r="N101" s="7"/>
      <c r="O101" s="7"/>
      <c r="P101" s="7"/>
      <c r="Q101" s="7"/>
      <c r="R101" s="108"/>
      <c r="S101" s="7"/>
      <c r="T101" s="10"/>
      <c r="U101" s="10"/>
      <c r="V101" s="10"/>
      <c r="W101" s="10"/>
      <c r="X101" s="10"/>
      <c r="Y101" s="10"/>
      <c r="Z101" s="10"/>
      <c r="AA101" s="10"/>
      <c r="AB101" s="10"/>
      <c r="AC101" s="10"/>
      <c r="AD101" s="10"/>
    </row>
    <row r="102" spans="1:30" x14ac:dyDescent="0.2">
      <c r="A102" s="10"/>
      <c r="B102" s="343" t="s">
        <v>1270</v>
      </c>
      <c r="C102" s="344">
        <f>J47</f>
        <v>419</v>
      </c>
      <c r="D102" s="107"/>
      <c r="E102" s="107"/>
      <c r="F102" s="7"/>
      <c r="G102" s="7"/>
      <c r="H102" s="7"/>
      <c r="I102" s="7"/>
      <c r="J102" s="7"/>
      <c r="K102" s="7"/>
      <c r="L102" s="7"/>
      <c r="M102" s="7"/>
      <c r="N102" s="7"/>
      <c r="O102" s="7"/>
      <c r="P102" s="7"/>
      <c r="Q102" s="7"/>
      <c r="R102" s="108"/>
      <c r="S102" s="7"/>
      <c r="T102" s="10"/>
      <c r="U102" s="10"/>
      <c r="V102" s="10"/>
      <c r="W102" s="10"/>
      <c r="X102" s="10"/>
      <c r="Y102" s="10"/>
      <c r="Z102" s="10"/>
      <c r="AA102" s="10"/>
      <c r="AB102" s="10"/>
      <c r="AC102" s="10"/>
      <c r="AD102" s="10"/>
    </row>
    <row r="103" spans="1:30" x14ac:dyDescent="0.2">
      <c r="A103" s="10"/>
      <c r="B103" s="112"/>
      <c r="C103" s="342"/>
      <c r="D103" s="7"/>
      <c r="E103" s="7"/>
      <c r="F103" s="7"/>
      <c r="G103" s="7"/>
      <c r="H103" s="7"/>
      <c r="I103" s="7"/>
      <c r="J103" s="7"/>
      <c r="K103" s="7"/>
      <c r="L103" s="7"/>
      <c r="M103" s="7"/>
      <c r="N103" s="7"/>
      <c r="O103" s="7"/>
      <c r="P103" s="7"/>
      <c r="Q103" s="7"/>
      <c r="R103" s="108"/>
      <c r="S103" s="7"/>
      <c r="T103" s="10"/>
      <c r="U103" s="10"/>
      <c r="V103" s="10"/>
      <c r="W103" s="10"/>
      <c r="X103" s="10"/>
      <c r="Y103" s="10"/>
      <c r="Z103" s="10"/>
      <c r="AA103" s="10"/>
      <c r="AB103" s="10"/>
      <c r="AC103" s="10"/>
      <c r="AD103" s="10"/>
    </row>
    <row r="104" spans="1:30" x14ac:dyDescent="0.2">
      <c r="A104" s="10"/>
      <c r="B104" s="67" t="s">
        <v>1173</v>
      </c>
      <c r="C104" s="68" t="s">
        <v>1421</v>
      </c>
      <c r="D104" s="9"/>
      <c r="E104" s="9"/>
      <c r="F104" s="9"/>
      <c r="G104" s="9"/>
      <c r="H104" s="9"/>
      <c r="I104" s="9"/>
      <c r="J104" s="7"/>
      <c r="K104" s="7"/>
      <c r="L104" s="7"/>
      <c r="M104" s="7"/>
      <c r="N104" s="7"/>
      <c r="O104" s="7"/>
      <c r="P104" s="7"/>
      <c r="Q104" s="7"/>
      <c r="R104" s="108"/>
      <c r="S104" s="7"/>
      <c r="T104" s="10"/>
      <c r="U104" s="10"/>
      <c r="V104" s="10"/>
      <c r="W104" s="10"/>
      <c r="X104" s="10"/>
      <c r="Y104" s="10"/>
      <c r="Z104" s="10"/>
      <c r="AA104" s="10"/>
      <c r="AB104" s="10"/>
      <c r="AC104" s="10"/>
      <c r="AD104" s="10"/>
    </row>
    <row r="105" spans="1:30" x14ac:dyDescent="0.2">
      <c r="A105" s="10"/>
      <c r="B105" s="442" t="s">
        <v>1174</v>
      </c>
      <c r="C105" s="443"/>
      <c r="D105" s="109" t="s">
        <v>1175</v>
      </c>
      <c r="E105" s="109" t="s">
        <v>1176</v>
      </c>
      <c r="F105" s="109" t="s">
        <v>1177</v>
      </c>
      <c r="G105" s="9"/>
      <c r="H105" s="9"/>
      <c r="I105" s="9"/>
      <c r="J105" s="7"/>
      <c r="K105" s="7"/>
      <c r="L105" s="7"/>
      <c r="M105" s="7"/>
      <c r="N105" s="7"/>
      <c r="O105" s="7"/>
      <c r="P105" s="7"/>
      <c r="Q105" s="7"/>
      <c r="R105" s="108"/>
      <c r="S105" s="7"/>
      <c r="T105" s="10"/>
      <c r="U105" s="10"/>
      <c r="V105" s="10"/>
      <c r="W105" s="10"/>
      <c r="X105" s="10"/>
      <c r="Y105" s="10"/>
      <c r="Z105" s="10"/>
      <c r="AA105" s="10"/>
      <c r="AB105" s="10"/>
      <c r="AC105" s="10"/>
      <c r="AD105" s="10"/>
    </row>
    <row r="106" spans="1:30" x14ac:dyDescent="0.2">
      <c r="A106" s="10"/>
      <c r="B106" s="430" t="s">
        <v>1178</v>
      </c>
      <c r="C106" s="431"/>
      <c r="D106" s="333">
        <f>GETPIVOTDATA("Net Dwellings",Pivots!$H$244)</f>
        <v>183</v>
      </c>
      <c r="E106" s="334">
        <f>GETPIVOTDATA("Net Dwellings",Pivots!$E$244)</f>
        <v>624</v>
      </c>
      <c r="F106" s="334">
        <f>GETPIVOTDATA("Net Dwellings",Pivots!$B$244)</f>
        <v>187</v>
      </c>
      <c r="G106" s="9"/>
      <c r="H106" s="9"/>
      <c r="I106" s="9"/>
      <c r="J106" s="9"/>
      <c r="K106" s="9"/>
      <c r="L106" s="9"/>
      <c r="M106" s="9"/>
      <c r="N106" s="9"/>
      <c r="O106" s="9"/>
      <c r="P106" s="9"/>
      <c r="Q106" s="7"/>
      <c r="R106" s="108"/>
      <c r="S106" s="7"/>
      <c r="T106" s="10"/>
      <c r="U106" s="10"/>
      <c r="V106" s="10"/>
      <c r="W106" s="10"/>
      <c r="X106" s="10"/>
      <c r="Y106" s="10"/>
      <c r="Z106" s="10"/>
      <c r="AA106" s="10"/>
      <c r="AB106" s="10"/>
      <c r="AC106" s="10"/>
      <c r="AD106" s="10"/>
    </row>
    <row r="107" spans="1:30" x14ac:dyDescent="0.2">
      <c r="A107" s="10"/>
      <c r="B107" s="430" t="s">
        <v>1179</v>
      </c>
      <c r="C107" s="431"/>
      <c r="D107" s="334">
        <f>GETPIVOTDATA("Net Dwellings",Pivots!$H$253)</f>
        <v>131</v>
      </c>
      <c r="E107" s="334">
        <f>GETPIVOTDATA("Net Dwellings",Pivots!$E$253)</f>
        <v>85</v>
      </c>
      <c r="F107" s="334">
        <f>GETPIVOTDATA("Net Dwellings",Pivots!$B$253)</f>
        <v>232</v>
      </c>
      <c r="G107" s="9"/>
      <c r="H107" s="9"/>
      <c r="I107" s="9"/>
      <c r="J107" s="9"/>
      <c r="K107" s="9"/>
      <c r="L107" s="9"/>
      <c r="M107" s="9"/>
      <c r="N107" s="9"/>
      <c r="O107" s="9"/>
      <c r="P107" s="9"/>
      <c r="Q107" s="7"/>
      <c r="R107" s="108"/>
      <c r="S107" s="7"/>
      <c r="T107" s="10"/>
      <c r="U107" s="10"/>
      <c r="V107" s="10"/>
      <c r="W107" s="10"/>
      <c r="X107" s="10"/>
      <c r="Y107" s="10"/>
      <c r="Z107" s="10"/>
      <c r="AA107" s="10"/>
      <c r="AB107" s="10"/>
      <c r="AC107" s="10"/>
      <c r="AD107" s="10"/>
    </row>
    <row r="108" spans="1:30" x14ac:dyDescent="0.2">
      <c r="A108" s="10"/>
      <c r="B108" s="424" t="s">
        <v>1180</v>
      </c>
      <c r="C108" s="425"/>
      <c r="D108" s="110">
        <f>SUM(D106:D107)</f>
        <v>314</v>
      </c>
      <c r="E108" s="110">
        <f>SUM(E106:E107)</f>
        <v>709</v>
      </c>
      <c r="F108" s="110">
        <f>SUM(F106:F107)</f>
        <v>419</v>
      </c>
      <c r="G108" s="9"/>
      <c r="H108" s="9"/>
      <c r="I108" s="9"/>
      <c r="J108" s="9"/>
      <c r="K108" s="9"/>
      <c r="L108" s="9"/>
      <c r="M108" s="9"/>
      <c r="N108" s="9"/>
      <c r="O108" s="9"/>
      <c r="P108" s="9"/>
      <c r="Q108" s="7"/>
      <c r="R108" s="108"/>
      <c r="S108" s="7"/>
      <c r="T108" s="10"/>
      <c r="U108" s="10"/>
      <c r="V108" s="10"/>
      <c r="W108" s="10"/>
      <c r="X108" s="10"/>
      <c r="Y108" s="10"/>
      <c r="Z108" s="10"/>
      <c r="AA108" s="10"/>
      <c r="AB108" s="10"/>
      <c r="AC108" s="10"/>
      <c r="AD108" s="10"/>
    </row>
    <row r="109" spans="1:30" x14ac:dyDescent="0.2">
      <c r="A109" s="10"/>
      <c r="B109" s="111"/>
      <c r="C109" s="9"/>
      <c r="D109" s="9"/>
      <c r="E109" s="9"/>
      <c r="F109" s="9"/>
      <c r="G109" s="9"/>
      <c r="H109" s="9"/>
      <c r="I109" s="9"/>
      <c r="J109" s="9"/>
      <c r="K109" s="9"/>
      <c r="L109" s="9"/>
      <c r="M109" s="9"/>
      <c r="N109" s="9"/>
      <c r="O109" s="9"/>
      <c r="P109" s="9"/>
      <c r="Q109" s="7"/>
      <c r="R109" s="108"/>
      <c r="S109" s="7"/>
      <c r="T109" s="10"/>
      <c r="U109" s="10"/>
      <c r="V109" s="10"/>
      <c r="W109" s="10"/>
      <c r="X109" s="10"/>
      <c r="Y109" s="10"/>
      <c r="Z109" s="10"/>
      <c r="AA109" s="10"/>
      <c r="AB109" s="10"/>
      <c r="AC109" s="10"/>
      <c r="AD109" s="10"/>
    </row>
    <row r="110" spans="1:30" x14ac:dyDescent="0.2">
      <c r="A110" s="10"/>
      <c r="B110" s="112"/>
      <c r="C110" s="47"/>
      <c r="D110" s="47"/>
      <c r="E110" s="47"/>
      <c r="F110" s="47"/>
      <c r="G110" s="92"/>
      <c r="H110" s="92"/>
      <c r="I110" s="92"/>
      <c r="J110" s="92"/>
      <c r="K110" s="9"/>
      <c r="L110" s="9"/>
      <c r="M110" s="9"/>
      <c r="N110" s="9"/>
      <c r="O110" s="9"/>
      <c r="P110" s="9"/>
      <c r="Q110" s="7"/>
      <c r="R110" s="108"/>
      <c r="S110" s="7"/>
      <c r="T110" s="10"/>
      <c r="U110" s="10"/>
      <c r="V110" s="10"/>
      <c r="W110" s="10"/>
      <c r="X110" s="10"/>
      <c r="Y110" s="10"/>
      <c r="Z110" s="10"/>
      <c r="AA110" s="10"/>
      <c r="AB110" s="10"/>
      <c r="AC110" s="10"/>
      <c r="AD110" s="10"/>
    </row>
    <row r="111" spans="1:30" x14ac:dyDescent="0.2">
      <c r="A111" s="10"/>
      <c r="B111" s="112"/>
      <c r="C111" s="47"/>
      <c r="D111" s="47"/>
      <c r="E111" s="47"/>
      <c r="F111" s="47"/>
      <c r="G111" s="7"/>
      <c r="H111" s="7"/>
      <c r="I111" s="9"/>
      <c r="J111" s="9"/>
      <c r="K111" s="9"/>
      <c r="L111" s="9"/>
      <c r="M111" s="9"/>
      <c r="N111" s="9"/>
      <c r="O111" s="9"/>
      <c r="P111" s="9"/>
      <c r="Q111" s="7"/>
      <c r="R111" s="108"/>
      <c r="S111" s="7"/>
      <c r="T111" s="10"/>
      <c r="U111" s="10"/>
      <c r="V111" s="10"/>
      <c r="W111" s="10"/>
      <c r="X111" s="10"/>
      <c r="Y111" s="10"/>
      <c r="Z111" s="10"/>
      <c r="AA111" s="10"/>
      <c r="AB111" s="10"/>
      <c r="AC111" s="10"/>
      <c r="AD111" s="10"/>
    </row>
    <row r="112" spans="1:30" x14ac:dyDescent="0.2">
      <c r="A112" s="10"/>
      <c r="B112" s="80" t="s">
        <v>1181</v>
      </c>
      <c r="C112" s="81" t="s">
        <v>1565</v>
      </c>
      <c r="D112" s="92"/>
      <c r="E112" s="92"/>
      <c r="F112" s="92"/>
      <c r="G112" s="7"/>
      <c r="H112" s="7"/>
      <c r="I112" s="9"/>
      <c r="J112" s="9"/>
      <c r="K112" s="9"/>
      <c r="L112" s="9"/>
      <c r="M112" s="9"/>
      <c r="N112" s="9"/>
      <c r="O112" s="9"/>
      <c r="P112" s="9"/>
      <c r="Q112" s="7"/>
      <c r="R112" s="108"/>
      <c r="S112" s="7"/>
      <c r="T112" s="10"/>
      <c r="U112" s="10"/>
      <c r="V112" s="10"/>
      <c r="W112" s="10"/>
      <c r="X112" s="10"/>
      <c r="Y112" s="10"/>
      <c r="Z112" s="10"/>
      <c r="AA112" s="10"/>
      <c r="AB112" s="10"/>
      <c r="AC112" s="10"/>
      <c r="AD112" s="10"/>
    </row>
    <row r="113" spans="1:30" x14ac:dyDescent="0.2">
      <c r="A113" s="10"/>
      <c r="B113" s="434" t="s">
        <v>0</v>
      </c>
      <c r="C113" s="435"/>
      <c r="D113" s="109" t="s">
        <v>1175</v>
      </c>
      <c r="E113" s="109" t="s">
        <v>1176</v>
      </c>
      <c r="F113" s="109" t="s">
        <v>1177</v>
      </c>
      <c r="G113" s="7"/>
      <c r="H113" s="7"/>
      <c r="I113" s="9"/>
      <c r="J113" s="9"/>
      <c r="K113" s="9"/>
      <c r="L113" s="9"/>
      <c r="M113" s="9"/>
      <c r="N113" s="9"/>
      <c r="O113" s="9"/>
      <c r="P113" s="9"/>
      <c r="Q113" s="7"/>
      <c r="R113" s="108"/>
      <c r="S113" s="7"/>
      <c r="T113" s="10"/>
      <c r="U113" s="10"/>
      <c r="V113" s="10"/>
      <c r="W113" s="10"/>
      <c r="X113" s="10"/>
      <c r="Y113" s="10"/>
      <c r="Z113" s="10"/>
      <c r="AA113" s="10"/>
      <c r="AB113" s="10"/>
      <c r="AC113" s="10"/>
      <c r="AD113" s="10"/>
    </row>
    <row r="114" spans="1:30" x14ac:dyDescent="0.2">
      <c r="A114" s="10"/>
      <c r="B114" s="430" t="s">
        <v>1183</v>
      </c>
      <c r="C114" s="431"/>
      <c r="D114" s="333">
        <f>F61</f>
        <v>293</v>
      </c>
      <c r="E114" s="334">
        <f>F60</f>
        <v>640</v>
      </c>
      <c r="F114" s="334">
        <f>F59</f>
        <v>349</v>
      </c>
      <c r="G114" s="7"/>
      <c r="H114" s="7"/>
      <c r="I114" s="9"/>
      <c r="J114" s="9"/>
      <c r="K114" s="9"/>
      <c r="L114" s="9"/>
      <c r="M114" s="9"/>
      <c r="N114" s="9"/>
      <c r="O114" s="9"/>
      <c r="P114" s="9"/>
      <c r="Q114" s="7"/>
      <c r="R114" s="108"/>
      <c r="S114" s="7"/>
      <c r="T114" s="10"/>
      <c r="U114" s="10"/>
      <c r="V114" s="10"/>
      <c r="W114" s="10"/>
      <c r="X114" s="10"/>
      <c r="Y114" s="10"/>
      <c r="Z114" s="10"/>
      <c r="AA114" s="10"/>
      <c r="AB114" s="10"/>
      <c r="AC114" s="10"/>
      <c r="AD114" s="10"/>
    </row>
    <row r="115" spans="1:30" x14ac:dyDescent="0.2">
      <c r="A115" s="10"/>
      <c r="B115" s="432" t="s">
        <v>1184</v>
      </c>
      <c r="C115" s="433"/>
      <c r="D115" s="334">
        <f>N61</f>
        <v>21</v>
      </c>
      <c r="E115" s="334">
        <f>N60</f>
        <v>69</v>
      </c>
      <c r="F115" s="334">
        <f>N59</f>
        <v>70</v>
      </c>
      <c r="G115" s="47"/>
      <c r="H115" s="7"/>
      <c r="I115" s="9"/>
      <c r="J115" s="9"/>
      <c r="K115" s="9"/>
      <c r="L115" s="9"/>
      <c r="M115" s="9"/>
      <c r="N115" s="9"/>
      <c r="O115" s="9"/>
      <c r="P115" s="9"/>
      <c r="Q115" s="7"/>
      <c r="R115" s="108"/>
      <c r="S115" s="7"/>
      <c r="T115" s="10"/>
      <c r="U115" s="10"/>
      <c r="V115" s="10"/>
      <c r="W115" s="10"/>
      <c r="X115" s="10"/>
      <c r="Y115" s="10"/>
      <c r="Z115" s="10"/>
      <c r="AA115" s="10"/>
      <c r="AB115" s="10"/>
      <c r="AC115" s="10"/>
      <c r="AD115" s="10"/>
    </row>
    <row r="116" spans="1:30" x14ac:dyDescent="0.2">
      <c r="A116" s="10"/>
      <c r="B116" s="424" t="s">
        <v>1180</v>
      </c>
      <c r="C116" s="425"/>
      <c r="D116" s="110">
        <f>SUM(D114:D115)</f>
        <v>314</v>
      </c>
      <c r="E116" s="110">
        <f>SUM(E114:E115)</f>
        <v>709</v>
      </c>
      <c r="F116" s="110">
        <f>SUM(F114:F115)</f>
        <v>419</v>
      </c>
      <c r="G116" s="47"/>
      <c r="H116" s="7"/>
      <c r="I116" s="9"/>
      <c r="J116" s="9"/>
      <c r="K116" s="9"/>
      <c r="L116" s="9"/>
      <c r="M116" s="9"/>
      <c r="N116" s="9"/>
      <c r="O116" s="9"/>
      <c r="P116" s="9"/>
      <c r="Q116" s="7"/>
      <c r="R116" s="108"/>
      <c r="S116" s="7"/>
      <c r="T116" s="10"/>
      <c r="U116" s="10"/>
      <c r="V116" s="10"/>
      <c r="W116" s="10"/>
      <c r="X116" s="10"/>
      <c r="Y116" s="10"/>
      <c r="Z116" s="10"/>
      <c r="AA116" s="10"/>
      <c r="AB116" s="10"/>
      <c r="AC116" s="10"/>
      <c r="AD116" s="10"/>
    </row>
    <row r="117" spans="1:30" x14ac:dyDescent="0.2">
      <c r="A117" s="10"/>
      <c r="B117" s="112"/>
      <c r="C117" s="113"/>
      <c r="D117" s="30"/>
      <c r="E117" s="30"/>
      <c r="F117" s="114"/>
      <c r="G117" s="47"/>
      <c r="H117" s="7"/>
      <c r="I117" s="9"/>
      <c r="J117" s="9"/>
      <c r="K117" s="9"/>
      <c r="L117" s="9"/>
      <c r="M117" s="9"/>
      <c r="N117" s="9"/>
      <c r="O117" s="9"/>
      <c r="P117" s="9"/>
      <c r="Q117" s="7"/>
      <c r="R117" s="108"/>
      <c r="S117" s="7"/>
      <c r="T117" s="10"/>
      <c r="U117" s="10"/>
      <c r="V117" s="10"/>
      <c r="W117" s="10"/>
      <c r="X117" s="10"/>
      <c r="Y117" s="10"/>
      <c r="Z117" s="10"/>
      <c r="AA117" s="10"/>
      <c r="AB117" s="10"/>
      <c r="AC117" s="10"/>
      <c r="AD117" s="10"/>
    </row>
    <row r="118" spans="1:30" x14ac:dyDescent="0.2">
      <c r="A118" s="10"/>
      <c r="B118" s="251"/>
      <c r="C118" s="245"/>
      <c r="D118" s="246"/>
      <c r="E118" s="246"/>
      <c r="F118" s="246"/>
      <c r="G118" s="47"/>
      <c r="H118" s="7"/>
      <c r="I118" s="9"/>
      <c r="J118" s="9"/>
      <c r="K118" s="9"/>
      <c r="L118" s="9"/>
      <c r="M118" s="9"/>
      <c r="N118" s="9"/>
      <c r="O118" s="9"/>
      <c r="P118" s="9"/>
      <c r="Q118" s="7"/>
      <c r="R118" s="108"/>
      <c r="S118" s="7"/>
      <c r="T118" s="10"/>
      <c r="U118" s="10"/>
      <c r="V118" s="10"/>
      <c r="W118" s="10"/>
      <c r="X118" s="10"/>
      <c r="Y118" s="10"/>
      <c r="Z118" s="10"/>
      <c r="AA118" s="10"/>
      <c r="AB118" s="10"/>
      <c r="AC118" s="10"/>
      <c r="AD118" s="10"/>
    </row>
    <row r="119" spans="1:30" x14ac:dyDescent="0.2">
      <c r="A119" s="10"/>
      <c r="B119" s="252"/>
      <c r="C119" s="247"/>
      <c r="D119" s="248"/>
      <c r="E119" s="248"/>
      <c r="F119" s="248"/>
      <c r="G119" s="47"/>
      <c r="H119" s="7"/>
      <c r="I119" s="9"/>
      <c r="J119" s="9"/>
      <c r="K119" s="9"/>
      <c r="L119" s="9"/>
      <c r="M119" s="9"/>
      <c r="N119" s="9"/>
      <c r="O119" s="9"/>
      <c r="P119" s="9"/>
      <c r="Q119" s="7"/>
      <c r="R119" s="108"/>
      <c r="S119" s="7"/>
      <c r="T119" s="10"/>
      <c r="U119" s="10"/>
      <c r="V119" s="10"/>
      <c r="W119" s="10"/>
      <c r="X119" s="10"/>
      <c r="Y119" s="10"/>
      <c r="Z119" s="10"/>
      <c r="AA119" s="10"/>
      <c r="AB119" s="10"/>
      <c r="AC119" s="10"/>
      <c r="AD119" s="10"/>
    </row>
    <row r="120" spans="1:30" x14ac:dyDescent="0.2">
      <c r="A120" s="10"/>
      <c r="B120" s="253"/>
      <c r="C120" s="250"/>
      <c r="D120" s="30"/>
      <c r="E120" s="30"/>
      <c r="F120" s="30"/>
      <c r="G120" s="47"/>
      <c r="H120" s="7"/>
      <c r="I120" s="9"/>
      <c r="J120" s="9"/>
      <c r="K120" s="9"/>
      <c r="L120" s="9"/>
      <c r="M120" s="9"/>
      <c r="N120" s="9"/>
      <c r="O120" s="9"/>
      <c r="P120" s="9"/>
      <c r="Q120" s="7"/>
      <c r="R120" s="108"/>
      <c r="S120" s="7"/>
      <c r="T120" s="10"/>
      <c r="U120" s="10"/>
      <c r="V120" s="10"/>
      <c r="W120" s="10"/>
      <c r="X120" s="10"/>
      <c r="Y120" s="10"/>
      <c r="Z120" s="10"/>
      <c r="AA120" s="10"/>
      <c r="AB120" s="10"/>
      <c r="AC120" s="10"/>
      <c r="AD120" s="10"/>
    </row>
    <row r="121" spans="1:30" x14ac:dyDescent="0.2">
      <c r="A121" s="10"/>
      <c r="B121" s="253"/>
      <c r="C121" s="250"/>
      <c r="D121" s="30"/>
      <c r="E121" s="30"/>
      <c r="F121" s="30"/>
      <c r="G121" s="47"/>
      <c r="H121" s="7"/>
      <c r="I121" s="9"/>
      <c r="J121" s="9"/>
      <c r="K121" s="9"/>
      <c r="L121" s="9"/>
      <c r="M121" s="9"/>
      <c r="N121" s="9"/>
      <c r="O121" s="9"/>
      <c r="P121" s="9"/>
      <c r="Q121" s="7"/>
      <c r="R121" s="108"/>
      <c r="S121" s="7"/>
      <c r="T121" s="10"/>
      <c r="U121" s="10"/>
      <c r="V121" s="10"/>
      <c r="W121" s="10"/>
      <c r="X121" s="10"/>
      <c r="Y121" s="10"/>
      <c r="Z121" s="10"/>
      <c r="AA121" s="10"/>
      <c r="AB121" s="10"/>
      <c r="AC121" s="10"/>
      <c r="AD121" s="10"/>
    </row>
    <row r="122" spans="1:30" x14ac:dyDescent="0.2">
      <c r="A122" s="10"/>
      <c r="B122" s="254"/>
      <c r="C122" s="249"/>
      <c r="D122" s="249"/>
      <c r="E122" s="249"/>
      <c r="F122" s="181"/>
      <c r="G122" s="47"/>
      <c r="H122" s="7"/>
      <c r="I122" s="9"/>
      <c r="J122" s="9"/>
      <c r="K122" s="9"/>
      <c r="L122" s="9"/>
      <c r="M122" s="9"/>
      <c r="N122" s="9"/>
      <c r="O122" s="9"/>
      <c r="P122" s="9"/>
      <c r="Q122" s="7"/>
      <c r="R122" s="108"/>
      <c r="S122" s="7"/>
      <c r="T122" s="10"/>
      <c r="U122" s="10"/>
      <c r="V122" s="10"/>
      <c r="W122" s="10"/>
      <c r="X122" s="10"/>
      <c r="Y122" s="10"/>
      <c r="Z122" s="10"/>
      <c r="AA122" s="10"/>
      <c r="AB122" s="10"/>
      <c r="AC122" s="10"/>
      <c r="AD122" s="10"/>
    </row>
    <row r="123" spans="1:30" x14ac:dyDescent="0.2">
      <c r="A123" s="10"/>
      <c r="B123" s="115"/>
      <c r="C123" s="116"/>
      <c r="D123" s="117"/>
      <c r="E123" s="117"/>
      <c r="F123" s="117"/>
      <c r="G123" s="117"/>
      <c r="H123" s="116"/>
      <c r="I123" s="116"/>
      <c r="J123" s="116"/>
      <c r="K123" s="116"/>
      <c r="L123" s="116"/>
      <c r="M123" s="116"/>
      <c r="N123" s="116"/>
      <c r="O123" s="116"/>
      <c r="P123" s="116"/>
      <c r="Q123" s="118"/>
      <c r="R123" s="119"/>
      <c r="S123" s="7"/>
      <c r="T123" s="10"/>
      <c r="U123" s="10"/>
      <c r="V123" s="10"/>
      <c r="W123" s="10"/>
      <c r="X123" s="10"/>
      <c r="Y123" s="10"/>
      <c r="Z123" s="10"/>
      <c r="AA123" s="10"/>
      <c r="AB123" s="10"/>
      <c r="AC123" s="10"/>
      <c r="AD123" s="10"/>
    </row>
    <row r="124" spans="1:30" x14ac:dyDescent="0.2">
      <c r="A124" s="10"/>
      <c r="B124" s="120"/>
      <c r="C124" s="121"/>
      <c r="D124" s="121"/>
      <c r="E124" s="121"/>
      <c r="F124" s="121"/>
      <c r="G124" s="121"/>
      <c r="H124" s="121"/>
      <c r="I124" s="121"/>
      <c r="J124" s="121"/>
      <c r="K124" s="121"/>
      <c r="L124" s="121"/>
      <c r="M124" s="121"/>
      <c r="N124" s="121"/>
      <c r="O124" s="121"/>
      <c r="P124" s="121"/>
      <c r="Q124" s="122"/>
      <c r="R124" s="123"/>
      <c r="S124" s="7"/>
      <c r="T124" s="10"/>
      <c r="U124" s="10"/>
      <c r="V124" s="10"/>
      <c r="W124" s="10"/>
      <c r="X124" s="10"/>
      <c r="Y124" s="10"/>
      <c r="Z124" s="10"/>
      <c r="AA124" s="10"/>
      <c r="AB124" s="10"/>
      <c r="AC124" s="10"/>
      <c r="AD124" s="10"/>
    </row>
    <row r="125" spans="1:30" ht="20.25" x14ac:dyDescent="0.3">
      <c r="A125" s="10"/>
      <c r="B125" s="124" t="s">
        <v>1177</v>
      </c>
      <c r="C125" s="9"/>
      <c r="D125" s="9"/>
      <c r="E125" s="9"/>
      <c r="F125" s="9"/>
      <c r="G125" s="9"/>
      <c r="H125" s="9"/>
      <c r="I125" s="9"/>
      <c r="J125" s="9"/>
      <c r="K125" s="9"/>
      <c r="L125" s="9"/>
      <c r="M125" s="9"/>
      <c r="N125" s="9"/>
      <c r="O125" s="9"/>
      <c r="P125" s="9"/>
      <c r="Q125" s="7"/>
      <c r="R125" s="108"/>
      <c r="S125" s="7"/>
      <c r="T125" s="10"/>
      <c r="U125" s="10"/>
      <c r="V125" s="10"/>
      <c r="W125" s="10"/>
      <c r="X125" s="10"/>
      <c r="Y125" s="10"/>
      <c r="Z125" s="10"/>
      <c r="AA125" s="10"/>
      <c r="AB125" s="10"/>
      <c r="AC125" s="10"/>
      <c r="AD125" s="10"/>
    </row>
    <row r="126" spans="1:30" x14ac:dyDescent="0.2">
      <c r="A126" s="10"/>
      <c r="B126" s="125"/>
      <c r="C126" s="126"/>
      <c r="D126" s="126"/>
      <c r="E126" s="126"/>
      <c r="F126" s="126"/>
      <c r="G126" s="126"/>
      <c r="H126" s="126"/>
      <c r="I126" s="126"/>
      <c r="J126" s="126"/>
      <c r="K126" s="126"/>
      <c r="L126" s="126"/>
      <c r="M126" s="126"/>
      <c r="N126" s="126"/>
      <c r="O126" s="126"/>
      <c r="P126" s="126"/>
      <c r="Q126" s="7"/>
      <c r="R126" s="108"/>
      <c r="S126" s="7"/>
      <c r="T126" s="10"/>
      <c r="U126" s="10"/>
      <c r="V126" s="10"/>
      <c r="W126" s="10"/>
      <c r="X126" s="10"/>
      <c r="Y126" s="10"/>
      <c r="Z126" s="10"/>
      <c r="AA126" s="10"/>
      <c r="AB126" s="10"/>
      <c r="AC126" s="10"/>
      <c r="AD126" s="10"/>
    </row>
    <row r="127" spans="1:30" x14ac:dyDescent="0.2">
      <c r="A127" s="10"/>
      <c r="B127" s="67" t="s">
        <v>1182</v>
      </c>
      <c r="C127" s="68" t="s">
        <v>1575</v>
      </c>
      <c r="D127" s="9"/>
      <c r="E127" s="9"/>
      <c r="F127" s="9"/>
      <c r="G127" s="9"/>
      <c r="H127" s="9"/>
      <c r="I127" s="9"/>
      <c r="J127" s="9"/>
      <c r="K127" s="9"/>
      <c r="L127" s="9"/>
      <c r="M127" s="9"/>
      <c r="N127" s="9"/>
      <c r="O127" s="9"/>
      <c r="P127" s="9"/>
      <c r="Q127" s="7"/>
      <c r="R127" s="108"/>
      <c r="S127" s="7"/>
      <c r="T127" s="10"/>
      <c r="U127" s="10"/>
      <c r="V127" s="10"/>
      <c r="W127" s="10"/>
      <c r="X127" s="10"/>
      <c r="Y127" s="10"/>
      <c r="Z127" s="10"/>
      <c r="AA127" s="10"/>
      <c r="AB127" s="10"/>
      <c r="AC127" s="10"/>
      <c r="AD127" s="10"/>
    </row>
    <row r="128" spans="1:30" x14ac:dyDescent="0.2">
      <c r="A128" s="10"/>
      <c r="B128" s="426" t="s">
        <v>1161</v>
      </c>
      <c r="C128" s="427" t="s">
        <v>1183</v>
      </c>
      <c r="D128" s="428"/>
      <c r="E128" s="427" t="s">
        <v>1184</v>
      </c>
      <c r="F128" s="428"/>
      <c r="G128" s="436" t="s">
        <v>1553</v>
      </c>
      <c r="H128" s="9"/>
      <c r="I128" s="9"/>
      <c r="J128" s="9"/>
      <c r="K128" s="9"/>
      <c r="L128" s="9"/>
      <c r="M128" s="7"/>
      <c r="N128" s="7"/>
      <c r="O128" s="7"/>
      <c r="P128" s="7"/>
      <c r="Q128" s="7"/>
      <c r="R128" s="108"/>
      <c r="S128" s="7"/>
      <c r="T128" s="10"/>
      <c r="U128" s="10"/>
      <c r="V128" s="10"/>
      <c r="W128" s="10"/>
      <c r="X128" s="10"/>
      <c r="Y128" s="10"/>
      <c r="Z128" s="10"/>
      <c r="AA128" s="10"/>
      <c r="AB128" s="10"/>
      <c r="AC128" s="10"/>
      <c r="AD128" s="10"/>
    </row>
    <row r="129" spans="1:30" x14ac:dyDescent="0.2">
      <c r="A129" s="10"/>
      <c r="B129" s="426"/>
      <c r="C129" s="127" t="s">
        <v>1185</v>
      </c>
      <c r="D129" s="127" t="s">
        <v>1186</v>
      </c>
      <c r="E129" s="127" t="s">
        <v>1185</v>
      </c>
      <c r="F129" s="127" t="s">
        <v>1186</v>
      </c>
      <c r="G129" s="437"/>
      <c r="H129" s="9"/>
      <c r="I129" s="9"/>
      <c r="J129" s="9"/>
      <c r="K129" s="9"/>
      <c r="L129" s="9"/>
      <c r="M129" s="7"/>
      <c r="N129" s="7"/>
      <c r="O129" s="7"/>
      <c r="P129" s="7"/>
      <c r="Q129" s="7"/>
      <c r="R129" s="108"/>
      <c r="S129" s="7"/>
      <c r="T129" s="10"/>
      <c r="U129" s="10"/>
      <c r="V129" s="10"/>
      <c r="W129" s="10"/>
      <c r="X129" s="10"/>
      <c r="Y129" s="10"/>
      <c r="Z129" s="10"/>
      <c r="AA129" s="10"/>
      <c r="AB129" s="10"/>
      <c r="AC129" s="10"/>
      <c r="AD129" s="10"/>
    </row>
    <row r="130" spans="1:30" x14ac:dyDescent="0.2">
      <c r="A130" s="10"/>
      <c r="B130" s="128" t="s">
        <v>1167</v>
      </c>
      <c r="C130" s="334">
        <v>611</v>
      </c>
      <c r="D130" s="335">
        <f t="shared" ref="D130:D142" si="11">C130/G130</f>
        <v>0.72565320665083133</v>
      </c>
      <c r="E130" s="334">
        <v>231</v>
      </c>
      <c r="F130" s="335">
        <f t="shared" ref="F130:F142" si="12">E130/G130</f>
        <v>0.27434679334916867</v>
      </c>
      <c r="G130" s="334">
        <v>842</v>
      </c>
      <c r="H130" s="9"/>
      <c r="I130" s="9"/>
      <c r="J130" s="9"/>
      <c r="K130" s="9"/>
      <c r="L130" s="9"/>
      <c r="M130" s="7"/>
      <c r="N130" s="7"/>
      <c r="O130" s="7"/>
      <c r="P130" s="7"/>
      <c r="Q130" s="7"/>
      <c r="R130" s="108"/>
      <c r="S130" s="7"/>
      <c r="T130" s="10"/>
      <c r="U130" s="10"/>
      <c r="V130" s="10"/>
      <c r="W130" s="10"/>
      <c r="X130" s="10"/>
      <c r="Y130" s="10"/>
      <c r="Z130" s="10"/>
      <c r="AA130" s="10"/>
      <c r="AB130" s="10"/>
      <c r="AC130" s="10"/>
      <c r="AD130" s="10"/>
    </row>
    <row r="131" spans="1:30" x14ac:dyDescent="0.2">
      <c r="A131" s="10"/>
      <c r="B131" s="128" t="s">
        <v>1168</v>
      </c>
      <c r="C131" s="334">
        <v>192</v>
      </c>
      <c r="D131" s="335">
        <f t="shared" si="11"/>
        <v>0.83478260869565213</v>
      </c>
      <c r="E131" s="334">
        <v>38</v>
      </c>
      <c r="F131" s="335">
        <f t="shared" si="12"/>
        <v>0.16521739130434782</v>
      </c>
      <c r="G131" s="334">
        <f t="shared" ref="G131:G140" si="13">E131+C131</f>
        <v>230</v>
      </c>
      <c r="H131" s="9"/>
      <c r="I131" s="9"/>
      <c r="J131" s="9"/>
      <c r="K131" s="9"/>
      <c r="L131" s="9"/>
      <c r="M131" s="7"/>
      <c r="N131" s="7"/>
      <c r="O131" s="7"/>
      <c r="P131" s="7"/>
      <c r="Q131" s="7"/>
      <c r="R131" s="108"/>
      <c r="S131" s="7"/>
      <c r="T131" s="10"/>
      <c r="U131" s="10"/>
      <c r="V131" s="10"/>
      <c r="W131" s="10"/>
      <c r="X131" s="10"/>
      <c r="Y131" s="10"/>
      <c r="Z131" s="10"/>
      <c r="AA131" s="10"/>
      <c r="AB131" s="10"/>
      <c r="AC131" s="10"/>
      <c r="AD131" s="10"/>
    </row>
    <row r="132" spans="1:30" x14ac:dyDescent="0.2">
      <c r="A132" s="10"/>
      <c r="B132" s="128" t="s">
        <v>1169</v>
      </c>
      <c r="C132" s="334">
        <v>257</v>
      </c>
      <c r="D132" s="335">
        <f t="shared" si="11"/>
        <v>0.9884615384615385</v>
      </c>
      <c r="E132" s="334">
        <v>3</v>
      </c>
      <c r="F132" s="335">
        <f t="shared" si="12"/>
        <v>1.1538461538461539E-2</v>
      </c>
      <c r="G132" s="334">
        <f t="shared" si="13"/>
        <v>260</v>
      </c>
      <c r="H132" s="9"/>
      <c r="I132" s="9"/>
      <c r="J132" s="9"/>
      <c r="K132" s="9"/>
      <c r="L132" s="9"/>
      <c r="M132" s="7"/>
      <c r="N132" s="7"/>
      <c r="O132" s="7"/>
      <c r="P132" s="7"/>
      <c r="Q132" s="7"/>
      <c r="R132" s="108"/>
      <c r="S132" s="7"/>
      <c r="T132" s="10"/>
      <c r="U132" s="10"/>
      <c r="V132" s="10"/>
      <c r="W132" s="10"/>
      <c r="X132" s="10"/>
      <c r="Y132" s="10"/>
      <c r="Z132" s="10"/>
      <c r="AA132" s="10"/>
      <c r="AB132" s="10"/>
      <c r="AC132" s="10"/>
      <c r="AD132" s="10"/>
    </row>
    <row r="133" spans="1:30" x14ac:dyDescent="0.2">
      <c r="A133" s="10"/>
      <c r="B133" s="128" t="s">
        <v>1170</v>
      </c>
      <c r="C133" s="334">
        <v>338</v>
      </c>
      <c r="D133" s="335">
        <f t="shared" si="11"/>
        <v>0.77522935779816515</v>
      </c>
      <c r="E133" s="334">
        <v>98</v>
      </c>
      <c r="F133" s="335">
        <f t="shared" si="12"/>
        <v>0.22477064220183487</v>
      </c>
      <c r="G133" s="334">
        <f t="shared" si="13"/>
        <v>436</v>
      </c>
      <c r="H133" s="9"/>
      <c r="I133" s="9"/>
      <c r="J133" s="9"/>
      <c r="K133" s="9"/>
      <c r="L133" s="9"/>
      <c r="M133" s="7"/>
      <c r="N133" s="7"/>
      <c r="O133" s="7"/>
      <c r="P133" s="7"/>
      <c r="Q133" s="7"/>
      <c r="R133" s="108"/>
      <c r="S133" s="7"/>
      <c r="T133" s="10"/>
      <c r="U133" s="10"/>
      <c r="V133" s="10"/>
      <c r="W133" s="10"/>
      <c r="X133" s="10"/>
      <c r="Y133" s="10"/>
      <c r="Z133" s="10"/>
      <c r="AA133" s="10"/>
      <c r="AB133" s="10"/>
      <c r="AC133" s="10"/>
      <c r="AD133" s="10"/>
    </row>
    <row r="134" spans="1:30" x14ac:dyDescent="0.2">
      <c r="A134" s="10"/>
      <c r="B134" s="128" t="s">
        <v>1171</v>
      </c>
      <c r="C134" s="334">
        <v>145</v>
      </c>
      <c r="D134" s="335">
        <f t="shared" si="11"/>
        <v>1</v>
      </c>
      <c r="E134" s="334">
        <v>0</v>
      </c>
      <c r="F134" s="335">
        <f t="shared" si="12"/>
        <v>0</v>
      </c>
      <c r="G134" s="334">
        <f t="shared" si="13"/>
        <v>145</v>
      </c>
      <c r="H134" s="9"/>
      <c r="I134" s="9"/>
      <c r="J134" s="9"/>
      <c r="K134" s="9"/>
      <c r="L134" s="9"/>
      <c r="M134" s="7"/>
      <c r="N134" s="7"/>
      <c r="O134" s="7"/>
      <c r="P134" s="7"/>
      <c r="Q134" s="7"/>
      <c r="R134" s="108"/>
      <c r="S134" s="7"/>
      <c r="T134" s="10"/>
      <c r="U134" s="10"/>
      <c r="V134" s="10"/>
      <c r="W134" s="10"/>
      <c r="X134" s="10"/>
      <c r="Y134" s="10"/>
      <c r="Z134" s="10"/>
      <c r="AA134" s="10"/>
      <c r="AB134" s="10"/>
      <c r="AC134" s="10"/>
      <c r="AD134" s="10"/>
    </row>
    <row r="135" spans="1:30" x14ac:dyDescent="0.2">
      <c r="A135" s="10"/>
      <c r="B135" s="128" t="s">
        <v>1172</v>
      </c>
      <c r="C135" s="334">
        <v>273</v>
      </c>
      <c r="D135" s="335">
        <f t="shared" si="11"/>
        <v>0.68421052631578949</v>
      </c>
      <c r="E135" s="334">
        <v>126</v>
      </c>
      <c r="F135" s="335">
        <f t="shared" si="12"/>
        <v>0.31578947368421051</v>
      </c>
      <c r="G135" s="334">
        <f t="shared" si="13"/>
        <v>399</v>
      </c>
      <c r="H135" s="9"/>
      <c r="I135" s="9"/>
      <c r="J135" s="9"/>
      <c r="K135" s="9"/>
      <c r="L135" s="9"/>
      <c r="M135" s="7"/>
      <c r="N135" s="7"/>
      <c r="O135" s="7"/>
      <c r="P135" s="7"/>
      <c r="Q135" s="7"/>
      <c r="R135" s="108"/>
      <c r="S135" s="7"/>
      <c r="T135" s="10"/>
      <c r="U135" s="129"/>
      <c r="V135" s="129"/>
      <c r="W135" s="130"/>
      <c r="X135" s="130"/>
      <c r="Y135" s="130"/>
      <c r="Z135" s="130"/>
      <c r="AA135" s="130"/>
      <c r="AB135" s="10"/>
      <c r="AC135" s="10"/>
      <c r="AD135" s="10"/>
    </row>
    <row r="136" spans="1:30" x14ac:dyDescent="0.2">
      <c r="A136" s="10"/>
      <c r="B136" s="128" t="s">
        <v>1098</v>
      </c>
      <c r="C136" s="334">
        <v>133</v>
      </c>
      <c r="D136" s="335">
        <f t="shared" si="11"/>
        <v>0.63942307692307687</v>
      </c>
      <c r="E136" s="334">
        <v>75</v>
      </c>
      <c r="F136" s="335">
        <f t="shared" si="12"/>
        <v>0.36057692307692307</v>
      </c>
      <c r="G136" s="334">
        <f t="shared" si="13"/>
        <v>208</v>
      </c>
      <c r="H136" s="9"/>
      <c r="I136" s="9"/>
      <c r="J136" s="9"/>
      <c r="K136" s="9"/>
      <c r="L136" s="9"/>
      <c r="M136" s="7"/>
      <c r="N136" s="7"/>
      <c r="O136" s="7"/>
      <c r="P136" s="7"/>
      <c r="Q136" s="7"/>
      <c r="R136" s="108"/>
      <c r="S136" s="7"/>
      <c r="T136" s="47"/>
      <c r="U136" s="429"/>
      <c r="V136" s="421"/>
      <c r="W136" s="421"/>
      <c r="X136" s="421"/>
      <c r="Y136" s="421"/>
      <c r="Z136" s="421"/>
      <c r="AA136" s="421"/>
      <c r="AB136" s="47"/>
      <c r="AC136" s="47"/>
      <c r="AD136" s="47"/>
    </row>
    <row r="137" spans="1:30" ht="12.75" customHeight="1" x14ac:dyDescent="0.2">
      <c r="A137" s="10"/>
      <c r="B137" s="131" t="s">
        <v>1099</v>
      </c>
      <c r="C137" s="334">
        <v>468</v>
      </c>
      <c r="D137" s="335">
        <f t="shared" si="11"/>
        <v>0.67338129496402876</v>
      </c>
      <c r="E137" s="334">
        <v>227</v>
      </c>
      <c r="F137" s="335">
        <f t="shared" si="12"/>
        <v>0.32661870503597124</v>
      </c>
      <c r="G137" s="334">
        <f t="shared" si="13"/>
        <v>695</v>
      </c>
      <c r="H137" s="9"/>
      <c r="I137" s="9"/>
      <c r="J137" s="9"/>
      <c r="K137" s="9"/>
      <c r="L137" s="9"/>
      <c r="M137" s="7"/>
      <c r="N137" s="7"/>
      <c r="O137" s="7"/>
      <c r="P137" s="7"/>
      <c r="Q137" s="7"/>
      <c r="R137" s="108"/>
      <c r="S137" s="7"/>
      <c r="T137" s="47"/>
      <c r="U137" s="429"/>
      <c r="V137" s="132"/>
      <c r="W137" s="132"/>
      <c r="X137" s="132"/>
      <c r="Y137" s="132"/>
      <c r="Z137" s="132"/>
      <c r="AA137" s="132"/>
      <c r="AB137" s="47"/>
      <c r="AC137" s="47"/>
      <c r="AD137" s="47"/>
    </row>
    <row r="138" spans="1:30" ht="12.75" customHeight="1" x14ac:dyDescent="0.2">
      <c r="A138" s="10"/>
      <c r="B138" s="133" t="s">
        <v>1100</v>
      </c>
      <c r="C138" s="334">
        <v>202</v>
      </c>
      <c r="D138" s="335">
        <f t="shared" si="11"/>
        <v>0.8595744680851064</v>
      </c>
      <c r="E138" s="334">
        <v>33</v>
      </c>
      <c r="F138" s="335">
        <f t="shared" si="12"/>
        <v>0.14042553191489363</v>
      </c>
      <c r="G138" s="334">
        <f t="shared" si="13"/>
        <v>235</v>
      </c>
      <c r="H138" s="126"/>
      <c r="I138" s="126"/>
      <c r="J138" s="126"/>
      <c r="K138" s="126"/>
      <c r="L138" s="126"/>
      <c r="M138" s="7"/>
      <c r="N138" s="7"/>
      <c r="O138" s="7"/>
      <c r="P138" s="7"/>
      <c r="Q138" s="7"/>
      <c r="R138" s="108"/>
      <c r="S138" s="7"/>
      <c r="T138" s="134"/>
      <c r="U138" s="135"/>
      <c r="V138" s="136"/>
      <c r="W138" s="136"/>
      <c r="X138" s="136"/>
      <c r="Y138" s="136"/>
      <c r="Z138" s="136"/>
      <c r="AA138" s="136"/>
      <c r="AB138" s="47"/>
      <c r="AC138" s="47"/>
      <c r="AD138" s="47"/>
    </row>
    <row r="139" spans="1:30" ht="12.75" customHeight="1" x14ac:dyDescent="0.2">
      <c r="A139" s="10"/>
      <c r="B139" s="133" t="s">
        <v>1101</v>
      </c>
      <c r="C139" s="334">
        <v>298</v>
      </c>
      <c r="D139" s="335">
        <f t="shared" si="11"/>
        <v>0.98026315789473684</v>
      </c>
      <c r="E139" s="336">
        <v>6</v>
      </c>
      <c r="F139" s="335">
        <f t="shared" si="12"/>
        <v>1.9736842105263157E-2</v>
      </c>
      <c r="G139" s="334">
        <f t="shared" si="13"/>
        <v>304</v>
      </c>
      <c r="H139" s="126"/>
      <c r="I139" s="126"/>
      <c r="J139" s="126"/>
      <c r="K139" s="126"/>
      <c r="L139" s="126"/>
      <c r="M139" s="7"/>
      <c r="N139" s="7"/>
      <c r="O139" s="7"/>
      <c r="P139" s="7"/>
      <c r="Q139" s="7"/>
      <c r="R139" s="108"/>
      <c r="S139" s="75"/>
      <c r="T139" s="47"/>
      <c r="U139" s="135"/>
      <c r="V139" s="136"/>
      <c r="W139" s="136"/>
      <c r="X139" s="136"/>
      <c r="Y139" s="136"/>
      <c r="Z139" s="136"/>
      <c r="AA139" s="136"/>
      <c r="AB139" s="47"/>
      <c r="AC139" s="47"/>
      <c r="AD139" s="47"/>
    </row>
    <row r="140" spans="1:30" x14ac:dyDescent="0.2">
      <c r="A140" s="10"/>
      <c r="B140" s="131" t="s">
        <v>1102</v>
      </c>
      <c r="C140" s="334">
        <v>392</v>
      </c>
      <c r="D140" s="335">
        <f t="shared" si="11"/>
        <v>0.79837067209775969</v>
      </c>
      <c r="E140" s="334">
        <v>99</v>
      </c>
      <c r="F140" s="335">
        <f t="shared" si="12"/>
        <v>0.20162932790224034</v>
      </c>
      <c r="G140" s="334">
        <f t="shared" si="13"/>
        <v>491</v>
      </c>
      <c r="H140" s="126"/>
      <c r="I140" s="126"/>
      <c r="J140" s="126"/>
      <c r="K140" s="126"/>
      <c r="L140" s="126"/>
      <c r="M140" s="7"/>
      <c r="N140" s="7"/>
      <c r="O140" s="7"/>
      <c r="P140" s="7"/>
      <c r="Q140" s="7"/>
      <c r="R140" s="108"/>
      <c r="S140" s="75"/>
      <c r="T140" s="47"/>
      <c r="U140" s="135"/>
      <c r="V140" s="136"/>
      <c r="W140" s="136"/>
      <c r="X140" s="136"/>
      <c r="Y140" s="136"/>
      <c r="Z140" s="136"/>
      <c r="AA140" s="136"/>
      <c r="AB140" s="47"/>
      <c r="AC140" s="47"/>
      <c r="AD140" s="47"/>
    </row>
    <row r="141" spans="1:30" x14ac:dyDescent="0.2">
      <c r="A141" s="10"/>
      <c r="B141" s="133" t="s">
        <v>1103</v>
      </c>
      <c r="C141" s="334">
        <v>398</v>
      </c>
      <c r="D141" s="335">
        <f t="shared" si="11"/>
        <v>0.86521739130434783</v>
      </c>
      <c r="E141" s="336">
        <v>62</v>
      </c>
      <c r="F141" s="335">
        <f t="shared" si="12"/>
        <v>0.13478260869565217</v>
      </c>
      <c r="G141" s="334">
        <v>460</v>
      </c>
      <c r="H141" s="126"/>
      <c r="I141" s="126"/>
      <c r="J141" s="126"/>
      <c r="K141" s="126"/>
      <c r="L141" s="126"/>
      <c r="M141" s="7"/>
      <c r="N141" s="7"/>
      <c r="O141" s="7"/>
      <c r="P141" s="7"/>
      <c r="Q141" s="7"/>
      <c r="R141" s="108"/>
      <c r="S141" s="7"/>
      <c r="T141" s="47"/>
      <c r="U141" s="135"/>
      <c r="V141" s="136"/>
      <c r="W141" s="136"/>
      <c r="X141" s="136"/>
      <c r="Y141" s="136"/>
      <c r="Z141" s="136"/>
      <c r="AA141" s="136"/>
      <c r="AB141" s="47"/>
      <c r="AC141" s="47"/>
      <c r="AD141" s="47"/>
    </row>
    <row r="142" spans="1:30" x14ac:dyDescent="0.2">
      <c r="A142" s="10"/>
      <c r="B142" s="133" t="s">
        <v>1104</v>
      </c>
      <c r="C142" s="334">
        <v>341</v>
      </c>
      <c r="D142" s="335">
        <f t="shared" si="11"/>
        <v>0.89267015706806285</v>
      </c>
      <c r="E142" s="336">
        <v>41</v>
      </c>
      <c r="F142" s="335">
        <f t="shared" si="12"/>
        <v>0.10732984293193717</v>
      </c>
      <c r="G142" s="334">
        <f>E142+C142</f>
        <v>382</v>
      </c>
      <c r="H142" s="126"/>
      <c r="I142" s="126"/>
      <c r="J142" s="126"/>
      <c r="K142" s="126"/>
      <c r="L142" s="126"/>
      <c r="M142" s="7"/>
      <c r="N142" s="7"/>
      <c r="O142" s="7"/>
      <c r="P142" s="7"/>
      <c r="Q142" s="7"/>
      <c r="R142" s="108"/>
      <c r="S142" s="7"/>
      <c r="T142" s="47"/>
      <c r="U142" s="135"/>
      <c r="V142" s="136"/>
      <c r="W142" s="136"/>
      <c r="X142" s="136"/>
      <c r="Y142" s="136"/>
      <c r="Z142" s="136"/>
      <c r="AA142" s="136"/>
      <c r="AB142" s="47"/>
      <c r="AC142" s="47"/>
      <c r="AD142" s="47"/>
    </row>
    <row r="143" spans="1:30" x14ac:dyDescent="0.2">
      <c r="A143" s="10"/>
      <c r="B143" s="133" t="s">
        <v>1270</v>
      </c>
      <c r="C143" s="334">
        <f>F59</f>
        <v>349</v>
      </c>
      <c r="D143" s="335">
        <f t="shared" ref="D143" si="14">C143/G143</f>
        <v>0.83293556085918852</v>
      </c>
      <c r="E143" s="336">
        <f>N59</f>
        <v>70</v>
      </c>
      <c r="F143" s="335">
        <f t="shared" ref="F143" si="15">E143/G143</f>
        <v>0.16706443914081145</v>
      </c>
      <c r="G143" s="334">
        <f>E143+C143</f>
        <v>419</v>
      </c>
      <c r="H143" s="126"/>
      <c r="I143" s="126"/>
      <c r="J143" s="126"/>
      <c r="K143" s="126"/>
      <c r="L143" s="126"/>
      <c r="M143" s="7"/>
      <c r="N143" s="7"/>
      <c r="O143" s="7"/>
      <c r="P143" s="7"/>
      <c r="Q143" s="7"/>
      <c r="R143" s="108"/>
      <c r="S143" s="7"/>
      <c r="T143" s="47"/>
      <c r="U143" s="135"/>
      <c r="V143" s="136"/>
      <c r="W143" s="136"/>
      <c r="X143" s="136"/>
      <c r="Y143" s="136"/>
      <c r="Z143" s="136"/>
      <c r="AA143" s="136"/>
      <c r="AB143" s="47"/>
      <c r="AC143" s="47"/>
      <c r="AD143" s="47"/>
    </row>
    <row r="144" spans="1:30" x14ac:dyDescent="0.2">
      <c r="A144" s="10"/>
      <c r="B144" s="137" t="s">
        <v>1061</v>
      </c>
      <c r="C144" s="138">
        <f>SUM(C130:C143)</f>
        <v>4397</v>
      </c>
      <c r="D144" s="139">
        <f>C144/G144</f>
        <v>0.79858336360334181</v>
      </c>
      <c r="E144" s="138">
        <f>SUM(E130:E143)</f>
        <v>1109</v>
      </c>
      <c r="F144" s="139">
        <f>E144/G144</f>
        <v>0.20141663639665819</v>
      </c>
      <c r="G144" s="138">
        <f>SUM(G129:G143)</f>
        <v>5506</v>
      </c>
      <c r="H144" s="126"/>
      <c r="I144" s="126"/>
      <c r="J144" s="126"/>
      <c r="K144" s="126"/>
      <c r="L144" s="126"/>
      <c r="M144" s="7"/>
      <c r="N144" s="7"/>
      <c r="O144" s="7"/>
      <c r="P144" s="7"/>
      <c r="Q144" s="7"/>
      <c r="R144" s="108"/>
      <c r="S144" s="7"/>
      <c r="T144" s="47"/>
      <c r="U144" s="135"/>
      <c r="V144" s="136"/>
      <c r="W144" s="136"/>
      <c r="X144" s="136"/>
      <c r="Y144" s="136"/>
      <c r="Z144" s="136"/>
      <c r="AA144" s="136"/>
      <c r="AB144" s="47"/>
      <c r="AC144" s="47"/>
      <c r="AD144" s="47"/>
    </row>
    <row r="145" spans="1:30" x14ac:dyDescent="0.2">
      <c r="A145" s="10"/>
      <c r="B145" s="125"/>
      <c r="C145" s="126"/>
      <c r="D145" s="126"/>
      <c r="E145" s="126"/>
      <c r="F145" s="126"/>
      <c r="G145" s="126"/>
      <c r="H145" s="126"/>
      <c r="I145" s="126"/>
      <c r="J145" s="126"/>
      <c r="K145" s="126"/>
      <c r="L145" s="126"/>
      <c r="M145" s="126"/>
      <c r="N145" s="126"/>
      <c r="O145" s="126"/>
      <c r="P145" s="126"/>
      <c r="Q145" s="7"/>
      <c r="R145" s="108"/>
      <c r="S145" s="7"/>
      <c r="T145" s="47"/>
      <c r="U145" s="135"/>
      <c r="V145" s="136"/>
      <c r="W145" s="136"/>
      <c r="X145" s="136"/>
      <c r="Y145" s="136"/>
      <c r="Z145" s="136"/>
      <c r="AA145" s="136"/>
      <c r="AB145" s="47"/>
      <c r="AC145" s="47"/>
      <c r="AD145" s="47"/>
    </row>
    <row r="146" spans="1:30" x14ac:dyDescent="0.2">
      <c r="A146" s="10"/>
      <c r="B146" s="125"/>
      <c r="C146" s="126"/>
      <c r="D146" s="126"/>
      <c r="E146" s="126"/>
      <c r="F146" s="126"/>
      <c r="G146" s="126"/>
      <c r="H146" s="126"/>
      <c r="I146" s="126"/>
      <c r="J146" s="126"/>
      <c r="K146" s="126"/>
      <c r="L146" s="126"/>
      <c r="M146" s="126"/>
      <c r="N146" s="126"/>
      <c r="O146" s="126"/>
      <c r="P146" s="126"/>
      <c r="Q146" s="7"/>
      <c r="R146" s="108"/>
      <c r="S146" s="7"/>
      <c r="T146" s="47"/>
      <c r="U146" s="135"/>
      <c r="V146" s="136"/>
      <c r="W146" s="136"/>
      <c r="X146" s="136"/>
      <c r="Y146" s="136"/>
      <c r="Z146" s="136"/>
      <c r="AA146" s="136"/>
      <c r="AB146" s="47"/>
      <c r="AC146" s="47"/>
      <c r="AD146" s="47"/>
    </row>
    <row r="147" spans="1:30" x14ac:dyDescent="0.2">
      <c r="A147" s="10"/>
      <c r="B147" s="125"/>
      <c r="C147" s="126"/>
      <c r="D147" s="126"/>
      <c r="E147" s="126"/>
      <c r="F147" s="126"/>
      <c r="G147" s="126"/>
      <c r="H147" s="126"/>
      <c r="I147" s="126"/>
      <c r="J147" s="126"/>
      <c r="K147" s="126"/>
      <c r="L147" s="126"/>
      <c r="M147" s="126"/>
      <c r="N147" s="126"/>
      <c r="O147" s="126"/>
      <c r="P147" s="126"/>
      <c r="Q147" s="7"/>
      <c r="R147" s="108"/>
      <c r="S147" s="7"/>
      <c r="T147" s="47"/>
      <c r="U147" s="135"/>
      <c r="V147" s="136"/>
      <c r="W147" s="136"/>
      <c r="X147" s="136"/>
      <c r="Y147" s="136"/>
      <c r="Z147" s="136"/>
      <c r="AA147" s="136"/>
      <c r="AB147" s="47"/>
      <c r="AC147" s="47"/>
      <c r="AD147" s="47"/>
    </row>
    <row r="148" spans="1:30" x14ac:dyDescent="0.2">
      <c r="A148" s="10"/>
      <c r="B148" s="125"/>
      <c r="C148" s="126"/>
      <c r="D148" s="126"/>
      <c r="E148" s="126"/>
      <c r="F148" s="126"/>
      <c r="G148" s="126"/>
      <c r="H148" s="126"/>
      <c r="I148" s="126"/>
      <c r="J148" s="126"/>
      <c r="K148" s="126"/>
      <c r="L148" s="126"/>
      <c r="M148" s="126"/>
      <c r="N148" s="126"/>
      <c r="O148" s="126"/>
      <c r="P148" s="126"/>
      <c r="Q148" s="7"/>
      <c r="R148" s="108"/>
      <c r="S148" s="7"/>
      <c r="T148" s="47"/>
      <c r="U148" s="135"/>
      <c r="V148" s="136"/>
      <c r="W148" s="136"/>
      <c r="X148" s="136"/>
      <c r="Y148" s="136"/>
      <c r="Z148" s="136"/>
      <c r="AA148" s="136"/>
      <c r="AB148" s="47"/>
      <c r="AC148" s="47"/>
      <c r="AD148" s="47"/>
    </row>
    <row r="149" spans="1:30" x14ac:dyDescent="0.2">
      <c r="A149" s="10"/>
      <c r="B149" s="125"/>
      <c r="C149" s="126"/>
      <c r="D149" s="126"/>
      <c r="E149" s="126"/>
      <c r="F149" s="126"/>
      <c r="G149" s="126"/>
      <c r="H149" s="126"/>
      <c r="I149" s="126"/>
      <c r="J149" s="126"/>
      <c r="K149" s="126"/>
      <c r="L149" s="126"/>
      <c r="M149" s="126"/>
      <c r="N149" s="126"/>
      <c r="O149" s="126"/>
      <c r="P149" s="126"/>
      <c r="Q149" s="7"/>
      <c r="R149" s="108"/>
      <c r="S149" s="7"/>
      <c r="T149" s="47"/>
      <c r="U149" s="135"/>
      <c r="V149" s="136"/>
      <c r="W149" s="136"/>
      <c r="X149" s="136"/>
      <c r="Y149" s="136"/>
      <c r="Z149" s="136"/>
      <c r="AA149" s="136"/>
      <c r="AB149" s="47"/>
      <c r="AC149" s="47"/>
      <c r="AD149" s="47"/>
    </row>
    <row r="150" spans="1:30" x14ac:dyDescent="0.2">
      <c r="A150" s="10"/>
      <c r="B150" s="125"/>
      <c r="C150" s="126"/>
      <c r="D150" s="126"/>
      <c r="E150" s="126"/>
      <c r="F150" s="126"/>
      <c r="G150" s="126"/>
      <c r="H150" s="126"/>
      <c r="I150" s="126"/>
      <c r="J150" s="126"/>
      <c r="K150" s="126"/>
      <c r="L150" s="126"/>
      <c r="M150" s="126"/>
      <c r="N150" s="126"/>
      <c r="O150" s="126"/>
      <c r="P150" s="126"/>
      <c r="Q150" s="7"/>
      <c r="R150" s="108"/>
      <c r="S150" s="7"/>
      <c r="T150" s="47"/>
      <c r="U150" s="135"/>
      <c r="V150" s="136"/>
      <c r="W150" s="136"/>
      <c r="X150" s="136"/>
      <c r="Y150" s="136"/>
      <c r="Z150" s="136"/>
      <c r="AA150" s="136"/>
      <c r="AB150" s="47"/>
      <c r="AC150" s="47"/>
      <c r="AD150" s="47"/>
    </row>
    <row r="151" spans="1:30" x14ac:dyDescent="0.2">
      <c r="A151" s="10"/>
      <c r="B151" s="125"/>
      <c r="C151" s="126"/>
      <c r="D151" s="126"/>
      <c r="E151" s="126"/>
      <c r="F151" s="126"/>
      <c r="G151" s="126"/>
      <c r="H151" s="126"/>
      <c r="I151" s="126"/>
      <c r="J151" s="126"/>
      <c r="K151" s="126"/>
      <c r="L151" s="126"/>
      <c r="M151" s="126"/>
      <c r="N151" s="126"/>
      <c r="O151" s="126"/>
      <c r="P151" s="126"/>
      <c r="Q151" s="7"/>
      <c r="R151" s="108"/>
      <c r="S151" s="7"/>
      <c r="T151" s="47"/>
      <c r="U151" s="135"/>
      <c r="V151" s="136"/>
      <c r="W151" s="136"/>
      <c r="X151" s="136"/>
      <c r="Y151" s="136"/>
      <c r="Z151" s="136"/>
      <c r="AA151" s="136"/>
      <c r="AB151" s="47"/>
      <c r="AC151" s="47"/>
      <c r="AD151" s="47"/>
    </row>
    <row r="152" spans="1:30" x14ac:dyDescent="0.2">
      <c r="A152" s="10"/>
      <c r="B152" s="125"/>
      <c r="C152" s="126"/>
      <c r="D152" s="126"/>
      <c r="E152" s="126"/>
      <c r="F152" s="126"/>
      <c r="G152" s="126"/>
      <c r="H152" s="126"/>
      <c r="I152" s="126"/>
      <c r="J152" s="126"/>
      <c r="K152" s="126"/>
      <c r="L152" s="126"/>
      <c r="M152" s="126"/>
      <c r="N152" s="126"/>
      <c r="O152" s="126"/>
      <c r="P152" s="126"/>
      <c r="Q152" s="7"/>
      <c r="R152" s="108"/>
      <c r="S152" s="7"/>
      <c r="T152" s="47"/>
      <c r="U152" s="135"/>
      <c r="V152" s="136"/>
      <c r="W152" s="136"/>
      <c r="X152" s="136"/>
      <c r="Y152" s="136"/>
      <c r="Z152" s="136"/>
      <c r="AA152" s="136"/>
      <c r="AB152" s="47"/>
      <c r="AC152" s="47"/>
      <c r="AD152" s="47"/>
    </row>
    <row r="153" spans="1:30" x14ac:dyDescent="0.2">
      <c r="A153" s="10"/>
      <c r="B153" s="125"/>
      <c r="C153" s="126"/>
      <c r="D153" s="126"/>
      <c r="E153" s="126"/>
      <c r="F153" s="126"/>
      <c r="G153" s="126"/>
      <c r="H153" s="126"/>
      <c r="I153" s="126"/>
      <c r="J153" s="126"/>
      <c r="K153" s="126"/>
      <c r="L153" s="126"/>
      <c r="M153" s="126"/>
      <c r="N153" s="126"/>
      <c r="O153" s="126"/>
      <c r="P153" s="126"/>
      <c r="Q153" s="7"/>
      <c r="R153" s="108"/>
      <c r="S153" s="7"/>
      <c r="T153" s="47"/>
      <c r="U153" s="140"/>
      <c r="V153" s="141"/>
      <c r="W153" s="141"/>
      <c r="X153" s="141"/>
      <c r="Y153" s="141"/>
      <c r="Z153" s="141"/>
      <c r="AA153" s="141"/>
      <c r="AB153" s="47"/>
      <c r="AC153" s="47"/>
      <c r="AD153" s="47"/>
    </row>
    <row r="154" spans="1:30" x14ac:dyDescent="0.2">
      <c r="A154" s="10"/>
      <c r="B154" s="125"/>
      <c r="C154" s="126"/>
      <c r="D154" s="126"/>
      <c r="E154" s="126"/>
      <c r="F154" s="126"/>
      <c r="G154" s="126"/>
      <c r="H154" s="126"/>
      <c r="I154" s="126"/>
      <c r="J154" s="126"/>
      <c r="K154" s="126"/>
      <c r="L154" s="126"/>
      <c r="M154" s="126"/>
      <c r="N154" s="126"/>
      <c r="O154" s="126"/>
      <c r="P154" s="126"/>
      <c r="Q154" s="7"/>
      <c r="R154" s="108"/>
      <c r="S154" s="7"/>
      <c r="T154" s="47"/>
      <c r="U154" s="140"/>
      <c r="V154" s="141"/>
      <c r="W154" s="141"/>
      <c r="X154" s="141"/>
      <c r="Y154" s="141"/>
      <c r="Z154" s="141"/>
      <c r="AA154" s="141"/>
      <c r="AB154" s="47"/>
      <c r="AC154" s="47"/>
      <c r="AD154" s="47"/>
    </row>
    <row r="155" spans="1:30" x14ac:dyDescent="0.2">
      <c r="A155" s="10"/>
      <c r="B155" s="125"/>
      <c r="C155" s="126"/>
      <c r="D155" s="126"/>
      <c r="E155" s="126"/>
      <c r="F155" s="126"/>
      <c r="G155" s="126"/>
      <c r="H155" s="126"/>
      <c r="I155" s="126"/>
      <c r="J155" s="126"/>
      <c r="K155" s="126"/>
      <c r="L155" s="126"/>
      <c r="M155" s="126"/>
      <c r="N155" s="126"/>
      <c r="O155" s="126"/>
      <c r="P155" s="126"/>
      <c r="Q155" s="7"/>
      <c r="R155" s="108"/>
      <c r="S155" s="7"/>
      <c r="T155" s="47"/>
      <c r="U155" s="47"/>
      <c r="V155" s="47"/>
      <c r="W155" s="47"/>
      <c r="X155" s="47"/>
      <c r="Y155" s="47"/>
      <c r="Z155" s="47"/>
      <c r="AA155" s="47"/>
      <c r="AB155" s="47"/>
      <c r="AC155" s="47"/>
      <c r="AD155" s="47"/>
    </row>
    <row r="156" spans="1:30" x14ac:dyDescent="0.2">
      <c r="A156" s="10"/>
      <c r="B156" s="125"/>
      <c r="C156" s="126"/>
      <c r="D156" s="126"/>
      <c r="E156" s="126"/>
      <c r="F156" s="126"/>
      <c r="G156" s="126"/>
      <c r="H156" s="126"/>
      <c r="I156" s="126"/>
      <c r="J156" s="126"/>
      <c r="K156" s="126"/>
      <c r="L156" s="126"/>
      <c r="M156" s="126"/>
      <c r="N156" s="126"/>
      <c r="O156" s="126"/>
      <c r="P156" s="126"/>
      <c r="Q156" s="7"/>
      <c r="R156" s="108"/>
      <c r="S156" s="7"/>
      <c r="T156" s="47"/>
      <c r="U156" s="10"/>
      <c r="V156" s="10"/>
      <c r="W156" s="10"/>
      <c r="X156" s="10"/>
      <c r="Y156" s="10"/>
      <c r="Z156" s="10"/>
      <c r="AA156" s="10"/>
      <c r="AB156" s="47"/>
      <c r="AC156" s="47"/>
      <c r="AD156" s="47"/>
    </row>
    <row r="157" spans="1:30" x14ac:dyDescent="0.2">
      <c r="A157" s="10"/>
      <c r="B157" s="125"/>
      <c r="C157" s="126"/>
      <c r="D157" s="126"/>
      <c r="E157" s="126"/>
      <c r="F157" s="126"/>
      <c r="G157" s="126"/>
      <c r="H157" s="126"/>
      <c r="I157" s="126"/>
      <c r="J157" s="126"/>
      <c r="K157" s="126"/>
      <c r="L157" s="126"/>
      <c r="M157" s="126"/>
      <c r="N157" s="126"/>
      <c r="O157" s="126"/>
      <c r="P157" s="126"/>
      <c r="Q157" s="7"/>
      <c r="R157" s="108"/>
      <c r="S157" s="7"/>
      <c r="T157" s="47"/>
      <c r="U157" s="10"/>
      <c r="V157" s="10"/>
      <c r="W157" s="10"/>
      <c r="X157" s="10"/>
      <c r="Y157" s="10"/>
      <c r="Z157" s="10"/>
      <c r="AA157" s="10"/>
      <c r="AB157" s="47"/>
      <c r="AC157" s="47"/>
      <c r="AD157" s="47"/>
    </row>
    <row r="158" spans="1:30" x14ac:dyDescent="0.2">
      <c r="A158" s="10"/>
      <c r="B158" s="125"/>
      <c r="C158" s="126"/>
      <c r="D158" s="126"/>
      <c r="E158" s="126"/>
      <c r="F158" s="126"/>
      <c r="G158" s="126"/>
      <c r="H158" s="126"/>
      <c r="I158" s="126"/>
      <c r="J158" s="126"/>
      <c r="K158" s="126"/>
      <c r="L158" s="126"/>
      <c r="M158" s="126"/>
      <c r="N158" s="126"/>
      <c r="O158" s="126"/>
      <c r="P158" s="126"/>
      <c r="Q158" s="7"/>
      <c r="R158" s="108"/>
      <c r="S158" s="7"/>
      <c r="T158" s="47"/>
      <c r="U158" s="10"/>
      <c r="V158" s="10"/>
      <c r="W158" s="10"/>
      <c r="X158" s="10"/>
      <c r="Y158" s="10"/>
      <c r="Z158" s="10"/>
      <c r="AA158" s="10"/>
      <c r="AB158" s="47"/>
      <c r="AC158" s="47"/>
      <c r="AD158" s="47"/>
    </row>
    <row r="159" spans="1:30" x14ac:dyDescent="0.2">
      <c r="A159" s="10"/>
      <c r="B159" s="125"/>
      <c r="C159" s="126"/>
      <c r="D159" s="126"/>
      <c r="E159" s="126"/>
      <c r="F159" s="126"/>
      <c r="G159" s="126"/>
      <c r="H159" s="126"/>
      <c r="I159" s="126"/>
      <c r="J159" s="126"/>
      <c r="K159" s="126"/>
      <c r="L159" s="126"/>
      <c r="M159" s="126"/>
      <c r="N159" s="126"/>
      <c r="O159" s="126"/>
      <c r="P159" s="126"/>
      <c r="Q159" s="7"/>
      <c r="R159" s="108"/>
      <c r="S159" s="7"/>
      <c r="T159" s="10"/>
      <c r="U159" s="10"/>
      <c r="V159" s="10"/>
      <c r="W159" s="10"/>
      <c r="X159" s="10"/>
      <c r="Y159" s="10"/>
      <c r="Z159" s="10"/>
      <c r="AA159" s="10"/>
      <c r="AB159" s="10"/>
      <c r="AC159" s="10"/>
      <c r="AD159" s="10"/>
    </row>
    <row r="160" spans="1:30" x14ac:dyDescent="0.2">
      <c r="A160" s="10"/>
      <c r="B160" s="125"/>
      <c r="C160" s="126"/>
      <c r="D160" s="126"/>
      <c r="E160" s="126"/>
      <c r="F160" s="126"/>
      <c r="G160" s="126"/>
      <c r="H160" s="126"/>
      <c r="I160" s="126"/>
      <c r="J160" s="126"/>
      <c r="K160" s="126"/>
      <c r="L160" s="126"/>
      <c r="M160" s="126"/>
      <c r="N160" s="126"/>
      <c r="O160" s="126"/>
      <c r="P160" s="126"/>
      <c r="Q160" s="7"/>
      <c r="R160" s="108"/>
      <c r="S160" s="7"/>
      <c r="T160" s="10"/>
      <c r="U160" s="10"/>
      <c r="V160" s="10"/>
      <c r="W160" s="10"/>
      <c r="X160" s="10"/>
      <c r="Y160" s="10"/>
      <c r="Z160" s="10"/>
      <c r="AA160" s="10"/>
      <c r="AB160" s="10"/>
      <c r="AC160" s="10"/>
      <c r="AD160" s="10"/>
    </row>
    <row r="161" spans="1:30" x14ac:dyDescent="0.2">
      <c r="A161" s="10"/>
      <c r="B161" s="125"/>
      <c r="C161" s="126"/>
      <c r="D161" s="126"/>
      <c r="E161" s="126"/>
      <c r="F161" s="126"/>
      <c r="G161" s="126"/>
      <c r="H161" s="126"/>
      <c r="I161" s="126"/>
      <c r="J161" s="126"/>
      <c r="K161" s="126"/>
      <c r="L161" s="126"/>
      <c r="M161" s="126"/>
      <c r="N161" s="126"/>
      <c r="O161" s="126"/>
      <c r="P161" s="126"/>
      <c r="Q161" s="7"/>
      <c r="R161" s="108"/>
      <c r="S161" s="7"/>
      <c r="T161" s="10"/>
      <c r="U161" s="10"/>
      <c r="V161" s="10"/>
      <c r="W161" s="10"/>
      <c r="X161" s="10"/>
      <c r="Y161" s="10"/>
      <c r="Z161" s="10"/>
      <c r="AA161" s="10"/>
      <c r="AB161" s="10"/>
      <c r="AC161" s="10"/>
      <c r="AD161" s="10"/>
    </row>
    <row r="162" spans="1:30" x14ac:dyDescent="0.2">
      <c r="A162" s="10"/>
      <c r="B162" s="125"/>
      <c r="C162" s="126"/>
      <c r="D162" s="126"/>
      <c r="E162" s="126"/>
      <c r="F162" s="126"/>
      <c r="G162" s="126"/>
      <c r="H162" s="126"/>
      <c r="I162" s="126"/>
      <c r="J162" s="126"/>
      <c r="K162" s="126"/>
      <c r="L162" s="126"/>
      <c r="M162" s="126"/>
      <c r="N162" s="126"/>
      <c r="O162" s="126"/>
      <c r="P162" s="126"/>
      <c r="Q162" s="7"/>
      <c r="R162" s="108"/>
      <c r="S162" s="7"/>
      <c r="T162" s="10"/>
      <c r="U162" s="10"/>
      <c r="V162" s="10"/>
      <c r="W162" s="10"/>
      <c r="X162" s="10"/>
      <c r="Y162" s="10"/>
      <c r="Z162" s="10"/>
      <c r="AA162" s="10"/>
      <c r="AB162" s="10"/>
      <c r="AC162" s="10"/>
      <c r="AD162" s="10"/>
    </row>
    <row r="163" spans="1:30" x14ac:dyDescent="0.2">
      <c r="A163" s="10"/>
      <c r="B163" s="125"/>
      <c r="C163" s="126"/>
      <c r="D163" s="126"/>
      <c r="E163" s="126"/>
      <c r="F163" s="126"/>
      <c r="G163" s="126"/>
      <c r="H163" s="126"/>
      <c r="I163" s="126"/>
      <c r="J163" s="126"/>
      <c r="K163" s="126"/>
      <c r="L163" s="126"/>
      <c r="M163" s="126"/>
      <c r="N163" s="126"/>
      <c r="O163" s="126"/>
      <c r="P163" s="126"/>
      <c r="Q163" s="7"/>
      <c r="R163" s="108"/>
      <c r="S163" s="7"/>
      <c r="T163" s="10"/>
      <c r="U163" s="10"/>
      <c r="V163" s="10"/>
      <c r="W163" s="10"/>
      <c r="X163" s="10"/>
      <c r="Y163" s="10"/>
      <c r="Z163" s="10"/>
      <c r="AA163" s="10"/>
      <c r="AB163" s="10"/>
      <c r="AC163" s="10"/>
      <c r="AD163" s="10"/>
    </row>
    <row r="164" spans="1:30" x14ac:dyDescent="0.2">
      <c r="A164" s="10"/>
      <c r="B164" s="142"/>
      <c r="C164" s="143"/>
      <c r="D164" s="143"/>
      <c r="E164" s="143"/>
      <c r="F164" s="143"/>
      <c r="G164" s="143"/>
      <c r="H164" s="143"/>
      <c r="I164" s="143"/>
      <c r="J164" s="143"/>
      <c r="K164" s="143"/>
      <c r="L164" s="143"/>
      <c r="M164" s="143"/>
      <c r="N164" s="143"/>
      <c r="O164" s="143"/>
      <c r="P164" s="143"/>
      <c r="Q164" s="118"/>
      <c r="R164" s="119"/>
      <c r="S164" s="7"/>
      <c r="T164" s="10"/>
      <c r="U164" s="10"/>
      <c r="V164" s="10"/>
      <c r="W164" s="10"/>
      <c r="X164" s="10"/>
      <c r="Y164" s="10"/>
      <c r="Z164" s="10"/>
      <c r="AA164" s="10"/>
      <c r="AB164" s="10"/>
      <c r="AC164" s="10"/>
      <c r="AD164" s="10"/>
    </row>
    <row r="165" spans="1:30" x14ac:dyDescent="0.2">
      <c r="A165" s="10"/>
      <c r="B165" s="144"/>
      <c r="C165" s="126"/>
      <c r="D165" s="126"/>
      <c r="E165" s="126"/>
      <c r="F165" s="126"/>
      <c r="G165" s="126"/>
      <c r="H165" s="126"/>
      <c r="I165" s="126"/>
      <c r="J165" s="126"/>
      <c r="K165" s="126"/>
      <c r="L165" s="126"/>
      <c r="M165" s="126"/>
      <c r="N165" s="126"/>
      <c r="O165" s="126"/>
      <c r="P165" s="126"/>
      <c r="Q165" s="7"/>
      <c r="R165" s="108"/>
      <c r="S165" s="7"/>
      <c r="T165" s="10"/>
      <c r="U165" s="10"/>
      <c r="V165" s="10"/>
      <c r="W165" s="10"/>
      <c r="X165" s="10"/>
      <c r="Y165" s="10"/>
      <c r="Z165" s="10"/>
      <c r="AA165" s="10"/>
      <c r="AB165" s="10"/>
      <c r="AC165" s="10"/>
      <c r="AD165" s="10"/>
    </row>
    <row r="166" spans="1:30" x14ac:dyDescent="0.2">
      <c r="A166" s="10"/>
      <c r="B166" s="67" t="s">
        <v>1187</v>
      </c>
      <c r="C166" s="68" t="s">
        <v>1438</v>
      </c>
      <c r="D166" s="47"/>
      <c r="E166" s="47"/>
      <c r="F166" s="47"/>
      <c r="G166" s="47"/>
      <c r="H166" s="47"/>
      <c r="I166" s="126"/>
      <c r="J166" s="126"/>
      <c r="K166" s="126"/>
      <c r="L166" s="126"/>
      <c r="M166" s="126"/>
      <c r="N166" s="126"/>
      <c r="O166" s="126"/>
      <c r="P166" s="126"/>
      <c r="Q166" s="7"/>
      <c r="R166" s="108"/>
      <c r="S166" s="7"/>
      <c r="T166" s="10"/>
      <c r="U166" s="10"/>
      <c r="V166" s="10"/>
      <c r="W166" s="10"/>
      <c r="X166" s="10"/>
      <c r="Y166" s="10"/>
      <c r="Z166" s="10"/>
      <c r="AA166" s="10"/>
      <c r="AB166" s="10"/>
      <c r="AC166" s="10"/>
      <c r="AD166" s="10"/>
    </row>
    <row r="167" spans="1:30" x14ac:dyDescent="0.2">
      <c r="A167" s="10"/>
      <c r="B167" s="422" t="s">
        <v>1188</v>
      </c>
      <c r="C167" s="423"/>
      <c r="D167" s="423" t="s">
        <v>1175</v>
      </c>
      <c r="E167" s="423"/>
      <c r="F167" s="423" t="s">
        <v>1189</v>
      </c>
      <c r="G167" s="423"/>
      <c r="H167" s="352" t="s">
        <v>1061</v>
      </c>
      <c r="I167" s="352" t="s">
        <v>1186</v>
      </c>
      <c r="J167" s="126"/>
      <c r="K167" s="126"/>
      <c r="L167" s="126"/>
      <c r="M167" s="126"/>
      <c r="N167" s="126"/>
      <c r="O167" s="126"/>
      <c r="P167" s="126"/>
      <c r="Q167" s="126"/>
      <c r="R167" s="108"/>
      <c r="S167" s="7"/>
      <c r="T167" s="10"/>
      <c r="U167" s="10"/>
      <c r="V167" s="10"/>
      <c r="W167" s="10"/>
      <c r="X167" s="10"/>
      <c r="Y167" s="10"/>
      <c r="Z167" s="10"/>
      <c r="AA167" s="10"/>
      <c r="AB167" s="10"/>
      <c r="AC167" s="10"/>
      <c r="AD167" s="10"/>
    </row>
    <row r="168" spans="1:30" x14ac:dyDescent="0.2">
      <c r="A168" s="10"/>
      <c r="B168" s="418" t="s">
        <v>1190</v>
      </c>
      <c r="C168" s="419"/>
      <c r="D168" s="420">
        <f>GETPIVOTDATA("Sum of 0 bed net",Pivots!$B$265,"Application Type",)</f>
        <v>3</v>
      </c>
      <c r="E168" s="420"/>
      <c r="F168" s="420">
        <f>GETPIVOTDATA("Sum of 0 bed net",Pivots!$B$265,"Application Type","PA")</f>
        <v>0</v>
      </c>
      <c r="G168" s="420"/>
      <c r="H168" s="353">
        <f>SUM(D168:G168)</f>
        <v>3</v>
      </c>
      <c r="I168" s="355">
        <f>H168/$H$173</f>
        <v>7.1599045346062056E-3</v>
      </c>
      <c r="J168" s="126"/>
      <c r="K168" s="126"/>
      <c r="L168" s="126"/>
      <c r="M168" s="126"/>
      <c r="N168" s="126"/>
      <c r="O168" s="126"/>
      <c r="P168" s="126"/>
      <c r="Q168" s="126"/>
      <c r="R168" s="108"/>
      <c r="S168" s="7"/>
      <c r="T168" s="10"/>
      <c r="U168" s="10"/>
      <c r="V168" s="10"/>
      <c r="W168" s="10"/>
      <c r="X168" s="10"/>
      <c r="Y168" s="10"/>
      <c r="Z168" s="10"/>
      <c r="AA168" s="10"/>
      <c r="AB168" s="10"/>
      <c r="AC168" s="10"/>
      <c r="AD168" s="10"/>
    </row>
    <row r="169" spans="1:30" x14ac:dyDescent="0.2">
      <c r="A169" s="10"/>
      <c r="B169" s="418" t="s">
        <v>1191</v>
      </c>
      <c r="C169" s="419"/>
      <c r="D169" s="420">
        <f>GETPIVOTDATA("Sum of 1 bed net",Pivots!$B$265,"Application Type",)</f>
        <v>113</v>
      </c>
      <c r="E169" s="420"/>
      <c r="F169" s="420">
        <f>GETPIVOTDATA("Sum of 1 bed net",Pivots!$B$265,"Application Type","PA")</f>
        <v>26</v>
      </c>
      <c r="G169" s="420"/>
      <c r="H169" s="353">
        <f t="shared" ref="H169:H173" si="16">SUM(D169:G169)</f>
        <v>139</v>
      </c>
      <c r="I169" s="355">
        <f t="shared" ref="I169:I173" si="17">H169/$H$173</f>
        <v>0.33174224343675418</v>
      </c>
      <c r="J169" s="126"/>
      <c r="K169" s="126"/>
      <c r="L169" s="126"/>
      <c r="M169" s="126"/>
      <c r="N169" s="126"/>
      <c r="O169" s="126"/>
      <c r="P169" s="126"/>
      <c r="Q169" s="126"/>
      <c r="R169" s="108"/>
      <c r="S169" s="7"/>
      <c r="T169" s="10"/>
      <c r="U169" s="10"/>
      <c r="V169" s="10"/>
      <c r="W169" s="10"/>
      <c r="X169" s="10"/>
      <c r="Y169" s="10"/>
      <c r="Z169" s="10"/>
      <c r="AA169" s="10"/>
      <c r="AB169" s="10"/>
      <c r="AC169" s="10"/>
      <c r="AD169" s="10"/>
    </row>
    <row r="170" spans="1:30" x14ac:dyDescent="0.2">
      <c r="A170" s="10"/>
      <c r="B170" s="418" t="s">
        <v>1192</v>
      </c>
      <c r="C170" s="419"/>
      <c r="D170" s="420">
        <f>GETPIVOTDATA("Sum of 2 bed net",Pivots!$B$265,"Application Type",)</f>
        <v>139</v>
      </c>
      <c r="E170" s="420"/>
      <c r="F170" s="420">
        <f>GETPIVOTDATA("Sum of 2 bed net",Pivots!$B$265,"Application Type","PA")</f>
        <v>25</v>
      </c>
      <c r="G170" s="420"/>
      <c r="H170" s="353">
        <f>SUM(D170:G170)</f>
        <v>164</v>
      </c>
      <c r="I170" s="355">
        <f t="shared" si="17"/>
        <v>0.39140811455847258</v>
      </c>
      <c r="J170" s="126"/>
      <c r="K170" s="126"/>
      <c r="L170" s="126"/>
      <c r="M170" s="126"/>
      <c r="N170" s="126"/>
      <c r="O170" s="126"/>
      <c r="P170" s="126"/>
      <c r="Q170" s="126"/>
      <c r="R170" s="108"/>
      <c r="S170" s="7"/>
      <c r="T170" s="10"/>
      <c r="U170" s="10"/>
      <c r="V170" s="10"/>
      <c r="W170" s="10"/>
      <c r="X170" s="10"/>
      <c r="Y170" s="10"/>
      <c r="Z170" s="10"/>
      <c r="AA170" s="10"/>
      <c r="AB170" s="10"/>
      <c r="AC170" s="10"/>
      <c r="AD170" s="10"/>
    </row>
    <row r="171" spans="1:30" x14ac:dyDescent="0.2">
      <c r="A171" s="10"/>
      <c r="B171" s="418" t="s">
        <v>1193</v>
      </c>
      <c r="C171" s="419"/>
      <c r="D171" s="420">
        <f>GETPIVOTDATA("Sum of 3 bed net",Pivots!$B$265,"Application Type",)</f>
        <v>85</v>
      </c>
      <c r="E171" s="420"/>
      <c r="F171" s="420">
        <f>GETPIVOTDATA("Sum of 3 bed net",Pivots!$B$265,"Application Type","PA")</f>
        <v>1</v>
      </c>
      <c r="G171" s="420"/>
      <c r="H171" s="353">
        <f t="shared" si="16"/>
        <v>86</v>
      </c>
      <c r="I171" s="355">
        <f t="shared" si="17"/>
        <v>0.2052505966587112</v>
      </c>
      <c r="J171" s="126"/>
      <c r="K171" s="126"/>
      <c r="L171" s="126"/>
      <c r="M171" s="126"/>
      <c r="N171" s="126"/>
      <c r="O171" s="126"/>
      <c r="P171" s="126"/>
      <c r="Q171" s="126"/>
      <c r="R171" s="108"/>
      <c r="S171" s="47"/>
      <c r="T171" s="145"/>
      <c r="U171" s="146"/>
      <c r="V171" s="146"/>
      <c r="W171" s="146"/>
      <c r="X171" s="146"/>
      <c r="Y171" s="146"/>
      <c r="Z171" s="10"/>
      <c r="AA171" s="10"/>
      <c r="AB171" s="10"/>
      <c r="AC171" s="10"/>
      <c r="AD171" s="10"/>
    </row>
    <row r="172" spans="1:30" x14ac:dyDescent="0.2">
      <c r="A172" s="10"/>
      <c r="B172" s="418" t="s">
        <v>1194</v>
      </c>
      <c r="C172" s="419"/>
      <c r="D172" s="420">
        <f>GETPIVOTDATA("Sum of 4 bed net",Pivots!$B$265,"Application Type",)+GETPIVOTDATA("Sum of 5 bed net",Pivots!$B$265,"Application Type",)+GETPIVOTDATA("Sum of 6 bed net",Pivots!$B$265,"Application Type",)+GETPIVOTDATA("Sum of 7 bed net",Pivots!$B$265,"Application Type",)</f>
        <v>20</v>
      </c>
      <c r="E172" s="420"/>
      <c r="F172" s="420">
        <f>GETPIVOTDATA("Sum of 4 bed net",Pivots!$B$265,"Application Type","PA")+GETPIVOTDATA("Sum of 5 bed net",Pivots!$B$265,"Application Type","PA")+GETPIVOTDATA("Sum of 6 bed net",Pivots!$B$265,"Application Type","PA")+GETPIVOTDATA("Sum of 7 bed net",Pivots!$B$265,"Application Type","PA")</f>
        <v>7</v>
      </c>
      <c r="G172" s="420"/>
      <c r="H172" s="353">
        <f t="shared" si="16"/>
        <v>27</v>
      </c>
      <c r="I172" s="355">
        <f t="shared" si="17"/>
        <v>6.4439140811455853E-2</v>
      </c>
      <c r="J172" s="126"/>
      <c r="K172" s="126"/>
      <c r="L172" s="126"/>
      <c r="M172" s="126"/>
      <c r="N172" s="126"/>
      <c r="O172" s="126"/>
      <c r="P172" s="126"/>
      <c r="Q172" s="126"/>
      <c r="R172" s="108"/>
      <c r="S172" s="47"/>
      <c r="T172" s="147"/>
      <c r="U172" s="147"/>
      <c r="V172" s="147"/>
      <c r="W172" s="147"/>
      <c r="X172" s="147"/>
      <c r="Y172" s="147"/>
      <c r="Z172" s="10"/>
      <c r="AA172" s="10"/>
      <c r="AB172" s="10"/>
      <c r="AC172" s="10"/>
      <c r="AD172" s="10"/>
    </row>
    <row r="173" spans="1:30" x14ac:dyDescent="0.2">
      <c r="A173" s="10"/>
      <c r="B173" s="410" t="s">
        <v>1061</v>
      </c>
      <c r="C173" s="411"/>
      <c r="D173" s="412">
        <f>SUM(D168:E172)</f>
        <v>360</v>
      </c>
      <c r="E173" s="412"/>
      <c r="F173" s="413">
        <f>SUM(F168:G172)</f>
        <v>59</v>
      </c>
      <c r="G173" s="414"/>
      <c r="H173" s="356">
        <f t="shared" si="16"/>
        <v>419</v>
      </c>
      <c r="I173" s="354">
        <f t="shared" si="17"/>
        <v>1</v>
      </c>
      <c r="J173" s="126"/>
      <c r="K173" s="126"/>
      <c r="L173" s="126"/>
      <c r="M173" s="126"/>
      <c r="N173" s="126"/>
      <c r="O173" s="126"/>
      <c r="P173" s="126"/>
      <c r="Q173" s="7"/>
      <c r="R173" s="108"/>
      <c r="S173" s="47"/>
      <c r="T173" s="147"/>
      <c r="U173" s="147"/>
      <c r="V173" s="147"/>
      <c r="W173" s="147"/>
      <c r="X173" s="147"/>
      <c r="Y173" s="147"/>
      <c r="Z173" s="10"/>
      <c r="AA173" s="10"/>
      <c r="AB173" s="10"/>
      <c r="AC173" s="10"/>
      <c r="AD173" s="10"/>
    </row>
    <row r="174" spans="1:30" x14ac:dyDescent="0.2">
      <c r="A174" s="10"/>
      <c r="B174" s="415" t="s">
        <v>1195</v>
      </c>
      <c r="C174" s="416"/>
      <c r="D174" s="417">
        <f>D173/G143</f>
        <v>0.85918854415274459</v>
      </c>
      <c r="E174" s="417"/>
      <c r="F174" s="417">
        <f>F173/G143</f>
        <v>0.14081145584725538</v>
      </c>
      <c r="G174" s="417"/>
      <c r="H174" s="467"/>
      <c r="I174" s="468"/>
      <c r="J174" s="126"/>
      <c r="K174" s="126"/>
      <c r="L174" s="126"/>
      <c r="M174" s="126"/>
      <c r="N174" s="126"/>
      <c r="O174" s="126"/>
      <c r="P174" s="126"/>
      <c r="Q174" s="7"/>
      <c r="R174" s="108"/>
      <c r="S174" s="47"/>
      <c r="T174" s="147"/>
      <c r="U174" s="147"/>
      <c r="V174" s="147"/>
      <c r="W174" s="147"/>
      <c r="X174" s="147"/>
      <c r="Y174" s="147"/>
      <c r="Z174" s="10"/>
      <c r="AA174" s="10"/>
      <c r="AB174" s="10"/>
      <c r="AC174" s="10"/>
      <c r="AD174" s="10"/>
    </row>
    <row r="175" spans="1:30" x14ac:dyDescent="0.2">
      <c r="A175" s="10"/>
      <c r="B175" s="148"/>
      <c r="C175" s="47"/>
      <c r="D175" s="47"/>
      <c r="E175" s="47"/>
      <c r="F175" s="47"/>
      <c r="G175" s="47"/>
      <c r="H175" s="47"/>
      <c r="I175" s="126"/>
      <c r="J175" s="126"/>
      <c r="K175" s="126"/>
      <c r="L175" s="126"/>
      <c r="M175" s="126"/>
      <c r="N175" s="126"/>
      <c r="O175" s="126"/>
      <c r="P175" s="126"/>
      <c r="Q175" s="7"/>
      <c r="R175" s="108"/>
      <c r="S175" s="47"/>
      <c r="T175" s="147"/>
      <c r="U175" s="147"/>
      <c r="V175" s="147"/>
      <c r="W175" s="147"/>
      <c r="X175" s="147"/>
      <c r="Y175" s="147"/>
      <c r="Z175" s="10"/>
      <c r="AA175" s="10"/>
      <c r="AB175" s="10"/>
      <c r="AC175" s="10"/>
      <c r="AD175" s="10"/>
    </row>
    <row r="176" spans="1:30" x14ac:dyDescent="0.2">
      <c r="A176" s="10"/>
      <c r="B176" s="148"/>
      <c r="C176" s="47"/>
      <c r="D176" s="47"/>
      <c r="E176" s="47"/>
      <c r="F176" s="47"/>
      <c r="G176" s="47"/>
      <c r="H176" s="47"/>
      <c r="I176" s="126"/>
      <c r="J176" s="126"/>
      <c r="K176" s="126"/>
      <c r="L176" s="126"/>
      <c r="M176" s="126"/>
      <c r="N176" s="126"/>
      <c r="O176" s="126"/>
      <c r="P176" s="126"/>
      <c r="Q176" s="7"/>
      <c r="R176" s="108"/>
      <c r="S176" s="47"/>
      <c r="T176" s="147"/>
      <c r="U176" s="147"/>
      <c r="V176" s="147"/>
      <c r="W176" s="147"/>
      <c r="X176" s="147"/>
      <c r="Y176" s="147"/>
      <c r="Z176" s="10"/>
      <c r="AA176" s="10"/>
      <c r="AB176" s="10"/>
      <c r="AC176" s="10"/>
      <c r="AD176" s="10"/>
    </row>
    <row r="177" spans="1:39" x14ac:dyDescent="0.2">
      <c r="A177" s="10"/>
      <c r="B177" s="148"/>
      <c r="C177" s="47"/>
      <c r="D177" s="47"/>
      <c r="E177" s="47"/>
      <c r="F177" s="47"/>
      <c r="G177" s="47"/>
      <c r="H177" s="47"/>
      <c r="I177" s="126"/>
      <c r="J177" s="126"/>
      <c r="K177" s="126"/>
      <c r="L177" s="126"/>
      <c r="M177" s="126"/>
      <c r="N177" s="126"/>
      <c r="O177" s="126"/>
      <c r="P177" s="126"/>
      <c r="Q177" s="7"/>
      <c r="R177" s="108"/>
      <c r="S177" s="47"/>
      <c r="T177" s="147"/>
      <c r="U177" s="147"/>
      <c r="V177" s="147"/>
      <c r="W177" s="147"/>
      <c r="X177" s="147"/>
      <c r="Y177" s="147"/>
      <c r="Z177" s="10"/>
      <c r="AA177" s="10"/>
      <c r="AB177" s="10"/>
      <c r="AC177" s="10"/>
      <c r="AD177" s="10"/>
    </row>
    <row r="178" spans="1:39" x14ac:dyDescent="0.2">
      <c r="A178" s="10"/>
      <c r="B178" s="148"/>
      <c r="C178" s="47"/>
      <c r="D178" s="47"/>
      <c r="E178" s="47"/>
      <c r="F178" s="47"/>
      <c r="G178" s="47"/>
      <c r="H178" s="47"/>
      <c r="I178" s="126"/>
      <c r="J178" s="126"/>
      <c r="K178" s="126"/>
      <c r="L178" s="126"/>
      <c r="M178" s="126"/>
      <c r="N178" s="126"/>
      <c r="O178" s="126"/>
      <c r="P178" s="126"/>
      <c r="Q178" s="7"/>
      <c r="R178" s="108"/>
      <c r="S178" s="47"/>
      <c r="T178" s="147"/>
      <c r="U178" s="147"/>
      <c r="V178" s="147"/>
      <c r="W178" s="147"/>
      <c r="X178" s="147"/>
      <c r="Y178" s="147"/>
      <c r="Z178" s="10"/>
      <c r="AA178" s="10"/>
      <c r="AB178" s="10"/>
      <c r="AC178" s="10"/>
      <c r="AD178" s="10"/>
    </row>
    <row r="179" spans="1:39" x14ac:dyDescent="0.2">
      <c r="A179" s="10"/>
      <c r="B179" s="148"/>
      <c r="C179" s="47"/>
      <c r="D179" s="47"/>
      <c r="E179" s="47"/>
      <c r="F179" s="47"/>
      <c r="G179" s="47"/>
      <c r="H179" s="47"/>
      <c r="I179" s="126"/>
      <c r="J179" s="126"/>
      <c r="K179" s="126"/>
      <c r="L179" s="126"/>
      <c r="M179" s="126"/>
      <c r="N179" s="126"/>
      <c r="O179" s="126"/>
      <c r="P179" s="126"/>
      <c r="Q179" s="7"/>
      <c r="R179" s="108"/>
      <c r="S179" s="47"/>
      <c r="T179" s="147"/>
      <c r="U179" s="147"/>
      <c r="V179" s="147"/>
      <c r="W179" s="147"/>
      <c r="X179" s="147"/>
      <c r="Y179" s="147"/>
      <c r="Z179" s="10"/>
      <c r="AA179" s="10"/>
      <c r="AB179" s="10"/>
      <c r="AC179" s="10"/>
      <c r="AD179" s="10"/>
    </row>
    <row r="180" spans="1:39" x14ac:dyDescent="0.2">
      <c r="A180" s="10"/>
      <c r="B180" s="148"/>
      <c r="C180" s="47"/>
      <c r="D180" s="47"/>
      <c r="E180" s="47"/>
      <c r="F180" s="47"/>
      <c r="G180" s="47"/>
      <c r="H180" s="47"/>
      <c r="I180" s="126"/>
      <c r="J180" s="126"/>
      <c r="K180" s="126"/>
      <c r="L180" s="126"/>
      <c r="M180" s="126"/>
      <c r="N180" s="126"/>
      <c r="O180" s="126"/>
      <c r="P180" s="126"/>
      <c r="Q180" s="7"/>
      <c r="R180" s="108"/>
      <c r="S180" s="47"/>
      <c r="T180" s="147"/>
      <c r="U180" s="147"/>
      <c r="V180" s="147"/>
      <c r="W180" s="147"/>
      <c r="X180" s="147"/>
      <c r="Y180" s="147"/>
      <c r="Z180" s="10"/>
      <c r="AA180" s="10"/>
      <c r="AB180" s="10"/>
      <c r="AC180" s="10"/>
      <c r="AD180" s="10"/>
    </row>
    <row r="181" spans="1:39" x14ac:dyDescent="0.2">
      <c r="A181" s="10"/>
      <c r="B181" s="148"/>
      <c r="C181" s="47"/>
      <c r="D181" s="47"/>
      <c r="E181" s="47"/>
      <c r="F181" s="47"/>
      <c r="G181" s="47"/>
      <c r="H181" s="47"/>
      <c r="I181" s="126"/>
      <c r="J181" s="126"/>
      <c r="K181" s="126"/>
      <c r="L181" s="126"/>
      <c r="M181" s="126"/>
      <c r="N181" s="126"/>
      <c r="O181" s="126"/>
      <c r="P181" s="126"/>
      <c r="Q181" s="7"/>
      <c r="R181" s="108"/>
      <c r="S181" s="47"/>
      <c r="T181" s="147"/>
      <c r="U181" s="147"/>
      <c r="V181" s="147"/>
      <c r="W181" s="147"/>
      <c r="X181" s="147"/>
      <c r="Y181" s="147"/>
      <c r="Z181" s="10"/>
      <c r="AA181" s="10"/>
      <c r="AB181" s="10"/>
      <c r="AC181" s="7"/>
      <c r="AD181" s="7"/>
      <c r="AE181" s="149"/>
      <c r="AF181" s="149"/>
      <c r="AG181" s="149"/>
      <c r="AH181" s="149"/>
      <c r="AI181" s="149"/>
      <c r="AJ181" s="149"/>
      <c r="AK181" s="149"/>
      <c r="AL181" s="149"/>
      <c r="AM181" s="149"/>
    </row>
    <row r="182" spans="1:39" x14ac:dyDescent="0.2">
      <c r="A182" s="10"/>
      <c r="B182" s="148"/>
      <c r="C182" s="47"/>
      <c r="D182" s="150"/>
      <c r="E182" s="47"/>
      <c r="F182" s="47"/>
      <c r="G182" s="47"/>
      <c r="H182" s="47"/>
      <c r="I182" s="126"/>
      <c r="J182" s="126"/>
      <c r="K182" s="126"/>
      <c r="L182" s="126"/>
      <c r="M182" s="126"/>
      <c r="N182" s="126"/>
      <c r="O182" s="126"/>
      <c r="P182" s="126"/>
      <c r="Q182" s="7"/>
      <c r="R182" s="108"/>
      <c r="S182" s="7"/>
      <c r="T182" s="10"/>
      <c r="U182" s="10"/>
      <c r="V182" s="10"/>
      <c r="W182" s="10"/>
      <c r="X182" s="10"/>
      <c r="Y182" s="10"/>
      <c r="Z182" s="10"/>
      <c r="AA182" s="10"/>
      <c r="AB182" s="10"/>
      <c r="AC182" s="7"/>
      <c r="AD182" s="7"/>
      <c r="AE182" s="149"/>
      <c r="AF182" s="149"/>
      <c r="AG182" s="149"/>
      <c r="AH182" s="149"/>
      <c r="AI182" s="149"/>
      <c r="AJ182" s="149"/>
      <c r="AK182" s="149"/>
      <c r="AL182" s="149"/>
      <c r="AM182" s="149"/>
    </row>
    <row r="183" spans="1:39" x14ac:dyDescent="0.2">
      <c r="A183" s="10"/>
      <c r="B183" s="67" t="s">
        <v>1196</v>
      </c>
      <c r="C183" s="68" t="s">
        <v>1197</v>
      </c>
      <c r="D183" s="150"/>
      <c r="E183" s="47"/>
      <c r="F183" s="47"/>
      <c r="G183" s="47"/>
      <c r="H183" s="47"/>
      <c r="I183" s="126"/>
      <c r="J183" s="126"/>
      <c r="K183" s="126"/>
      <c r="L183" s="126"/>
      <c r="M183" s="126"/>
      <c r="N183" s="126"/>
      <c r="O183" s="126"/>
      <c r="P183" s="126"/>
      <c r="Q183" s="7"/>
      <c r="R183" s="108"/>
      <c r="S183" s="7"/>
      <c r="T183" s="10"/>
      <c r="U183" s="10"/>
      <c r="V183" s="10"/>
      <c r="W183" s="10"/>
      <c r="X183" s="10"/>
      <c r="Y183" s="10"/>
      <c r="Z183" s="10"/>
      <c r="AA183" s="10"/>
      <c r="AB183" s="10"/>
      <c r="AC183" s="7"/>
      <c r="AD183" s="7"/>
      <c r="AJ183" s="149"/>
      <c r="AK183" s="149"/>
      <c r="AL183" s="149"/>
      <c r="AM183" s="149"/>
    </row>
    <row r="184" spans="1:39" ht="12.75" customHeight="1" x14ac:dyDescent="0.3">
      <c r="A184" s="10"/>
      <c r="B184" s="151" t="s">
        <v>1161</v>
      </c>
      <c r="C184" s="152" t="s">
        <v>1186</v>
      </c>
      <c r="D184" s="150"/>
      <c r="E184" s="47"/>
      <c r="F184" s="47"/>
      <c r="G184" s="47"/>
      <c r="H184" s="47"/>
      <c r="I184" s="47"/>
      <c r="J184" s="47"/>
      <c r="K184" s="126"/>
      <c r="L184" s="126"/>
      <c r="M184" s="126"/>
      <c r="N184" s="126"/>
      <c r="O184" s="126"/>
      <c r="P184" s="126"/>
      <c r="Q184" s="7"/>
      <c r="R184" s="108"/>
      <c r="S184" s="7"/>
      <c r="T184" s="153"/>
      <c r="U184" s="154"/>
      <c r="V184" s="154"/>
      <c r="W184" s="154"/>
      <c r="X184" s="154"/>
      <c r="Y184" s="154"/>
      <c r="Z184" s="154"/>
      <c r="AA184" s="155"/>
      <c r="AB184" s="155"/>
      <c r="AC184" s="155"/>
      <c r="AD184" s="155"/>
      <c r="AJ184" s="156"/>
      <c r="AK184" s="149"/>
      <c r="AL184" s="149"/>
      <c r="AM184" s="149"/>
    </row>
    <row r="185" spans="1:39" ht="12.75" customHeight="1" x14ac:dyDescent="0.2">
      <c r="A185" s="10"/>
      <c r="B185" s="157" t="s">
        <v>1165</v>
      </c>
      <c r="C185" s="337">
        <v>0.5</v>
      </c>
      <c r="D185" s="150"/>
      <c r="E185" s="47"/>
      <c r="F185" s="47"/>
      <c r="G185" s="47"/>
      <c r="H185" s="47"/>
      <c r="I185" s="47"/>
      <c r="J185" s="47"/>
      <c r="K185" s="65"/>
      <c r="L185" s="65"/>
      <c r="M185" s="65"/>
      <c r="N185" s="65"/>
      <c r="O185" s="65"/>
      <c r="P185" s="65"/>
      <c r="Q185" s="47"/>
      <c r="R185" s="108"/>
      <c r="S185" s="7"/>
      <c r="T185" s="155"/>
      <c r="U185" s="155"/>
      <c r="V185" s="155"/>
      <c r="W185" s="155"/>
      <c r="X185" s="155"/>
      <c r="Y185" s="155"/>
      <c r="Z185" s="155"/>
      <c r="AA185" s="155"/>
      <c r="AB185" s="155"/>
      <c r="AC185" s="155"/>
      <c r="AD185" s="155"/>
      <c r="AJ185" s="156"/>
      <c r="AK185" s="149"/>
      <c r="AL185" s="149"/>
      <c r="AM185" s="149"/>
    </row>
    <row r="186" spans="1:39" ht="12.75" customHeight="1" x14ac:dyDescent="0.2">
      <c r="A186" s="10"/>
      <c r="B186" s="157" t="s">
        <v>1166</v>
      </c>
      <c r="C186" s="337">
        <v>0.72</v>
      </c>
      <c r="D186" s="150"/>
      <c r="E186" s="47"/>
      <c r="F186" s="47"/>
      <c r="G186" s="47"/>
      <c r="H186" s="47"/>
      <c r="I186" s="47"/>
      <c r="J186" s="47"/>
      <c r="K186" s="47"/>
      <c r="L186" s="47"/>
      <c r="M186" s="47"/>
      <c r="N186" s="47"/>
      <c r="O186" s="47"/>
      <c r="P186" s="65"/>
      <c r="Q186" s="47"/>
      <c r="R186" s="108"/>
      <c r="S186" s="7"/>
      <c r="T186" s="158"/>
      <c r="U186" s="158"/>
      <c r="V186" s="154"/>
      <c r="W186" s="154"/>
      <c r="X186" s="154"/>
      <c r="Y186" s="154"/>
      <c r="Z186" s="154"/>
      <c r="AA186" s="154"/>
      <c r="AB186" s="154"/>
      <c r="AC186" s="154"/>
      <c r="AD186" s="154"/>
      <c r="AJ186" s="156"/>
      <c r="AK186" s="149"/>
      <c r="AL186" s="149"/>
      <c r="AM186" s="149"/>
    </row>
    <row r="187" spans="1:39" ht="12.75" customHeight="1" x14ac:dyDescent="0.2">
      <c r="A187" s="10"/>
      <c r="B187" s="157" t="s">
        <v>1167</v>
      </c>
      <c r="C187" s="337">
        <v>0.83</v>
      </c>
      <c r="D187" s="150"/>
      <c r="E187" s="68" t="s">
        <v>1198</v>
      </c>
      <c r="F187" s="68" t="s">
        <v>1199</v>
      </c>
      <c r="G187" s="159"/>
      <c r="H187" s="159"/>
      <c r="I187" s="159"/>
      <c r="J187" s="159"/>
      <c r="K187" s="47"/>
      <c r="L187" s="47"/>
      <c r="M187" s="47"/>
      <c r="N187" s="47"/>
      <c r="O187" s="47"/>
      <c r="P187" s="65"/>
      <c r="Q187" s="47"/>
      <c r="R187" s="108"/>
      <c r="S187" s="7"/>
      <c r="T187" s="160"/>
      <c r="U187" s="409"/>
      <c r="V187" s="409"/>
      <c r="W187" s="409"/>
      <c r="X187" s="409"/>
      <c r="Y187" s="409"/>
      <c r="Z187" s="409"/>
      <c r="AA187" s="409"/>
      <c r="AB187" s="409"/>
      <c r="AC187" s="161"/>
      <c r="AD187" s="154"/>
      <c r="AJ187" s="156"/>
      <c r="AK187" s="149"/>
      <c r="AL187" s="149"/>
      <c r="AM187" s="149"/>
    </row>
    <row r="188" spans="1:39" ht="12.75" customHeight="1" x14ac:dyDescent="0.2">
      <c r="A188" s="10"/>
      <c r="B188" s="157" t="s">
        <v>1168</v>
      </c>
      <c r="C188" s="337">
        <v>0.41</v>
      </c>
      <c r="D188" s="150"/>
      <c r="E188" s="162" t="s">
        <v>1161</v>
      </c>
      <c r="F188" s="162" t="s">
        <v>1200</v>
      </c>
      <c r="G188" s="162" t="s">
        <v>1201</v>
      </c>
      <c r="H188" s="162" t="s">
        <v>1061</v>
      </c>
      <c r="I188" s="162" t="s">
        <v>1202</v>
      </c>
      <c r="J188" s="162" t="s">
        <v>1203</v>
      </c>
      <c r="K188" s="65"/>
      <c r="L188" s="65"/>
      <c r="M188" s="65"/>
      <c r="N188" s="65"/>
      <c r="O188" s="65"/>
      <c r="P188" s="65"/>
      <c r="Q188" s="47"/>
      <c r="R188" s="108"/>
      <c r="S188" s="7"/>
      <c r="T188" s="160"/>
      <c r="U188" s="161"/>
      <c r="V188" s="161"/>
      <c r="W188" s="161"/>
      <c r="X188" s="161"/>
      <c r="Y188" s="161"/>
      <c r="Z188" s="161"/>
      <c r="AA188" s="161"/>
      <c r="AB188" s="161"/>
      <c r="AC188" s="161"/>
      <c r="AD188" s="154"/>
      <c r="AJ188" s="156"/>
      <c r="AK188" s="149"/>
      <c r="AL188" s="149"/>
      <c r="AM188" s="149"/>
    </row>
    <row r="189" spans="1:39" ht="12.75" customHeight="1" x14ac:dyDescent="0.2">
      <c r="A189" s="10"/>
      <c r="B189" s="163" t="s">
        <v>1169</v>
      </c>
      <c r="C189" s="337">
        <v>0.27</v>
      </c>
      <c r="D189" s="150"/>
      <c r="E189" s="164" t="s">
        <v>1100</v>
      </c>
      <c r="F189" s="260">
        <v>63</v>
      </c>
      <c r="G189" s="260">
        <v>172</v>
      </c>
      <c r="H189" s="260">
        <f t="shared" ref="H189:H193" si="18">SUM(F189:G189)</f>
        <v>235</v>
      </c>
      <c r="I189" s="338">
        <f>F189/H189</f>
        <v>0.26808510638297872</v>
      </c>
      <c r="J189" s="338">
        <f>G189/H189</f>
        <v>0.73191489361702122</v>
      </c>
      <c r="K189" s="126"/>
      <c r="L189" s="126"/>
      <c r="M189" s="126"/>
      <c r="N189" s="126"/>
      <c r="O189" s="126"/>
      <c r="P189" s="126"/>
      <c r="Q189" s="7"/>
      <c r="R189" s="108"/>
      <c r="S189" s="7"/>
      <c r="T189" s="165"/>
      <c r="U189" s="166"/>
      <c r="V189" s="167"/>
      <c r="W189" s="166"/>
      <c r="X189" s="167"/>
      <c r="Y189" s="166"/>
      <c r="Z189" s="167"/>
      <c r="AA189" s="166"/>
      <c r="AB189" s="167"/>
      <c r="AC189" s="166"/>
      <c r="AD189" s="154"/>
      <c r="AJ189" s="156"/>
      <c r="AK189" s="149"/>
      <c r="AL189" s="149"/>
      <c r="AM189" s="149"/>
    </row>
    <row r="190" spans="1:39" ht="12.75" customHeight="1" x14ac:dyDescent="0.2">
      <c r="A190" s="10"/>
      <c r="B190" s="163" t="s">
        <v>1170</v>
      </c>
      <c r="C190" s="337">
        <v>0.61</v>
      </c>
      <c r="D190" s="150"/>
      <c r="E190" s="164" t="s">
        <v>1101</v>
      </c>
      <c r="F190" s="260">
        <v>238</v>
      </c>
      <c r="G190" s="260">
        <v>66</v>
      </c>
      <c r="H190" s="260">
        <f t="shared" si="18"/>
        <v>304</v>
      </c>
      <c r="I190" s="338">
        <f>F190/H190</f>
        <v>0.78289473684210531</v>
      </c>
      <c r="J190" s="338">
        <f>G190/H190</f>
        <v>0.21710526315789475</v>
      </c>
      <c r="K190" s="126"/>
      <c r="L190" s="126"/>
      <c r="M190" s="126"/>
      <c r="N190" s="126"/>
      <c r="O190" s="126"/>
      <c r="P190" s="126"/>
      <c r="Q190" s="7"/>
      <c r="R190" s="108"/>
      <c r="S190" s="7"/>
      <c r="T190" s="165"/>
      <c r="U190" s="166"/>
      <c r="V190" s="167"/>
      <c r="W190" s="166"/>
      <c r="X190" s="167"/>
      <c r="Y190" s="166"/>
      <c r="Z190" s="167"/>
      <c r="AA190" s="166"/>
      <c r="AB190" s="167"/>
      <c r="AC190" s="166"/>
      <c r="AD190" s="154"/>
      <c r="AJ190" s="156"/>
      <c r="AK190" s="149"/>
      <c r="AL190" s="149"/>
      <c r="AM190" s="149"/>
    </row>
    <row r="191" spans="1:39" ht="12.75" customHeight="1" x14ac:dyDescent="0.2">
      <c r="A191" s="10"/>
      <c r="B191" s="157" t="s">
        <v>1171</v>
      </c>
      <c r="C191" s="337">
        <v>7.0000000000000007E-2</v>
      </c>
      <c r="D191" s="150"/>
      <c r="E191" s="164" t="s">
        <v>1102</v>
      </c>
      <c r="F191" s="260">
        <v>304</v>
      </c>
      <c r="G191" s="260">
        <v>187</v>
      </c>
      <c r="H191" s="260">
        <f t="shared" si="18"/>
        <v>491</v>
      </c>
      <c r="I191" s="338">
        <f>F191/H191</f>
        <v>0.61914460285132378</v>
      </c>
      <c r="J191" s="338">
        <f>G191/H191</f>
        <v>0.38085539714867617</v>
      </c>
      <c r="K191" s="126"/>
      <c r="L191" s="126"/>
      <c r="M191" s="126"/>
      <c r="N191" s="126"/>
      <c r="O191" s="126"/>
      <c r="P191" s="126"/>
      <c r="Q191" s="7"/>
      <c r="R191" s="108"/>
      <c r="S191" s="7"/>
      <c r="T191" s="165"/>
      <c r="U191" s="166"/>
      <c r="V191" s="167"/>
      <c r="W191" s="166"/>
      <c r="X191" s="167"/>
      <c r="Y191" s="166"/>
      <c r="Z191" s="167"/>
      <c r="AA191" s="166"/>
      <c r="AB191" s="167"/>
      <c r="AC191" s="166"/>
      <c r="AD191" s="154"/>
      <c r="AJ191" s="156"/>
      <c r="AK191" s="149"/>
      <c r="AL191" s="149"/>
      <c r="AM191" s="149"/>
    </row>
    <row r="192" spans="1:39" ht="12.75" customHeight="1" x14ac:dyDescent="0.2">
      <c r="A192" s="10"/>
      <c r="B192" s="157" t="s">
        <v>1172</v>
      </c>
      <c r="C192" s="337">
        <v>0.67</v>
      </c>
      <c r="D192" s="150"/>
      <c r="E192" s="164" t="s">
        <v>1103</v>
      </c>
      <c r="F192" s="260">
        <v>242</v>
      </c>
      <c r="G192" s="260">
        <v>218</v>
      </c>
      <c r="H192" s="260">
        <f t="shared" si="18"/>
        <v>460</v>
      </c>
      <c r="I192" s="338">
        <f>F192/H192</f>
        <v>0.52608695652173909</v>
      </c>
      <c r="J192" s="338">
        <f>G192/H192</f>
        <v>0.47391304347826085</v>
      </c>
      <c r="K192" s="126"/>
      <c r="L192" s="126"/>
      <c r="M192" s="126"/>
      <c r="N192" s="126"/>
      <c r="O192" s="126"/>
      <c r="P192" s="126"/>
      <c r="Q192" s="7"/>
      <c r="R192" s="108"/>
      <c r="S192" s="7"/>
      <c r="T192" s="165"/>
      <c r="U192" s="166"/>
      <c r="V192" s="167"/>
      <c r="W192" s="166"/>
      <c r="X192" s="167"/>
      <c r="Y192" s="166"/>
      <c r="Z192" s="167"/>
      <c r="AA192" s="166"/>
      <c r="AB192" s="167"/>
      <c r="AC192" s="166"/>
      <c r="AD192" s="154"/>
      <c r="AJ192" s="156"/>
      <c r="AK192" s="149"/>
      <c r="AL192" s="149"/>
      <c r="AM192" s="149"/>
    </row>
    <row r="193" spans="1:39" ht="12.75" customHeight="1" x14ac:dyDescent="0.2">
      <c r="A193" s="10"/>
      <c r="B193" s="157" t="s">
        <v>1098</v>
      </c>
      <c r="C193" s="337">
        <v>0.3</v>
      </c>
      <c r="D193" s="150"/>
      <c r="E193" s="260" t="s">
        <v>1104</v>
      </c>
      <c r="F193" s="260">
        <v>165</v>
      </c>
      <c r="G193" s="260">
        <v>217</v>
      </c>
      <c r="H193" s="260">
        <f t="shared" si="18"/>
        <v>382</v>
      </c>
      <c r="I193" s="338">
        <f t="shared" ref="I193" si="19">F193/H193</f>
        <v>0.43193717277486909</v>
      </c>
      <c r="J193" s="338">
        <f t="shared" ref="J193" si="20">G193/H193</f>
        <v>0.56806282722513091</v>
      </c>
      <c r="K193" s="126"/>
      <c r="L193" s="126"/>
      <c r="M193" s="126"/>
      <c r="N193" s="126"/>
      <c r="O193" s="126"/>
      <c r="P193" s="126"/>
      <c r="Q193" s="7"/>
      <c r="R193" s="108"/>
      <c r="S193" s="7"/>
      <c r="T193" s="165"/>
      <c r="U193" s="166"/>
      <c r="V193" s="167"/>
      <c r="W193" s="166"/>
      <c r="X193" s="167"/>
      <c r="Y193" s="166"/>
      <c r="Z193" s="167"/>
      <c r="AA193" s="166"/>
      <c r="AB193" s="167"/>
      <c r="AC193" s="166"/>
      <c r="AD193" s="154"/>
      <c r="AJ193" s="156"/>
      <c r="AK193" s="149"/>
      <c r="AL193" s="149"/>
      <c r="AM193" s="149"/>
    </row>
    <row r="194" spans="1:39" ht="12.75" customHeight="1" x14ac:dyDescent="0.2">
      <c r="A194" s="10"/>
      <c r="B194" s="157" t="s">
        <v>1099</v>
      </c>
      <c r="C194" s="337">
        <v>0.79</v>
      </c>
      <c r="D194" s="168"/>
      <c r="E194" s="261" t="s">
        <v>1270</v>
      </c>
      <c r="F194" s="260">
        <f>GETPIVOTDATA("Net Dwellings",Pivots!$B$279,"Large Site Completion",)</f>
        <v>125</v>
      </c>
      <c r="G194" s="260">
        <f>GETPIVOTDATA("Net Dwellings",Pivots!$B$279,"Large Site Completion","Y")</f>
        <v>294</v>
      </c>
      <c r="H194" s="260">
        <f t="shared" ref="H194" si="21">SUM(F194:G194)</f>
        <v>419</v>
      </c>
      <c r="I194" s="338">
        <f t="shared" ref="I194" si="22">F194/H194</f>
        <v>0.29832935560859186</v>
      </c>
      <c r="J194" s="338">
        <f t="shared" ref="J194" si="23">G194/H194</f>
        <v>0.70167064439140814</v>
      </c>
      <c r="K194" s="126"/>
      <c r="L194" s="126"/>
      <c r="M194" s="126"/>
      <c r="N194" s="126"/>
      <c r="O194" s="126"/>
      <c r="P194" s="126"/>
      <c r="Q194" s="7"/>
      <c r="R194" s="108"/>
      <c r="S194" s="7"/>
      <c r="T194" s="165"/>
      <c r="U194" s="166"/>
      <c r="V194" s="167"/>
      <c r="W194" s="166"/>
      <c r="X194" s="167"/>
      <c r="Y194" s="166"/>
      <c r="Z194" s="167"/>
      <c r="AA194" s="166"/>
      <c r="AB194" s="167"/>
      <c r="AC194" s="166"/>
      <c r="AD194" s="154"/>
      <c r="AJ194" s="156"/>
      <c r="AK194" s="149"/>
      <c r="AL194" s="149"/>
      <c r="AM194" s="149"/>
    </row>
    <row r="195" spans="1:39" ht="12.75" customHeight="1" x14ac:dyDescent="0.2">
      <c r="A195" s="10"/>
      <c r="B195" s="157" t="s">
        <v>1100</v>
      </c>
      <c r="C195" s="337">
        <v>0.73</v>
      </c>
      <c r="D195" s="150"/>
      <c r="E195" s="169" t="s">
        <v>1204</v>
      </c>
      <c r="F195" s="169">
        <f>SUM(F189:F194)</f>
        <v>1137</v>
      </c>
      <c r="G195" s="169">
        <f>SUM(G189:G194)</f>
        <v>1154</v>
      </c>
      <c r="H195" s="169">
        <f>SUM(H189:H194)</f>
        <v>2291</v>
      </c>
      <c r="I195" s="170">
        <f>F195/H195</f>
        <v>0.49628982976865998</v>
      </c>
      <c r="J195" s="170">
        <f>G195/H195</f>
        <v>0.50371017023134002</v>
      </c>
      <c r="K195" s="126"/>
      <c r="L195" s="126"/>
      <c r="M195" s="126"/>
      <c r="N195" s="126"/>
      <c r="O195" s="126"/>
      <c r="P195" s="126"/>
      <c r="Q195" s="7"/>
      <c r="R195" s="108"/>
      <c r="S195" s="7"/>
      <c r="T195" s="165"/>
      <c r="U195" s="166"/>
      <c r="V195" s="167"/>
      <c r="W195" s="166"/>
      <c r="X195" s="167"/>
      <c r="Y195" s="166"/>
      <c r="Z195" s="167"/>
      <c r="AA195" s="166"/>
      <c r="AB195" s="167"/>
      <c r="AC195" s="166"/>
      <c r="AD195" s="154"/>
      <c r="AJ195" s="156"/>
      <c r="AK195" s="149"/>
      <c r="AL195" s="149"/>
      <c r="AM195" s="149"/>
    </row>
    <row r="196" spans="1:39" ht="12.75" customHeight="1" x14ac:dyDescent="0.2">
      <c r="A196" s="10"/>
      <c r="B196" s="157" t="s">
        <v>1101</v>
      </c>
      <c r="C196" s="337">
        <v>0.22</v>
      </c>
      <c r="D196" s="47"/>
      <c r="E196" s="169" t="s">
        <v>1571</v>
      </c>
      <c r="F196" s="171">
        <f>AVERAGE(F189:F194)</f>
        <v>189.5</v>
      </c>
      <c r="G196" s="171">
        <f>AVERAGE(G189:G194)</f>
        <v>192.33333333333334</v>
      </c>
      <c r="H196" s="171">
        <f>AVERAGE(H189:H194)</f>
        <v>381.83333333333331</v>
      </c>
      <c r="I196" s="170">
        <f>AVERAGE(I189:I194)</f>
        <v>0.48774632183026795</v>
      </c>
      <c r="J196" s="170">
        <f>AVERAGE(J189:J194)</f>
        <v>0.512253678169732</v>
      </c>
      <c r="K196" s="126"/>
      <c r="L196" s="126"/>
      <c r="M196" s="126"/>
      <c r="N196" s="126"/>
      <c r="O196" s="126"/>
      <c r="P196" s="126"/>
      <c r="Q196" s="7"/>
      <c r="R196" s="108"/>
      <c r="S196" s="7"/>
      <c r="T196" s="165"/>
      <c r="U196" s="166"/>
      <c r="V196" s="167"/>
      <c r="W196" s="166"/>
      <c r="X196" s="167"/>
      <c r="Y196" s="166"/>
      <c r="Z196" s="167"/>
      <c r="AA196" s="166"/>
      <c r="AB196" s="167"/>
      <c r="AC196" s="166"/>
      <c r="AD196" s="154"/>
      <c r="AJ196" s="156"/>
      <c r="AK196" s="149"/>
      <c r="AL196" s="149"/>
      <c r="AM196" s="149"/>
    </row>
    <row r="197" spans="1:39" ht="12.75" customHeight="1" x14ac:dyDescent="0.2">
      <c r="A197" s="10"/>
      <c r="B197" s="157" t="s">
        <v>1102</v>
      </c>
      <c r="C197" s="337">
        <v>0.38</v>
      </c>
      <c r="D197" s="47"/>
      <c r="E197" s="47"/>
      <c r="F197" s="47"/>
      <c r="G197" s="47"/>
      <c r="H197" s="47"/>
      <c r="I197" s="126"/>
      <c r="J197" s="126"/>
      <c r="K197" s="126"/>
      <c r="L197" s="126"/>
      <c r="M197" s="126"/>
      <c r="N197" s="126"/>
      <c r="O197" s="126"/>
      <c r="P197" s="126"/>
      <c r="Q197" s="7"/>
      <c r="R197" s="108"/>
      <c r="S197" s="7"/>
      <c r="T197" s="165"/>
      <c r="U197" s="166"/>
      <c r="V197" s="167"/>
      <c r="W197" s="166"/>
      <c r="X197" s="167"/>
      <c r="Y197" s="166"/>
      <c r="Z197" s="167"/>
      <c r="AA197" s="166"/>
      <c r="AB197" s="167"/>
      <c r="AC197" s="166"/>
      <c r="AD197" s="154"/>
      <c r="AJ197" s="156"/>
      <c r="AK197" s="149"/>
      <c r="AL197" s="149"/>
      <c r="AM197" s="149"/>
    </row>
    <row r="198" spans="1:39" ht="12.75" customHeight="1" x14ac:dyDescent="0.2">
      <c r="A198" s="10"/>
      <c r="B198" s="157" t="s">
        <v>1103</v>
      </c>
      <c r="C198" s="337">
        <v>0.47</v>
      </c>
      <c r="D198" s="47"/>
      <c r="E198" s="47"/>
      <c r="F198" s="47"/>
      <c r="G198" s="47"/>
      <c r="H198" s="47"/>
      <c r="I198" s="126"/>
      <c r="J198" s="126"/>
      <c r="K198" s="126"/>
      <c r="L198" s="126"/>
      <c r="M198" s="126"/>
      <c r="N198" s="126"/>
      <c r="O198" s="126"/>
      <c r="P198" s="126"/>
      <c r="Q198" s="7"/>
      <c r="R198" s="108"/>
      <c r="S198" s="7"/>
      <c r="T198" s="165"/>
      <c r="U198" s="166"/>
      <c r="V198" s="167"/>
      <c r="W198" s="166"/>
      <c r="X198" s="167"/>
      <c r="Y198" s="166"/>
      <c r="Z198" s="167"/>
      <c r="AA198" s="166"/>
      <c r="AB198" s="167"/>
      <c r="AC198" s="166"/>
      <c r="AD198" s="155"/>
      <c r="AJ198" s="156"/>
      <c r="AK198" s="149"/>
      <c r="AL198" s="149"/>
      <c r="AM198" s="149"/>
    </row>
    <row r="199" spans="1:39" ht="12.75" customHeight="1" x14ac:dyDescent="0.2">
      <c r="A199" s="10"/>
      <c r="B199" s="157" t="s">
        <v>1104</v>
      </c>
      <c r="C199" s="337">
        <v>0.56999999999999995</v>
      </c>
      <c r="D199" s="47"/>
      <c r="E199" s="47"/>
      <c r="F199" s="47"/>
      <c r="G199" s="47"/>
      <c r="H199" s="47"/>
      <c r="I199" s="126"/>
      <c r="J199" s="126"/>
      <c r="K199" s="126"/>
      <c r="L199" s="126"/>
      <c r="M199" s="126"/>
      <c r="N199" s="126"/>
      <c r="O199" s="126"/>
      <c r="P199" s="126"/>
      <c r="Q199" s="7"/>
      <c r="R199" s="108"/>
      <c r="S199" s="7"/>
      <c r="T199" s="165"/>
      <c r="U199" s="166"/>
      <c r="V199" s="167"/>
      <c r="W199" s="166"/>
      <c r="X199" s="167"/>
      <c r="Y199" s="166"/>
      <c r="Z199" s="167"/>
      <c r="AA199" s="166"/>
      <c r="AB199" s="167"/>
      <c r="AC199" s="166"/>
      <c r="AD199" s="155"/>
      <c r="AJ199" s="156"/>
      <c r="AK199" s="149"/>
      <c r="AL199" s="149"/>
      <c r="AM199" s="149"/>
    </row>
    <row r="200" spans="1:39" x14ac:dyDescent="0.2">
      <c r="A200" s="10"/>
      <c r="B200" s="157" t="s">
        <v>1270</v>
      </c>
      <c r="C200" s="337">
        <f>J194</f>
        <v>0.70167064439140814</v>
      </c>
      <c r="D200" s="47"/>
      <c r="E200" s="47"/>
      <c r="F200" s="47"/>
      <c r="G200" s="47"/>
      <c r="H200" s="47"/>
      <c r="I200" s="126"/>
      <c r="J200" s="126"/>
      <c r="K200" s="126"/>
      <c r="L200" s="126"/>
      <c r="M200" s="126"/>
      <c r="N200" s="126"/>
      <c r="O200" s="126"/>
      <c r="P200" s="126"/>
      <c r="Q200" s="7"/>
      <c r="R200" s="108"/>
      <c r="S200" s="7"/>
      <c r="T200" s="165"/>
      <c r="U200" s="166"/>
      <c r="V200" s="167"/>
      <c r="W200" s="166"/>
      <c r="X200" s="167"/>
      <c r="Y200" s="166"/>
      <c r="Z200" s="167"/>
      <c r="AA200" s="166"/>
      <c r="AB200" s="167"/>
      <c r="AC200" s="166"/>
      <c r="AD200" s="154"/>
      <c r="AJ200" s="156"/>
      <c r="AK200" s="149"/>
      <c r="AL200" s="149"/>
      <c r="AM200" s="149"/>
    </row>
    <row r="201" spans="1:39" x14ac:dyDescent="0.2">
      <c r="A201" s="10"/>
      <c r="B201" s="144"/>
      <c r="C201" s="47"/>
      <c r="D201" s="47"/>
      <c r="E201" s="47"/>
      <c r="F201" s="47"/>
      <c r="G201" s="47"/>
      <c r="H201" s="47"/>
      <c r="I201" s="126"/>
      <c r="J201" s="126"/>
      <c r="K201" s="126"/>
      <c r="L201" s="126"/>
      <c r="M201" s="126"/>
      <c r="N201" s="126"/>
      <c r="O201" s="126"/>
      <c r="P201" s="126"/>
      <c r="Q201" s="7"/>
      <c r="R201" s="108"/>
      <c r="S201" s="7"/>
      <c r="T201" s="165"/>
      <c r="U201" s="172"/>
      <c r="V201" s="173"/>
      <c r="W201" s="172"/>
      <c r="X201" s="173"/>
      <c r="Y201" s="172"/>
      <c r="Z201" s="173"/>
      <c r="AA201" s="172"/>
      <c r="AB201" s="173"/>
      <c r="AC201" s="172"/>
      <c r="AD201" s="155"/>
      <c r="AJ201" s="156"/>
      <c r="AK201" s="149"/>
      <c r="AL201" s="149"/>
      <c r="AM201" s="149"/>
    </row>
    <row r="202" spans="1:39" x14ac:dyDescent="0.2">
      <c r="A202" s="10"/>
      <c r="B202" s="142"/>
      <c r="C202" s="143"/>
      <c r="D202" s="143"/>
      <c r="E202" s="143"/>
      <c r="F202" s="143"/>
      <c r="G202" s="143"/>
      <c r="H202" s="143"/>
      <c r="I202" s="143"/>
      <c r="J202" s="143"/>
      <c r="K202" s="143"/>
      <c r="L202" s="143"/>
      <c r="M202" s="116"/>
      <c r="N202" s="116"/>
      <c r="O202" s="116"/>
      <c r="P202" s="116"/>
      <c r="Q202" s="118"/>
      <c r="R202" s="119"/>
      <c r="S202" s="7"/>
      <c r="T202" s="165"/>
      <c r="U202" s="166"/>
      <c r="V202" s="167"/>
      <c r="W202" s="166"/>
      <c r="X202" s="167"/>
      <c r="Y202" s="166"/>
      <c r="Z202" s="167"/>
      <c r="AA202" s="166"/>
      <c r="AB202" s="167"/>
      <c r="AC202" s="166"/>
      <c r="AD202" s="155"/>
      <c r="AJ202" s="156"/>
      <c r="AK202" s="149"/>
      <c r="AL202" s="149"/>
      <c r="AM202" s="149"/>
    </row>
    <row r="203" spans="1:39" ht="20.25" x14ac:dyDescent="0.3">
      <c r="A203" s="10"/>
      <c r="B203" s="124" t="s">
        <v>1205</v>
      </c>
      <c r="C203" s="9"/>
      <c r="D203" s="9"/>
      <c r="E203" s="9"/>
      <c r="F203" s="9"/>
      <c r="G203" s="9"/>
      <c r="H203" s="9"/>
      <c r="I203" s="9"/>
      <c r="J203" s="9"/>
      <c r="K203" s="9"/>
      <c r="L203" s="9"/>
      <c r="M203" s="9"/>
      <c r="N203" s="9"/>
      <c r="O203" s="9"/>
      <c r="P203" s="9"/>
      <c r="Q203" s="7"/>
      <c r="R203" s="108"/>
      <c r="S203" s="7"/>
      <c r="T203" s="174"/>
      <c r="U203" s="175"/>
      <c r="V203" s="176"/>
      <c r="W203" s="175"/>
      <c r="X203" s="176"/>
      <c r="Y203" s="175"/>
      <c r="Z203" s="176"/>
      <c r="AA203" s="175"/>
      <c r="AB203" s="176"/>
      <c r="AC203" s="175"/>
      <c r="AD203" s="154"/>
      <c r="AJ203" s="156"/>
      <c r="AK203" s="149"/>
      <c r="AL203" s="149"/>
      <c r="AM203" s="149"/>
    </row>
    <row r="204" spans="1:39" ht="20.25" x14ac:dyDescent="0.3">
      <c r="A204" s="10"/>
      <c r="B204" s="124"/>
      <c r="C204" s="9"/>
      <c r="D204" s="9"/>
      <c r="E204" s="9"/>
      <c r="F204" s="9"/>
      <c r="G204" s="9"/>
      <c r="H204" s="9"/>
      <c r="I204" s="9"/>
      <c r="J204" s="9"/>
      <c r="K204" s="9"/>
      <c r="L204" s="9"/>
      <c r="M204" s="9"/>
      <c r="N204" s="9"/>
      <c r="O204" s="9"/>
      <c r="P204" s="9"/>
      <c r="Q204" s="7"/>
      <c r="R204" s="108"/>
      <c r="S204" s="7"/>
      <c r="T204" s="174"/>
      <c r="U204" s="175"/>
      <c r="V204" s="176"/>
      <c r="W204" s="175"/>
      <c r="X204" s="176"/>
      <c r="Y204" s="175"/>
      <c r="Z204" s="176"/>
      <c r="AA204" s="175"/>
      <c r="AB204" s="176"/>
      <c r="AC204" s="175"/>
      <c r="AD204" s="154"/>
      <c r="AJ204" s="156"/>
      <c r="AK204" s="149"/>
      <c r="AL204" s="149"/>
      <c r="AM204" s="149"/>
    </row>
    <row r="205" spans="1:39" ht="15" x14ac:dyDescent="0.25">
      <c r="A205" s="10"/>
      <c r="B205" s="177" t="s">
        <v>1206</v>
      </c>
      <c r="C205" s="9"/>
      <c r="D205" s="9"/>
      <c r="E205" s="9"/>
      <c r="F205" s="9"/>
      <c r="G205" s="9"/>
      <c r="H205" s="9"/>
      <c r="I205" s="9"/>
      <c r="J205" s="9"/>
      <c r="K205" s="178" t="s">
        <v>1207</v>
      </c>
      <c r="L205" s="126"/>
      <c r="M205" s="126"/>
      <c r="N205" s="126"/>
      <c r="O205" s="9"/>
      <c r="P205" s="9"/>
      <c r="Q205" s="7"/>
      <c r="R205" s="108"/>
      <c r="S205" s="7"/>
      <c r="T205" s="155"/>
      <c r="U205" s="155"/>
      <c r="V205" s="155"/>
      <c r="W205" s="155"/>
      <c r="X205" s="155"/>
      <c r="Y205" s="155"/>
      <c r="Z205" s="155"/>
      <c r="AA205" s="155"/>
      <c r="AB205" s="155"/>
      <c r="AC205" s="155"/>
      <c r="AD205" s="155"/>
      <c r="AJ205" s="156"/>
      <c r="AK205" s="149"/>
      <c r="AL205" s="149"/>
      <c r="AM205" s="149"/>
    </row>
    <row r="206" spans="1:39" x14ac:dyDescent="0.2">
      <c r="A206" s="10"/>
      <c r="B206" s="67" t="s">
        <v>1208</v>
      </c>
      <c r="C206" s="68" t="s">
        <v>1573</v>
      </c>
      <c r="D206" s="9"/>
      <c r="E206" s="9"/>
      <c r="F206" s="9"/>
      <c r="G206" s="9"/>
      <c r="H206" s="9"/>
      <c r="I206" s="9"/>
      <c r="J206" s="9"/>
      <c r="K206" s="68" t="s">
        <v>1209</v>
      </c>
      <c r="L206" s="68" t="s">
        <v>1574</v>
      </c>
      <c r="M206" s="9"/>
      <c r="N206" s="9"/>
      <c r="O206" s="9"/>
      <c r="P206" s="9"/>
      <c r="Q206" s="7"/>
      <c r="R206" s="108"/>
      <c r="S206" s="7"/>
      <c r="T206" s="155"/>
      <c r="U206" s="155"/>
      <c r="V206" s="155"/>
      <c r="W206" s="155"/>
      <c r="X206" s="155"/>
      <c r="Y206" s="155"/>
      <c r="Z206" s="155"/>
      <c r="AA206" s="155"/>
      <c r="AB206" s="155"/>
      <c r="AC206" s="155"/>
      <c r="AD206" s="155"/>
      <c r="AJ206" s="156"/>
      <c r="AK206" s="149"/>
      <c r="AL206" s="149"/>
      <c r="AM206" s="149"/>
    </row>
    <row r="207" spans="1:39" ht="12.75" customHeight="1" x14ac:dyDescent="0.3">
      <c r="A207" s="10"/>
      <c r="B207" s="402" t="s">
        <v>1210</v>
      </c>
      <c r="C207" s="403"/>
      <c r="D207" s="179" t="s">
        <v>1061</v>
      </c>
      <c r="E207" s="9"/>
      <c r="F207" s="9"/>
      <c r="G207" s="9"/>
      <c r="H207" s="9"/>
      <c r="I207" s="9"/>
      <c r="J207" s="9"/>
      <c r="K207" s="403" t="s">
        <v>1211</v>
      </c>
      <c r="L207" s="403"/>
      <c r="M207" s="179" t="s">
        <v>1270</v>
      </c>
      <c r="N207" s="9"/>
      <c r="O207" s="9"/>
      <c r="P207" s="9"/>
      <c r="Q207" s="9"/>
      <c r="R207" s="108"/>
      <c r="S207" s="7"/>
      <c r="T207" s="153"/>
      <c r="U207" s="154"/>
      <c r="V207" s="154"/>
      <c r="W207" s="154"/>
      <c r="X207" s="154"/>
      <c r="Y207" s="154"/>
      <c r="Z207" s="154"/>
      <c r="AA207" s="154"/>
      <c r="AB207" s="154"/>
      <c r="AC207" s="154"/>
      <c r="AD207" s="154"/>
      <c r="AJ207" s="156"/>
      <c r="AK207" s="149"/>
      <c r="AL207" s="149"/>
      <c r="AM207" s="149"/>
    </row>
    <row r="208" spans="1:39" ht="12.75" customHeight="1" x14ac:dyDescent="0.2">
      <c r="A208" s="10"/>
      <c r="B208" s="404" t="s">
        <v>1212</v>
      </c>
      <c r="C208" s="405"/>
      <c r="D208" s="339">
        <f>GETPIVOTDATA("Net Dwellings",Pivots!$B$291,"Town_Centre","East Sheen")</f>
        <v>13</v>
      </c>
      <c r="E208" s="9"/>
      <c r="F208" s="9"/>
      <c r="G208" s="9"/>
      <c r="H208" s="9"/>
      <c r="I208" s="9"/>
      <c r="J208" s="9"/>
      <c r="K208" s="405" t="s">
        <v>1206</v>
      </c>
      <c r="L208" s="405"/>
      <c r="M208" s="339">
        <f>D212</f>
        <v>77</v>
      </c>
      <c r="N208" s="9"/>
      <c r="O208" s="9"/>
      <c r="P208" s="9"/>
      <c r="Q208" s="9"/>
      <c r="R208" s="108"/>
      <c r="S208" s="7"/>
      <c r="T208" s="155"/>
      <c r="U208" s="155"/>
      <c r="V208" s="155"/>
      <c r="W208" s="155"/>
      <c r="X208" s="155"/>
      <c r="Y208" s="155"/>
      <c r="Z208" s="155"/>
      <c r="AA208" s="155"/>
      <c r="AB208" s="155"/>
      <c r="AC208" s="155"/>
      <c r="AD208" s="155"/>
      <c r="AJ208" s="156"/>
      <c r="AK208" s="149"/>
      <c r="AL208" s="149"/>
      <c r="AM208" s="149"/>
    </row>
    <row r="209" spans="1:39" x14ac:dyDescent="0.2">
      <c r="A209" s="10"/>
      <c r="B209" s="404" t="s">
        <v>1213</v>
      </c>
      <c r="C209" s="405"/>
      <c r="D209" s="339">
        <f>GETPIVOTDATA("Net Dwellings",Pivots!$B$291,"Town_Centre","Richmond")</f>
        <v>12</v>
      </c>
      <c r="E209" s="9"/>
      <c r="F209" s="9"/>
      <c r="G209" s="9"/>
      <c r="H209" s="9"/>
      <c r="I209" s="9"/>
      <c r="J209" s="9"/>
      <c r="K209" s="405" t="s">
        <v>1214</v>
      </c>
      <c r="L209" s="405"/>
      <c r="M209" s="339">
        <f>GETPIVOTDATA("Net Dwellings",Pivots!$F$280,"Thames Policy Area","Thames Policy Area")</f>
        <v>171</v>
      </c>
      <c r="N209" s="9"/>
      <c r="O209" s="9"/>
      <c r="P209" s="9"/>
      <c r="Q209" s="9"/>
      <c r="R209" s="108"/>
      <c r="S209" s="7"/>
      <c r="T209" s="158"/>
      <c r="U209" s="158"/>
      <c r="V209" s="154"/>
      <c r="W209" s="154"/>
      <c r="X209" s="154"/>
      <c r="Y209" s="154"/>
      <c r="Z209" s="154"/>
      <c r="AA209" s="154"/>
      <c r="AB209" s="154"/>
      <c r="AC209" s="154"/>
      <c r="AD209" s="154"/>
      <c r="AJ209" s="156"/>
      <c r="AK209" s="149"/>
      <c r="AL209" s="149"/>
      <c r="AM209" s="149"/>
    </row>
    <row r="210" spans="1:39" x14ac:dyDescent="0.2">
      <c r="A210" s="10"/>
      <c r="B210" s="404" t="s">
        <v>1215</v>
      </c>
      <c r="C210" s="405"/>
      <c r="D210" s="339">
        <f>GETPIVOTDATA("Net Dwellings",Pivots!$B$291,"Town_Centre","Teddington")</f>
        <v>1</v>
      </c>
      <c r="E210" s="9"/>
      <c r="F210" s="9"/>
      <c r="G210" s="9"/>
      <c r="H210" s="9"/>
      <c r="I210" s="9"/>
      <c r="J210" s="9"/>
      <c r="K210" s="405" t="s">
        <v>1216</v>
      </c>
      <c r="L210" s="405"/>
      <c r="M210" s="339">
        <f>GETPIVOTDATA("Net Dwellings",Pivots!$I$280)</f>
        <v>25</v>
      </c>
      <c r="N210" s="9"/>
      <c r="O210" s="9"/>
      <c r="P210" s="9"/>
      <c r="Q210" s="9"/>
      <c r="R210" s="108"/>
      <c r="S210" s="7"/>
      <c r="T210" s="408"/>
      <c r="U210" s="409"/>
      <c r="V210" s="409"/>
      <c r="W210" s="409"/>
      <c r="X210" s="409"/>
      <c r="Y210" s="409"/>
      <c r="Z210" s="409"/>
      <c r="AA210" s="154"/>
      <c r="AB210" s="154"/>
      <c r="AC210" s="154"/>
      <c r="AD210" s="154"/>
      <c r="AJ210" s="156"/>
      <c r="AK210" s="149"/>
      <c r="AL210" s="149"/>
      <c r="AM210" s="149"/>
    </row>
    <row r="211" spans="1:39" x14ac:dyDescent="0.2">
      <c r="A211" s="10"/>
      <c r="B211" s="404" t="s">
        <v>1217</v>
      </c>
      <c r="C211" s="405"/>
      <c r="D211" s="339">
        <f>GETPIVOTDATA("Net Dwellings",Pivots!$B$291,"Town_Centre","Twickenham")</f>
        <v>51</v>
      </c>
      <c r="E211" s="9"/>
      <c r="F211" s="9"/>
      <c r="G211" s="9"/>
      <c r="H211" s="9"/>
      <c r="I211" s="9"/>
      <c r="J211" s="9"/>
      <c r="K211" s="406" t="s">
        <v>1218</v>
      </c>
      <c r="L211" s="407"/>
      <c r="M211" s="339">
        <v>0</v>
      </c>
      <c r="N211" s="9"/>
      <c r="O211" s="9"/>
      <c r="P211" s="9"/>
      <c r="Q211" s="9"/>
      <c r="R211" s="108"/>
      <c r="S211" s="7"/>
      <c r="T211" s="408"/>
      <c r="U211" s="161"/>
      <c r="V211" s="161"/>
      <c r="W211" s="161"/>
      <c r="X211" s="161"/>
      <c r="Y211" s="161"/>
      <c r="Z211" s="161"/>
      <c r="AA211" s="154"/>
      <c r="AB211" s="154"/>
      <c r="AC211" s="154"/>
      <c r="AD211" s="154"/>
      <c r="AJ211" s="156"/>
      <c r="AK211" s="149"/>
      <c r="AL211" s="149"/>
      <c r="AM211" s="149"/>
    </row>
    <row r="212" spans="1:39" x14ac:dyDescent="0.2">
      <c r="A212" s="10"/>
      <c r="B212" s="402" t="s">
        <v>1221</v>
      </c>
      <c r="C212" s="403"/>
      <c r="D212" s="180">
        <f>SUM(D208:D211)</f>
        <v>77</v>
      </c>
      <c r="E212" s="9"/>
      <c r="F212" s="9"/>
      <c r="G212" s="9"/>
      <c r="H212" s="9"/>
      <c r="I212" s="9"/>
      <c r="J212" s="9"/>
      <c r="K212" s="405" t="s">
        <v>1220</v>
      </c>
      <c r="L212" s="405"/>
      <c r="M212" s="339">
        <v>0</v>
      </c>
      <c r="N212" s="9"/>
      <c r="O212" s="9"/>
      <c r="P212" s="9"/>
      <c r="Q212" s="9"/>
      <c r="R212" s="108"/>
      <c r="S212" s="7"/>
      <c r="T212" s="165"/>
      <c r="U212" s="166"/>
      <c r="V212" s="166"/>
      <c r="W212" s="166"/>
      <c r="X212" s="166"/>
      <c r="Y212" s="166"/>
      <c r="Z212" s="166"/>
      <c r="AA212" s="154"/>
      <c r="AB212" s="154"/>
      <c r="AC212" s="154"/>
      <c r="AD212" s="154"/>
      <c r="AJ212" s="156"/>
      <c r="AK212" s="149"/>
      <c r="AL212" s="149"/>
      <c r="AM212" s="149"/>
    </row>
    <row r="213" spans="1:39" x14ac:dyDescent="0.2">
      <c r="A213" s="10"/>
      <c r="B213" s="111"/>
      <c r="C213" s="9"/>
      <c r="D213" s="9"/>
      <c r="E213" s="9"/>
      <c r="F213" s="9"/>
      <c r="G213" s="9"/>
      <c r="H213" s="9"/>
      <c r="I213" s="9"/>
      <c r="J213" s="9"/>
      <c r="K213" s="405" t="s">
        <v>1564</v>
      </c>
      <c r="L213" s="405"/>
      <c r="M213" s="339">
        <f>GETPIVOTDATA("Net Dwellings",Pivots!$B$477,"Garden Land","Y")</f>
        <v>8</v>
      </c>
      <c r="N213" s="9"/>
      <c r="O213" s="9"/>
      <c r="P213" s="9"/>
      <c r="Q213" s="9"/>
      <c r="R213" s="108"/>
      <c r="S213" s="7"/>
      <c r="T213" s="165"/>
      <c r="U213" s="166"/>
      <c r="V213" s="166"/>
      <c r="W213" s="166"/>
      <c r="X213" s="166"/>
      <c r="Y213" s="166"/>
      <c r="Z213" s="166"/>
      <c r="AA213" s="154"/>
      <c r="AB213" s="154"/>
      <c r="AC213" s="154"/>
      <c r="AD213" s="154"/>
      <c r="AJ213" s="156"/>
      <c r="AK213" s="149"/>
      <c r="AL213" s="149"/>
      <c r="AM213" s="149"/>
    </row>
    <row r="214" spans="1:39" x14ac:dyDescent="0.2">
      <c r="A214" s="10"/>
      <c r="B214" s="111"/>
      <c r="C214" s="9"/>
      <c r="D214" s="9"/>
      <c r="E214" s="9"/>
      <c r="F214" s="9"/>
      <c r="G214" s="9"/>
      <c r="H214" s="9"/>
      <c r="I214" s="9"/>
      <c r="J214" s="183"/>
      <c r="K214" s="181"/>
      <c r="L214" s="181"/>
      <c r="M214" s="182"/>
      <c r="N214" s="17"/>
      <c r="O214" s="9"/>
      <c r="P214" s="7"/>
      <c r="Q214" s="7"/>
      <c r="R214" s="108"/>
      <c r="S214" s="7"/>
      <c r="T214" s="165"/>
      <c r="U214" s="166"/>
      <c r="V214" s="166"/>
      <c r="W214" s="166"/>
      <c r="X214" s="166"/>
      <c r="Y214" s="166"/>
      <c r="Z214" s="166"/>
      <c r="AA214" s="154"/>
      <c r="AB214" s="154"/>
      <c r="AC214" s="154"/>
      <c r="AD214" s="154"/>
      <c r="AJ214" s="156"/>
      <c r="AK214" s="149"/>
      <c r="AL214" s="149"/>
      <c r="AM214" s="149"/>
    </row>
    <row r="215" spans="1:39" ht="15" x14ac:dyDescent="0.25">
      <c r="A215" s="10"/>
      <c r="B215" s="184" t="s">
        <v>1222</v>
      </c>
      <c r="C215" s="185"/>
      <c r="D215" s="186"/>
      <c r="E215" s="187"/>
      <c r="F215" s="187"/>
      <c r="G215" s="187"/>
      <c r="H215" s="187"/>
      <c r="I215" s="187"/>
      <c r="J215" s="187"/>
      <c r="K215" s="9"/>
      <c r="L215" s="9"/>
      <c r="M215" s="9"/>
      <c r="N215" s="9"/>
      <c r="O215" s="9"/>
      <c r="P215" s="9"/>
      <c r="Q215" s="7"/>
      <c r="R215" s="108"/>
      <c r="S215" s="7"/>
      <c r="T215" s="165"/>
      <c r="U215" s="166"/>
      <c r="V215" s="166"/>
      <c r="W215" s="166"/>
      <c r="X215" s="166"/>
      <c r="Y215" s="166"/>
      <c r="Z215" s="166"/>
      <c r="AA215" s="154"/>
      <c r="AB215" s="154"/>
      <c r="AC215" s="154"/>
      <c r="AD215" s="154"/>
      <c r="AJ215" s="156"/>
      <c r="AK215" s="149"/>
      <c r="AL215" s="149"/>
      <c r="AM215" s="149"/>
    </row>
    <row r="216" spans="1:39" ht="23.1" customHeight="1" x14ac:dyDescent="0.2">
      <c r="A216" s="10"/>
      <c r="B216" s="188" t="s">
        <v>1223</v>
      </c>
      <c r="C216" s="189" t="s">
        <v>1572</v>
      </c>
      <c r="D216" s="186"/>
      <c r="E216" s="187"/>
      <c r="F216" s="187"/>
      <c r="G216" s="187"/>
      <c r="H216" s="187"/>
      <c r="I216" s="187"/>
      <c r="J216" s="187"/>
      <c r="K216" s="9"/>
      <c r="L216" s="9"/>
      <c r="M216" s="9"/>
      <c r="N216" s="9"/>
      <c r="O216" s="9"/>
      <c r="P216" s="9"/>
      <c r="Q216" s="7"/>
      <c r="R216" s="108"/>
      <c r="S216" s="7"/>
      <c r="T216" s="165"/>
      <c r="U216" s="166"/>
      <c r="V216" s="166"/>
      <c r="W216" s="166"/>
      <c r="X216" s="166"/>
      <c r="Y216" s="166"/>
      <c r="Z216" s="166"/>
      <c r="AA216" s="154"/>
      <c r="AB216" s="154"/>
      <c r="AC216" s="154"/>
      <c r="AD216" s="154"/>
      <c r="AJ216" s="156"/>
      <c r="AK216" s="149"/>
      <c r="AL216" s="149"/>
      <c r="AM216" s="149"/>
    </row>
    <row r="217" spans="1:39" ht="33.75" x14ac:dyDescent="0.2">
      <c r="A217" s="10"/>
      <c r="B217" s="402" t="s">
        <v>1224</v>
      </c>
      <c r="C217" s="403"/>
      <c r="D217" s="403"/>
      <c r="E217" s="190" t="s">
        <v>247</v>
      </c>
      <c r="F217" s="191" t="s">
        <v>246</v>
      </c>
      <c r="G217" s="190" t="s">
        <v>1177</v>
      </c>
      <c r="H217" s="187"/>
      <c r="I217" s="187"/>
      <c r="J217" s="187"/>
      <c r="K217" s="187"/>
      <c r="L217" s="9"/>
      <c r="M217" s="9"/>
      <c r="N217" s="9"/>
      <c r="O217" s="9"/>
      <c r="P217" s="9"/>
      <c r="Q217" s="9"/>
      <c r="R217" s="108"/>
      <c r="S217" s="7"/>
      <c r="T217" s="165"/>
      <c r="U217" s="166"/>
      <c r="V217" s="166"/>
      <c r="W217" s="166"/>
      <c r="X217" s="166"/>
      <c r="Y217" s="166"/>
      <c r="Z217" s="166"/>
      <c r="AA217" s="154"/>
      <c r="AB217" s="154"/>
      <c r="AC217" s="154"/>
      <c r="AD217" s="154"/>
      <c r="AJ217" s="156"/>
      <c r="AK217" s="149"/>
      <c r="AL217" s="149"/>
      <c r="AM217" s="149"/>
    </row>
    <row r="218" spans="1:39" x14ac:dyDescent="0.2">
      <c r="A218" s="10"/>
      <c r="B218" s="400" t="s">
        <v>1225</v>
      </c>
      <c r="C218" s="401"/>
      <c r="D218" s="401"/>
      <c r="E218" s="329">
        <f>GETPIVOTDATA("Net Dwellings",Pivots!$B$307,"Ward","Barnes")</f>
        <v>4</v>
      </c>
      <c r="F218" s="327">
        <f>GETPIVOTDATA("Net Dwellings",Pivots!$E$307,"Ward","Barnes")</f>
        <v>12</v>
      </c>
      <c r="G218" s="329">
        <f>GETPIVOTDATA("Net Dwellings",Pivots!$H$307,"Ward","Barnes")</f>
        <v>1</v>
      </c>
      <c r="H218" s="187"/>
      <c r="I218" s="187"/>
      <c r="J218" s="187"/>
      <c r="K218" s="187"/>
      <c r="L218" s="9"/>
      <c r="M218" s="9"/>
      <c r="N218" s="9"/>
      <c r="O218" s="9"/>
      <c r="P218" s="9"/>
      <c r="Q218" s="9"/>
      <c r="R218" s="108"/>
      <c r="S218" s="7"/>
      <c r="T218" s="165"/>
      <c r="U218" s="166"/>
      <c r="V218" s="166"/>
      <c r="W218" s="166"/>
      <c r="X218" s="166"/>
      <c r="Y218" s="166"/>
      <c r="Z218" s="166"/>
      <c r="AA218" s="154"/>
      <c r="AB218" s="154"/>
      <c r="AC218" s="154"/>
      <c r="AD218" s="154"/>
      <c r="AJ218" s="156"/>
      <c r="AK218" s="149"/>
      <c r="AL218" s="149"/>
      <c r="AM218" s="149"/>
    </row>
    <row r="219" spans="1:39" x14ac:dyDescent="0.2">
      <c r="A219" s="10"/>
      <c r="B219" s="400" t="s">
        <v>1212</v>
      </c>
      <c r="C219" s="401"/>
      <c r="D219" s="401"/>
      <c r="E219" s="329">
        <f>GETPIVOTDATA("Net Dwellings",Pivots!$B$307,"Ward","East Sheen")</f>
        <v>31</v>
      </c>
      <c r="F219" s="327">
        <f>GETPIVOTDATA("Net Dwellings",Pivots!$E$307,"Ward","East Sheen")</f>
        <v>3</v>
      </c>
      <c r="G219" s="329">
        <f>GETPIVOTDATA("Net Dwellings",Pivots!$H$307,"Ward","East Sheen")</f>
        <v>14</v>
      </c>
      <c r="H219" s="187"/>
      <c r="I219" s="187"/>
      <c r="J219" s="187"/>
      <c r="K219" s="187"/>
      <c r="L219" s="9"/>
      <c r="M219" s="9"/>
      <c r="N219" s="9"/>
      <c r="O219" s="9"/>
      <c r="P219" s="9"/>
      <c r="Q219" s="9"/>
      <c r="R219" s="108"/>
      <c r="S219" s="7"/>
      <c r="T219" s="165"/>
      <c r="U219" s="166"/>
      <c r="V219" s="166"/>
      <c r="W219" s="166"/>
      <c r="X219" s="166"/>
      <c r="Y219" s="166"/>
      <c r="Z219" s="166"/>
      <c r="AA219" s="154"/>
      <c r="AB219" s="154"/>
      <c r="AC219" s="154"/>
      <c r="AD219" s="154"/>
      <c r="AJ219" s="156"/>
      <c r="AK219" s="149"/>
      <c r="AL219" s="149"/>
      <c r="AM219" s="149"/>
    </row>
    <row r="220" spans="1:39" x14ac:dyDescent="0.2">
      <c r="A220" s="10"/>
      <c r="B220" s="400" t="s">
        <v>1226</v>
      </c>
      <c r="C220" s="401"/>
      <c r="D220" s="401"/>
      <c r="E220" s="329">
        <f>GETPIVOTDATA("Net Dwellings",Pivots!$B$307,"Ward","Fulwell and Hampton Hill")</f>
        <v>63</v>
      </c>
      <c r="F220" s="327">
        <f>GETPIVOTDATA("Net Dwellings",Pivots!$E$307,"Ward","Fulwell and Hampton Hill")</f>
        <v>30</v>
      </c>
      <c r="G220" s="329">
        <f>GETPIVOTDATA("Net Dwellings",Pivots!$H$307,"Ward","Fulwell and Hampton Hill")</f>
        <v>43</v>
      </c>
      <c r="H220" s="187"/>
      <c r="I220" s="187"/>
      <c r="J220" s="187"/>
      <c r="K220" s="187"/>
      <c r="L220" s="9"/>
      <c r="M220" s="9"/>
      <c r="N220" s="9"/>
      <c r="O220" s="9"/>
      <c r="P220" s="9"/>
      <c r="Q220" s="9"/>
      <c r="R220" s="108"/>
      <c r="S220" s="7"/>
      <c r="T220" s="165"/>
      <c r="U220" s="166"/>
      <c r="V220" s="166"/>
      <c r="W220" s="166"/>
      <c r="X220" s="166"/>
      <c r="Y220" s="166"/>
      <c r="Z220" s="166"/>
      <c r="AA220" s="154"/>
      <c r="AB220" s="154"/>
      <c r="AC220" s="154"/>
      <c r="AD220" s="154"/>
      <c r="AJ220" s="156"/>
      <c r="AK220" s="149"/>
      <c r="AL220" s="149"/>
      <c r="AM220" s="149"/>
    </row>
    <row r="221" spans="1:39" x14ac:dyDescent="0.2">
      <c r="A221" s="10"/>
      <c r="B221" s="400" t="s">
        <v>1227</v>
      </c>
      <c r="C221" s="401"/>
      <c r="D221" s="401"/>
      <c r="E221" s="329">
        <f>GETPIVOTDATA("Net Dwellings",Pivots!$B$307,"Ward","Ham, Petersham and Richmond Riverside")</f>
        <v>8</v>
      </c>
      <c r="F221" s="327">
        <f>GETPIVOTDATA("Net Dwellings",Pivots!$E$307,"Ward","Ham, Petersham and Richmond Riverside")</f>
        <v>43</v>
      </c>
      <c r="G221" s="329">
        <f>GETPIVOTDATA("Net Dwellings",Pivots!$H$307,"Ward","Ham, Petersham and Richmond Riverside")</f>
        <v>102</v>
      </c>
      <c r="H221" s="187"/>
      <c r="I221" s="187"/>
      <c r="J221" s="187"/>
      <c r="K221" s="187"/>
      <c r="L221" s="9"/>
      <c r="M221" s="9"/>
      <c r="N221" s="9"/>
      <c r="O221" s="9"/>
      <c r="P221" s="9"/>
      <c r="Q221" s="9"/>
      <c r="R221" s="108"/>
      <c r="S221" s="7"/>
      <c r="T221" s="165"/>
      <c r="U221" s="166"/>
      <c r="V221" s="166"/>
      <c r="W221" s="166"/>
      <c r="X221" s="166"/>
      <c r="Y221" s="166"/>
      <c r="Z221" s="166"/>
      <c r="AA221" s="154"/>
      <c r="AB221" s="154"/>
      <c r="AC221" s="154"/>
      <c r="AD221" s="154"/>
      <c r="AJ221" s="156"/>
      <c r="AK221" s="149"/>
      <c r="AL221" s="149"/>
      <c r="AM221" s="149"/>
    </row>
    <row r="222" spans="1:39" x14ac:dyDescent="0.2">
      <c r="A222" s="10"/>
      <c r="B222" s="400" t="s">
        <v>1228</v>
      </c>
      <c r="C222" s="401"/>
      <c r="D222" s="401"/>
      <c r="E222" s="329">
        <f>GETPIVOTDATA("Net Dwellings",Pivots!$B$307,"Ward","Hampton North")</f>
        <v>1</v>
      </c>
      <c r="F222" s="327">
        <f>GETPIVOTDATA("Net Dwellings",Pivots!$E$307,"Ward","Hampton North")</f>
        <v>1</v>
      </c>
      <c r="G222" s="329">
        <f>GETPIVOTDATA("Net Dwellings",Pivots!$H$307,"Ward","Hampton North")</f>
        <v>0</v>
      </c>
      <c r="H222" s="187"/>
      <c r="I222" s="187"/>
      <c r="J222" s="187"/>
      <c r="K222" s="187"/>
      <c r="L222" s="9"/>
      <c r="M222" s="9"/>
      <c r="N222" s="9"/>
      <c r="O222" s="9"/>
      <c r="P222" s="9"/>
      <c r="Q222" s="9"/>
      <c r="R222" s="108"/>
      <c r="S222" s="7"/>
      <c r="T222" s="165"/>
      <c r="U222" s="166"/>
      <c r="V222" s="166"/>
      <c r="W222" s="166"/>
      <c r="X222" s="166"/>
      <c r="Y222" s="166"/>
      <c r="Z222" s="166"/>
      <c r="AA222" s="154"/>
      <c r="AB222" s="154"/>
      <c r="AC222" s="154"/>
      <c r="AD222" s="154"/>
      <c r="AJ222" s="156"/>
      <c r="AK222" s="149"/>
      <c r="AL222" s="149"/>
      <c r="AM222" s="149"/>
    </row>
    <row r="223" spans="1:39" x14ac:dyDescent="0.2">
      <c r="A223" s="10"/>
      <c r="B223" s="400" t="s">
        <v>1229</v>
      </c>
      <c r="C223" s="401"/>
      <c r="D223" s="401"/>
      <c r="E223" s="329">
        <f>GETPIVOTDATA("Net Dwellings",Pivots!$B$307,"Ward","Hampton")</f>
        <v>45</v>
      </c>
      <c r="F223" s="327">
        <f>GETPIVOTDATA("Net Dwellings",Pivots!$E$307,"Ward","Hampton")</f>
        <v>2</v>
      </c>
      <c r="G223" s="329">
        <f>GETPIVOTDATA("Net Dwellings",Pivots!$H$307,"Ward","Hampton")</f>
        <v>11</v>
      </c>
      <c r="H223" s="187"/>
      <c r="I223" s="187"/>
      <c r="J223" s="187"/>
      <c r="K223" s="187"/>
      <c r="L223" s="9"/>
      <c r="M223" s="9"/>
      <c r="N223" s="9"/>
      <c r="O223" s="9"/>
      <c r="P223" s="9"/>
      <c r="Q223" s="9"/>
      <c r="R223" s="108"/>
      <c r="S223" s="7"/>
      <c r="T223" s="165"/>
      <c r="U223" s="166"/>
      <c r="V223" s="166"/>
      <c r="W223" s="166"/>
      <c r="X223" s="166"/>
      <c r="Y223" s="166"/>
      <c r="Z223" s="166"/>
      <c r="AA223" s="154"/>
      <c r="AB223" s="154"/>
      <c r="AC223" s="154"/>
      <c r="AD223" s="154"/>
      <c r="AJ223" s="156"/>
      <c r="AK223" s="149"/>
      <c r="AL223" s="149"/>
      <c r="AM223" s="149"/>
    </row>
    <row r="224" spans="1:39" x14ac:dyDescent="0.2">
      <c r="A224" s="10"/>
      <c r="B224" s="400" t="s">
        <v>1230</v>
      </c>
      <c r="C224" s="401"/>
      <c r="D224" s="401"/>
      <c r="E224" s="329">
        <f>GETPIVOTDATA("Net Dwellings",Pivots!$B$307,"Ward","Hampton Wick")</f>
        <v>24</v>
      </c>
      <c r="F224" s="327">
        <f>GETPIVOTDATA("Net Dwellings",Pivots!$E$307,"Ward","Hampton Wick")</f>
        <v>27</v>
      </c>
      <c r="G224" s="329">
        <f>GETPIVOTDATA("Net Dwellings",Pivots!$H$307,"Ward","Hampton Wick")</f>
        <v>8</v>
      </c>
      <c r="H224" s="187"/>
      <c r="I224" s="187"/>
      <c r="J224" s="187"/>
      <c r="K224" s="187"/>
      <c r="L224" s="9"/>
      <c r="M224" s="9"/>
      <c r="N224" s="9"/>
      <c r="O224" s="9"/>
      <c r="P224" s="9"/>
      <c r="Q224" s="9"/>
      <c r="R224" s="108"/>
      <c r="S224" s="7"/>
      <c r="T224" s="165"/>
      <c r="U224" s="166"/>
      <c r="V224" s="166"/>
      <c r="W224" s="166"/>
      <c r="X224" s="166"/>
      <c r="Y224" s="166"/>
      <c r="Z224" s="166"/>
      <c r="AA224" s="154"/>
      <c r="AB224" s="154"/>
      <c r="AC224" s="154"/>
      <c r="AD224" s="154"/>
      <c r="AJ224" s="156"/>
      <c r="AK224" s="149"/>
      <c r="AL224" s="149"/>
      <c r="AM224" s="149"/>
    </row>
    <row r="225" spans="1:39" x14ac:dyDescent="0.2">
      <c r="A225" s="10"/>
      <c r="B225" s="400" t="s">
        <v>1231</v>
      </c>
      <c r="C225" s="401"/>
      <c r="D225" s="401"/>
      <c r="E225" s="329">
        <v>0</v>
      </c>
      <c r="F225" s="327">
        <f>GETPIVOTDATA("Net Dwellings",Pivots!$E$307,"Ward","Heathfield")</f>
        <v>5</v>
      </c>
      <c r="G225" s="329">
        <f>GETPIVOTDATA("Net Dwellings",Pivots!$H$307,"Ward","Heathfield")</f>
        <v>3</v>
      </c>
      <c r="H225" s="187"/>
      <c r="I225" s="187"/>
      <c r="J225" s="187"/>
      <c r="K225" s="187"/>
      <c r="L225" s="9"/>
      <c r="M225" s="9"/>
      <c r="N225" s="9"/>
      <c r="O225" s="9"/>
      <c r="P225" s="9"/>
      <c r="Q225" s="9"/>
      <c r="R225" s="108"/>
      <c r="S225" s="7"/>
      <c r="T225" s="165"/>
      <c r="U225" s="166"/>
      <c r="V225" s="166"/>
      <c r="W225" s="166"/>
      <c r="X225" s="166"/>
      <c r="Y225" s="166"/>
      <c r="Z225" s="166"/>
      <c r="AA225" s="154"/>
      <c r="AB225" s="154"/>
      <c r="AC225" s="154"/>
      <c r="AD225" s="154"/>
      <c r="AJ225" s="156"/>
      <c r="AK225" s="149"/>
      <c r="AL225" s="149"/>
      <c r="AM225" s="149"/>
    </row>
    <row r="226" spans="1:39" x14ac:dyDescent="0.2">
      <c r="A226" s="10"/>
      <c r="B226" s="400" t="s">
        <v>1232</v>
      </c>
      <c r="C226" s="401"/>
      <c r="D226" s="401"/>
      <c r="E226" s="329">
        <f>GETPIVOTDATA("Net Dwellings",Pivots!$B$307,"Ward","Kew")</f>
        <v>17</v>
      </c>
      <c r="F226" s="327">
        <f>GETPIVOTDATA("Net Dwellings",Pivots!$E$307,"Ward","Kew")</f>
        <v>30</v>
      </c>
      <c r="G226" s="329">
        <f>GETPIVOTDATA("Net Dwellings",Pivots!$H$307,"Ward","Kew")</f>
        <v>40</v>
      </c>
      <c r="H226" s="187"/>
      <c r="I226" s="187"/>
      <c r="J226" s="187"/>
      <c r="K226" s="187"/>
      <c r="L226" s="9"/>
      <c r="M226" s="9"/>
      <c r="N226" s="9"/>
      <c r="O226" s="9"/>
      <c r="P226" s="9"/>
      <c r="Q226" s="9"/>
      <c r="R226" s="108"/>
      <c r="S226" s="7"/>
      <c r="T226" s="174"/>
      <c r="U226" s="175"/>
      <c r="V226" s="175"/>
      <c r="W226" s="175"/>
      <c r="X226" s="175"/>
      <c r="Y226" s="175"/>
      <c r="Z226" s="175"/>
      <c r="AA226" s="154"/>
      <c r="AB226" s="154"/>
      <c r="AC226" s="154"/>
      <c r="AD226" s="154"/>
      <c r="AJ226" s="156"/>
      <c r="AK226" s="149"/>
      <c r="AL226" s="149"/>
      <c r="AM226" s="149"/>
    </row>
    <row r="227" spans="1:39" x14ac:dyDescent="0.2">
      <c r="A227" s="10"/>
      <c r="B227" s="400" t="s">
        <v>1233</v>
      </c>
      <c r="C227" s="401"/>
      <c r="D227" s="401"/>
      <c r="E227" s="329">
        <f>GETPIVOTDATA("Net Dwellings",Pivots!$B$307,"Ward","Mortlake and Barnes Common")</f>
        <v>3</v>
      </c>
      <c r="F227" s="327">
        <f>GETPIVOTDATA("Net Dwellings",Pivots!$E$307,"Ward","Mortlake and Barnes Common")</f>
        <v>14</v>
      </c>
      <c r="G227" s="329">
        <f>GETPIVOTDATA("Net Dwellings",Pivots!$H$307,"Ward","Mortlake and Barnes Common")</f>
        <v>22</v>
      </c>
      <c r="H227" s="187"/>
      <c r="I227" s="187"/>
      <c r="J227" s="187"/>
      <c r="K227" s="187"/>
      <c r="L227" s="9"/>
      <c r="M227" s="9"/>
      <c r="N227" s="9"/>
      <c r="O227" s="9"/>
      <c r="P227" s="9"/>
      <c r="Q227" s="9"/>
      <c r="R227" s="108"/>
      <c r="S227" s="7"/>
      <c r="T227" s="174"/>
      <c r="U227" s="175"/>
      <c r="V227" s="175"/>
      <c r="W227" s="175"/>
      <c r="X227" s="175"/>
      <c r="Y227" s="175"/>
      <c r="Z227" s="175"/>
      <c r="AA227" s="154"/>
      <c r="AB227" s="154"/>
      <c r="AC227" s="154"/>
      <c r="AD227" s="154"/>
      <c r="AJ227" s="156"/>
      <c r="AK227" s="149"/>
      <c r="AL227" s="149"/>
      <c r="AM227" s="149"/>
    </row>
    <row r="228" spans="1:39" x14ac:dyDescent="0.2">
      <c r="A228" s="10"/>
      <c r="B228" s="400" t="s">
        <v>1234</v>
      </c>
      <c r="C228" s="401"/>
      <c r="D228" s="401"/>
      <c r="E228" s="329">
        <f>GETPIVOTDATA("Net Dwellings",Pivots!$B$307,"Ward","North Richmond")</f>
        <v>9</v>
      </c>
      <c r="F228" s="327">
        <f>GETPIVOTDATA("Net Dwellings",Pivots!$E$307,"Ward","North Richmond")</f>
        <v>5</v>
      </c>
      <c r="G228" s="329">
        <f>GETPIVOTDATA("Net Dwellings",Pivots!$H$307,"Ward","North Richmond")</f>
        <v>2</v>
      </c>
      <c r="H228" s="187"/>
      <c r="I228" s="187"/>
      <c r="J228" s="187"/>
      <c r="K228" s="187"/>
      <c r="L228" s="9"/>
      <c r="M228" s="9"/>
      <c r="N228" s="9"/>
      <c r="O228" s="9"/>
      <c r="P228" s="9"/>
      <c r="Q228" s="9"/>
      <c r="R228" s="108"/>
      <c r="S228" s="7"/>
      <c r="T228" s="154"/>
      <c r="U228" s="154"/>
      <c r="V228" s="154"/>
      <c r="W228" s="154"/>
      <c r="X228" s="154"/>
      <c r="Y228" s="154"/>
      <c r="Z228" s="154"/>
      <c r="AA228" s="154"/>
      <c r="AB228" s="154"/>
      <c r="AC228" s="154"/>
      <c r="AD228" s="154"/>
      <c r="AJ228" s="156"/>
      <c r="AK228" s="149"/>
      <c r="AL228" s="149"/>
      <c r="AM228" s="149"/>
    </row>
    <row r="229" spans="1:39" x14ac:dyDescent="0.2">
      <c r="A229" s="10"/>
      <c r="B229" s="400" t="s">
        <v>1235</v>
      </c>
      <c r="C229" s="401"/>
      <c r="D229" s="401"/>
      <c r="E229" s="329">
        <f>GETPIVOTDATA("Net Dwellings",Pivots!$B$307,"Ward","South Richmond")</f>
        <v>19</v>
      </c>
      <c r="F229" s="327">
        <f>GETPIVOTDATA("Net Dwellings",Pivots!$E$307,"Ward","South Richmond")</f>
        <v>8</v>
      </c>
      <c r="G229" s="329">
        <f>GETPIVOTDATA("Net Dwellings",Pivots!$H$307,"Ward","South Richmond")</f>
        <v>10</v>
      </c>
      <c r="H229" s="187"/>
      <c r="I229" s="187"/>
      <c r="J229" s="187"/>
      <c r="K229" s="187"/>
      <c r="L229" s="9"/>
      <c r="M229" s="9"/>
      <c r="N229" s="9"/>
      <c r="O229" s="9"/>
      <c r="P229" s="9"/>
      <c r="Q229" s="9"/>
      <c r="R229" s="108"/>
      <c r="S229" s="7"/>
      <c r="T229" s="47"/>
      <c r="U229" s="47"/>
      <c r="V229" s="47"/>
      <c r="W229" s="47"/>
      <c r="X229" s="47"/>
      <c r="Y229" s="47"/>
      <c r="Z229" s="47"/>
      <c r="AA229" s="47"/>
      <c r="AB229" s="47"/>
      <c r="AC229" s="47"/>
      <c r="AD229" s="47"/>
      <c r="AJ229" s="149"/>
      <c r="AK229" s="149"/>
      <c r="AL229" s="149"/>
      <c r="AM229" s="149"/>
    </row>
    <row r="230" spans="1:39" x14ac:dyDescent="0.2">
      <c r="A230" s="10"/>
      <c r="B230" s="400" t="s">
        <v>1236</v>
      </c>
      <c r="C230" s="401"/>
      <c r="D230" s="401"/>
      <c r="E230" s="329">
        <f>GETPIVOTDATA("Net Dwellings",Pivots!$B$307,"Ward","South Twickenham")</f>
        <v>22</v>
      </c>
      <c r="F230" s="327">
        <f>GETPIVOTDATA("Net Dwellings",Pivots!$E$307,"Ward","South Twickenham")</f>
        <v>31</v>
      </c>
      <c r="G230" s="329">
        <v>0</v>
      </c>
      <c r="H230" s="187"/>
      <c r="I230" s="187"/>
      <c r="J230" s="187"/>
      <c r="K230" s="187"/>
      <c r="L230" s="9"/>
      <c r="M230" s="9"/>
      <c r="N230" s="9"/>
      <c r="O230" s="9"/>
      <c r="P230" s="9"/>
      <c r="Q230" s="9"/>
      <c r="R230" s="108"/>
      <c r="S230" s="7"/>
      <c r="T230" s="47"/>
      <c r="U230" s="47"/>
      <c r="V230" s="47"/>
      <c r="W230" s="47"/>
      <c r="X230" s="47"/>
      <c r="Y230" s="47"/>
      <c r="Z230" s="47"/>
      <c r="AA230" s="47"/>
      <c r="AB230" s="47"/>
      <c r="AC230" s="47"/>
      <c r="AD230" s="47"/>
      <c r="AJ230" s="149"/>
      <c r="AK230" s="149"/>
      <c r="AL230" s="149"/>
      <c r="AM230" s="149"/>
    </row>
    <row r="231" spans="1:39" x14ac:dyDescent="0.2">
      <c r="A231" s="10"/>
      <c r="B231" s="400" t="s">
        <v>1237</v>
      </c>
      <c r="C231" s="401"/>
      <c r="D231" s="401"/>
      <c r="E231" s="329">
        <f>GETPIVOTDATA("Net Dwellings",Pivots!$B$307,"Ward","St. Margarets and North Twickenham")</f>
        <v>5</v>
      </c>
      <c r="F231" s="327">
        <f>GETPIVOTDATA("Net Dwellings",Pivots!$E$307,"Ward","St. Margarets and North Twickenham")</f>
        <v>301</v>
      </c>
      <c r="G231" s="329">
        <f>GETPIVOTDATA("Net Dwellings",Pivots!$H$307,"Ward","St. Margarets and North Twickenham")</f>
        <v>11</v>
      </c>
      <c r="H231" s="187"/>
      <c r="I231" s="187"/>
      <c r="J231" s="187"/>
      <c r="K231" s="187"/>
      <c r="L231" s="9"/>
      <c r="M231" s="9"/>
      <c r="N231" s="9"/>
      <c r="O231" s="9"/>
      <c r="P231" s="9"/>
      <c r="Q231" s="9"/>
      <c r="R231" s="108"/>
      <c r="S231" s="7"/>
      <c r="T231" s="10"/>
      <c r="U231" s="10"/>
      <c r="V231" s="10"/>
      <c r="W231" s="10"/>
      <c r="X231" s="10"/>
      <c r="Y231" s="10"/>
      <c r="Z231" s="10"/>
      <c r="AA231" s="10"/>
      <c r="AB231" s="10"/>
      <c r="AC231" s="7"/>
      <c r="AD231" s="7"/>
      <c r="AJ231" s="149"/>
      <c r="AK231" s="149"/>
      <c r="AL231" s="149"/>
      <c r="AM231" s="149"/>
    </row>
    <row r="232" spans="1:39" x14ac:dyDescent="0.2">
      <c r="A232" s="10"/>
      <c r="B232" s="400" t="s">
        <v>1215</v>
      </c>
      <c r="C232" s="401"/>
      <c r="D232" s="401"/>
      <c r="E232" s="329">
        <f>GETPIVOTDATA("Net Dwellings",Pivots!$B$307,"Ward","Teddington")</f>
        <v>35</v>
      </c>
      <c r="F232" s="327">
        <f>GETPIVOTDATA("Net Dwellings",Pivots!$E$307,"Ward","Teddington")</f>
        <v>184</v>
      </c>
      <c r="G232" s="329">
        <f>GETPIVOTDATA("Net Dwellings",Pivots!$H$307,"Ward","Teddington")</f>
        <v>79</v>
      </c>
      <c r="H232" s="187"/>
      <c r="I232" s="187"/>
      <c r="J232" s="187"/>
      <c r="K232" s="187"/>
      <c r="L232" s="9"/>
      <c r="M232" s="9"/>
      <c r="N232" s="9"/>
      <c r="O232" s="9"/>
      <c r="P232" s="9"/>
      <c r="Q232" s="9"/>
      <c r="R232" s="108"/>
      <c r="S232" s="7"/>
      <c r="T232" s="10"/>
      <c r="U232" s="10"/>
      <c r="V232" s="10"/>
      <c r="W232" s="10"/>
      <c r="X232" s="10"/>
      <c r="Y232" s="10"/>
      <c r="Z232" s="10"/>
      <c r="AA232" s="10"/>
      <c r="AB232" s="10"/>
      <c r="AC232" s="7"/>
      <c r="AD232" s="7"/>
      <c r="AJ232" s="149"/>
      <c r="AK232" s="149"/>
      <c r="AL232" s="149"/>
      <c r="AM232" s="149"/>
    </row>
    <row r="233" spans="1:39" x14ac:dyDescent="0.2">
      <c r="A233" s="10"/>
      <c r="B233" s="400" t="s">
        <v>1238</v>
      </c>
      <c r="C233" s="401"/>
      <c r="D233" s="401"/>
      <c r="E233" s="329">
        <f>GETPIVOTDATA("Net Dwellings",Pivots!$B$307,"Ward","Twickenham Riverside")</f>
        <v>22</v>
      </c>
      <c r="F233" s="327">
        <f>GETPIVOTDATA("Net Dwellings",Pivots!$E$307,"Ward","Twickenham Riverside")</f>
        <v>6</v>
      </c>
      <c r="G233" s="329">
        <f>GETPIVOTDATA("Net Dwellings",Pivots!$H$307,"Ward","Twickenham Riverside")</f>
        <v>53</v>
      </c>
      <c r="H233" s="187"/>
      <c r="I233" s="187"/>
      <c r="J233" s="187"/>
      <c r="K233" s="187"/>
      <c r="L233" s="9"/>
      <c r="M233" s="9"/>
      <c r="N233" s="9"/>
      <c r="O233" s="9"/>
      <c r="P233" s="9"/>
      <c r="Q233" s="9"/>
      <c r="R233" s="108"/>
      <c r="S233" s="7"/>
      <c r="T233" s="10"/>
      <c r="U233" s="10"/>
      <c r="V233" s="10"/>
      <c r="W233" s="10"/>
      <c r="X233" s="10"/>
      <c r="Y233" s="10"/>
      <c r="Z233" s="10"/>
      <c r="AA233" s="10"/>
      <c r="AB233" s="10"/>
      <c r="AC233" s="7"/>
      <c r="AD233" s="7"/>
      <c r="AJ233" s="149"/>
      <c r="AK233" s="149"/>
      <c r="AL233" s="149"/>
      <c r="AM233" s="149"/>
    </row>
    <row r="234" spans="1:39" x14ac:dyDescent="0.2">
      <c r="A234" s="10"/>
      <c r="B234" s="400" t="s">
        <v>1239</v>
      </c>
      <c r="C234" s="401"/>
      <c r="D234" s="401"/>
      <c r="E234" s="329">
        <f>GETPIVOTDATA("Net Dwellings",Pivots!$B$307,"Ward","West Twickenham")</f>
        <v>6</v>
      </c>
      <c r="F234" s="327">
        <f>GETPIVOTDATA("Net Dwellings",Pivots!$E$307,"Ward","West Twickenham")</f>
        <v>3</v>
      </c>
      <c r="G234" s="329">
        <f>GETPIVOTDATA("Net Dwellings",Pivots!$H$307,"Ward","West Twickenham")</f>
        <v>11</v>
      </c>
      <c r="H234" s="187"/>
      <c r="I234" s="187"/>
      <c r="J234" s="187"/>
      <c r="K234" s="187"/>
      <c r="L234" s="9"/>
      <c r="M234" s="9"/>
      <c r="N234" s="9"/>
      <c r="O234" s="9"/>
      <c r="P234" s="9"/>
      <c r="Q234" s="9"/>
      <c r="R234" s="108"/>
      <c r="S234" s="7"/>
      <c r="T234" s="10"/>
      <c r="U234" s="10"/>
      <c r="V234" s="10"/>
      <c r="W234" s="10"/>
      <c r="X234" s="10"/>
      <c r="Y234" s="10"/>
      <c r="Z234" s="10"/>
      <c r="AA234" s="10"/>
      <c r="AB234" s="10"/>
      <c r="AC234" s="7"/>
      <c r="AD234" s="7"/>
      <c r="AJ234" s="149"/>
      <c r="AK234" s="149"/>
      <c r="AL234" s="149"/>
      <c r="AM234" s="149"/>
    </row>
    <row r="235" spans="1:39" x14ac:dyDescent="0.2">
      <c r="A235" s="10"/>
      <c r="B235" s="400" t="s">
        <v>1219</v>
      </c>
      <c r="C235" s="401"/>
      <c r="D235" s="401"/>
      <c r="E235" s="329">
        <f>GETPIVOTDATA("Net Dwellings",Pivots!$B$307,"Ward","Whitton")</f>
        <v>0</v>
      </c>
      <c r="F235" s="327">
        <f>GETPIVOTDATA("Net Dwellings",Pivots!$E$307,"Ward","Whitton")</f>
        <v>4</v>
      </c>
      <c r="G235" s="329">
        <f>GETPIVOTDATA("Net Dwellings",Pivots!$H$307,"Ward","Whitton")</f>
        <v>9</v>
      </c>
      <c r="H235" s="187"/>
      <c r="I235" s="187"/>
      <c r="J235" s="187"/>
      <c r="K235" s="187"/>
      <c r="L235" s="9"/>
      <c r="M235" s="9"/>
      <c r="N235" s="9"/>
      <c r="O235" s="9"/>
      <c r="P235" s="9"/>
      <c r="Q235" s="9"/>
      <c r="R235" s="108"/>
      <c r="S235" s="7"/>
      <c r="T235" s="10"/>
      <c r="U235" s="10"/>
      <c r="V235" s="10"/>
      <c r="W235" s="10"/>
      <c r="X235" s="10"/>
      <c r="Y235" s="10"/>
      <c r="Z235" s="10"/>
      <c r="AA235" s="10"/>
      <c r="AB235" s="10"/>
      <c r="AC235" s="7"/>
      <c r="AD235" s="7"/>
      <c r="AJ235" s="149"/>
      <c r="AK235" s="149"/>
      <c r="AL235" s="149"/>
      <c r="AM235" s="149"/>
    </row>
    <row r="236" spans="1:39" x14ac:dyDescent="0.2">
      <c r="A236" s="10"/>
      <c r="B236" s="398" t="s">
        <v>1061</v>
      </c>
      <c r="C236" s="399"/>
      <c r="D236" s="399"/>
      <c r="E236" s="180">
        <f>SUM(E218:E235)</f>
        <v>314</v>
      </c>
      <c r="F236" s="180">
        <f>SUM(F218:F235)</f>
        <v>709</v>
      </c>
      <c r="G236" s="192">
        <f>SUM(G218:G235)</f>
        <v>419</v>
      </c>
      <c r="H236" s="187"/>
      <c r="I236" s="187"/>
      <c r="J236" s="187"/>
      <c r="K236" s="187"/>
      <c r="L236" s="9"/>
      <c r="M236" s="9"/>
      <c r="N236" s="9"/>
      <c r="O236" s="9"/>
      <c r="P236" s="9"/>
      <c r="Q236" s="9"/>
      <c r="R236" s="108"/>
      <c r="S236" s="7"/>
      <c r="T236" s="10"/>
      <c r="U236" s="10"/>
      <c r="V236" s="10"/>
      <c r="W236" s="10"/>
      <c r="X236" s="10"/>
      <c r="Y236" s="10"/>
      <c r="Z236" s="10"/>
      <c r="AA236" s="10"/>
      <c r="AB236" s="10"/>
      <c r="AC236" s="7"/>
      <c r="AD236" s="7"/>
      <c r="AJ236" s="149"/>
      <c r="AK236" s="149"/>
      <c r="AL236" s="149"/>
      <c r="AM236" s="149"/>
    </row>
    <row r="237" spans="1:39" x14ac:dyDescent="0.2">
      <c r="A237" s="10"/>
      <c r="B237" s="193"/>
      <c r="C237" s="194"/>
      <c r="D237" s="194"/>
      <c r="E237" s="181"/>
      <c r="F237" s="181"/>
      <c r="G237" s="182"/>
      <c r="H237" s="195"/>
      <c r="I237" s="195"/>
      <c r="J237" s="195"/>
      <c r="K237" s="195"/>
      <c r="L237" s="17"/>
      <c r="M237" s="17"/>
      <c r="N237" s="17"/>
      <c r="O237" s="17"/>
      <c r="P237" s="17"/>
      <c r="Q237" s="17"/>
      <c r="R237" s="196"/>
      <c r="S237" s="7"/>
      <c r="T237" s="10"/>
      <c r="U237" s="10"/>
      <c r="V237" s="10"/>
      <c r="W237" s="10"/>
      <c r="X237" s="10"/>
      <c r="Y237" s="10"/>
      <c r="Z237" s="10"/>
      <c r="AA237" s="10"/>
      <c r="AB237" s="10"/>
      <c r="AC237" s="7"/>
      <c r="AD237" s="7"/>
      <c r="AE237" s="149"/>
      <c r="AF237" s="149"/>
      <c r="AG237" s="149"/>
      <c r="AH237" s="149"/>
      <c r="AI237" s="149"/>
      <c r="AJ237" s="149"/>
      <c r="AK237" s="149"/>
      <c r="AL237" s="149"/>
      <c r="AM237" s="149"/>
    </row>
    <row r="238" spans="1:39" x14ac:dyDescent="0.2">
      <c r="A238" s="10"/>
      <c r="B238" s="193"/>
      <c r="C238" s="194"/>
      <c r="D238" s="194"/>
      <c r="E238" s="181"/>
      <c r="F238" s="181"/>
      <c r="G238" s="182"/>
      <c r="H238" s="195"/>
      <c r="I238" s="195"/>
      <c r="J238" s="195"/>
      <c r="K238" s="195"/>
      <c r="L238" s="17"/>
      <c r="M238" s="17"/>
      <c r="N238" s="17"/>
      <c r="O238" s="17"/>
      <c r="P238" s="17"/>
      <c r="Q238" s="17"/>
      <c r="R238" s="196"/>
      <c r="S238" s="7"/>
      <c r="T238" s="10"/>
      <c r="U238" s="10"/>
      <c r="V238" s="10"/>
      <c r="W238" s="10"/>
      <c r="X238" s="10"/>
      <c r="Y238" s="10"/>
      <c r="Z238" s="10"/>
      <c r="AA238" s="10"/>
      <c r="AB238" s="10"/>
      <c r="AC238" s="10"/>
      <c r="AD238" s="10"/>
    </row>
    <row r="239" spans="1:39" x14ac:dyDescent="0.2">
      <c r="A239" s="10"/>
      <c r="B239" s="197"/>
      <c r="C239" s="198"/>
      <c r="D239" s="198"/>
      <c r="E239" s="199"/>
      <c r="F239" s="199"/>
      <c r="G239" s="200"/>
      <c r="H239" s="201"/>
      <c r="I239" s="201"/>
      <c r="J239" s="201"/>
      <c r="K239" s="201"/>
      <c r="L239" s="117"/>
      <c r="M239" s="117"/>
      <c r="N239" s="117"/>
      <c r="O239" s="117"/>
      <c r="P239" s="117"/>
      <c r="Q239" s="117"/>
      <c r="R239" s="202"/>
      <c r="S239" s="7"/>
      <c r="T239" s="10"/>
      <c r="U239" s="10"/>
      <c r="V239" s="10"/>
      <c r="W239" s="10"/>
      <c r="X239" s="10"/>
      <c r="Y239" s="10"/>
      <c r="Z239" s="10"/>
      <c r="AA239" s="10"/>
      <c r="AB239" s="10"/>
      <c r="AC239" s="10"/>
      <c r="AD239" s="10"/>
    </row>
    <row r="240" spans="1:39" x14ac:dyDescent="0.2">
      <c r="A240" s="10"/>
      <c r="B240" s="193"/>
      <c r="C240" s="203"/>
      <c r="D240" s="204"/>
      <c r="E240" s="204"/>
      <c r="F240" s="204"/>
      <c r="G240" s="204"/>
      <c r="H240" s="204"/>
      <c r="I240" s="204"/>
      <c r="J240" s="204"/>
      <c r="K240" s="204"/>
      <c r="L240" s="204"/>
      <c r="M240" s="9"/>
      <c r="N240" s="9"/>
      <c r="O240" s="9"/>
      <c r="P240" s="9"/>
      <c r="Q240" s="7"/>
      <c r="R240" s="108"/>
      <c r="S240" s="7"/>
      <c r="T240" s="10"/>
      <c r="U240" s="147"/>
      <c r="V240" s="147"/>
      <c r="W240" s="147"/>
      <c r="X240" s="147"/>
      <c r="Y240" s="10"/>
      <c r="Z240" s="10"/>
      <c r="AA240" s="10"/>
      <c r="AB240" s="10"/>
      <c r="AC240" s="10"/>
      <c r="AD240" s="10"/>
    </row>
    <row r="241" spans="1:30" x14ac:dyDescent="0.2">
      <c r="A241" s="10"/>
      <c r="B241" s="193"/>
      <c r="C241" s="185"/>
      <c r="D241" s="186"/>
      <c r="E241" s="187"/>
      <c r="F241" s="187"/>
      <c r="G241" s="187"/>
      <c r="H241" s="187"/>
      <c r="I241" s="187"/>
      <c r="J241" s="187"/>
      <c r="K241" s="9"/>
      <c r="L241" s="9"/>
      <c r="M241" s="9"/>
      <c r="N241" s="9"/>
      <c r="O241" s="9"/>
      <c r="P241" s="9"/>
      <c r="Q241" s="7"/>
      <c r="R241" s="196"/>
      <c r="S241" s="7"/>
      <c r="T241" s="10"/>
      <c r="U241" s="147"/>
      <c r="V241" s="147"/>
      <c r="W241" s="147"/>
      <c r="X241" s="147"/>
      <c r="Y241" s="10"/>
      <c r="Z241" s="10"/>
      <c r="AA241" s="10"/>
      <c r="AB241" s="10"/>
      <c r="AC241" s="10"/>
      <c r="AD241" s="10"/>
    </row>
    <row r="242" spans="1:30" x14ac:dyDescent="0.2">
      <c r="A242" s="10"/>
      <c r="B242" s="188" t="s">
        <v>1240</v>
      </c>
      <c r="C242" s="189" t="s">
        <v>1453</v>
      </c>
      <c r="D242" s="186"/>
      <c r="E242" s="187"/>
      <c r="F242" s="187"/>
      <c r="G242" s="187"/>
      <c r="H242" s="187"/>
      <c r="I242" s="187"/>
      <c r="J242" s="187"/>
      <c r="K242" s="9"/>
      <c r="L242" s="9"/>
      <c r="M242" s="9"/>
      <c r="N242" s="9"/>
      <c r="O242" s="9"/>
      <c r="P242" s="9"/>
      <c r="Q242" s="7"/>
      <c r="R242" s="108"/>
      <c r="S242" s="7"/>
      <c r="T242" s="10"/>
      <c r="U242" s="147"/>
      <c r="V242" s="147"/>
      <c r="W242" s="147"/>
      <c r="X242" s="147"/>
      <c r="Y242" s="10"/>
      <c r="Z242" s="10"/>
      <c r="AA242" s="10"/>
      <c r="AB242" s="10"/>
      <c r="AC242" s="10"/>
      <c r="AD242" s="10"/>
    </row>
    <row r="243" spans="1:30" x14ac:dyDescent="0.2">
      <c r="A243" s="10"/>
      <c r="B243" s="402" t="s">
        <v>1224</v>
      </c>
      <c r="C243" s="403"/>
      <c r="D243" s="403"/>
      <c r="E243" s="205" t="s">
        <v>1241</v>
      </c>
      <c r="F243" s="205" t="s">
        <v>1242</v>
      </c>
      <c r="G243" s="205" t="s">
        <v>1243</v>
      </c>
      <c r="H243" s="187"/>
      <c r="I243" s="187"/>
      <c r="J243" s="187"/>
      <c r="K243" s="9"/>
      <c r="L243" s="9"/>
      <c r="M243" s="9"/>
      <c r="N243" s="9"/>
      <c r="O243" s="9"/>
      <c r="P243" s="9"/>
      <c r="Q243" s="7"/>
      <c r="R243" s="108"/>
      <c r="S243" s="7"/>
      <c r="T243" s="10"/>
      <c r="U243" s="147"/>
      <c r="V243" s="147"/>
      <c r="W243" s="147"/>
      <c r="X243" s="147"/>
      <c r="Y243" s="10"/>
      <c r="Z243" s="10"/>
      <c r="AA243" s="10"/>
      <c r="AB243" s="10"/>
      <c r="AC243" s="10"/>
      <c r="AD243" s="10"/>
    </row>
    <row r="244" spans="1:30" x14ac:dyDescent="0.2">
      <c r="A244" s="10"/>
      <c r="B244" s="396" t="s">
        <v>1225</v>
      </c>
      <c r="C244" s="397"/>
      <c r="D244" s="397"/>
      <c r="E244" s="327">
        <f>GETPIVOTDATA("Sum of Units Proposed",Pivots!$B$334,"Ward","Barnes")</f>
        <v>11</v>
      </c>
      <c r="F244" s="329">
        <f>GETPIVOTDATA("Sum of Units Existing",Pivots!$B$334,"Ward","Barnes")</f>
        <v>10</v>
      </c>
      <c r="G244" s="329">
        <f>GETPIVOTDATA("Sum of Net Dwellings",Pivots!$B$334,"Ward","Barnes")</f>
        <v>1</v>
      </c>
      <c r="H244" s="187"/>
      <c r="I244" s="187"/>
      <c r="J244" s="187"/>
      <c r="K244" s="9"/>
      <c r="L244" s="9"/>
      <c r="M244" s="9"/>
      <c r="N244" s="9"/>
      <c r="O244" s="9"/>
      <c r="P244" s="9"/>
      <c r="Q244" s="7"/>
      <c r="R244" s="108"/>
      <c r="S244" s="7"/>
      <c r="T244" s="10"/>
      <c r="U244" s="147"/>
      <c r="V244" s="147"/>
      <c r="W244" s="147"/>
      <c r="X244" s="10"/>
      <c r="Y244" s="7"/>
      <c r="Z244" s="10"/>
      <c r="AA244" s="10"/>
      <c r="AB244" s="10"/>
      <c r="AC244" s="10"/>
      <c r="AD244" s="10"/>
    </row>
    <row r="245" spans="1:30" x14ac:dyDescent="0.2">
      <c r="A245" s="10"/>
      <c r="B245" s="396" t="s">
        <v>1212</v>
      </c>
      <c r="C245" s="397"/>
      <c r="D245" s="397"/>
      <c r="E245" s="327">
        <f>GETPIVOTDATA("Sum of Units Proposed",Pivots!$B$334,"Ward","East Sheen")</f>
        <v>17</v>
      </c>
      <c r="F245" s="329">
        <f>GETPIVOTDATA("Sum of Units Existing",Pivots!$B$334,"Ward","East Sheen")</f>
        <v>3</v>
      </c>
      <c r="G245" s="329">
        <f>GETPIVOTDATA("Sum of Net Dwellings",Pivots!$B$334,"Ward","East Sheen")</f>
        <v>14</v>
      </c>
      <c r="H245" s="187"/>
      <c r="I245" s="187"/>
      <c r="J245" s="187"/>
      <c r="K245" s="9"/>
      <c r="L245" s="9"/>
      <c r="M245" s="9"/>
      <c r="N245" s="9"/>
      <c r="O245" s="9"/>
      <c r="P245" s="9"/>
      <c r="Q245" s="7"/>
      <c r="R245" s="108"/>
      <c r="S245" s="7"/>
      <c r="T245" s="10"/>
      <c r="U245" s="206"/>
      <c r="V245" s="206"/>
      <c r="W245" s="47"/>
      <c r="X245" s="7"/>
      <c r="Y245" s="7"/>
      <c r="Z245" s="10"/>
      <c r="AA245" s="10"/>
      <c r="AB245" s="10"/>
      <c r="AC245" s="10"/>
      <c r="AD245" s="10"/>
    </row>
    <row r="246" spans="1:30" x14ac:dyDescent="0.2">
      <c r="A246" s="10"/>
      <c r="B246" s="396" t="s">
        <v>1226</v>
      </c>
      <c r="C246" s="397"/>
      <c r="D246" s="397"/>
      <c r="E246" s="327">
        <f>GETPIVOTDATA("Sum of Units Proposed",Pivots!$B$334,"Ward","Fulwell and Hampton Hill")</f>
        <v>47</v>
      </c>
      <c r="F246" s="329">
        <f>GETPIVOTDATA("Sum of Units Existing",Pivots!$B$334,"Ward","Fulwell and Hampton Hill")</f>
        <v>4</v>
      </c>
      <c r="G246" s="329">
        <f>GETPIVOTDATA("Sum of Net Dwellings",Pivots!$B$334,"Ward","Fulwell and Hampton Hill")</f>
        <v>43</v>
      </c>
      <c r="H246" s="187"/>
      <c r="I246" s="187"/>
      <c r="J246" s="187"/>
      <c r="K246" s="9"/>
      <c r="L246" s="9"/>
      <c r="M246" s="9"/>
      <c r="N246" s="9"/>
      <c r="O246" s="9"/>
      <c r="P246" s="9"/>
      <c r="Q246" s="7"/>
      <c r="R246" s="108"/>
      <c r="S246" s="7"/>
      <c r="T246" s="10"/>
      <c r="U246" s="206"/>
      <c r="V246" s="206"/>
      <c r="W246" s="47"/>
      <c r="X246" s="7"/>
      <c r="Y246" s="7"/>
      <c r="Z246" s="10"/>
      <c r="AA246" s="10"/>
      <c r="AB246" s="10"/>
      <c r="AC246" s="10"/>
      <c r="AD246" s="10"/>
    </row>
    <row r="247" spans="1:30" x14ac:dyDescent="0.2">
      <c r="A247" s="10"/>
      <c r="B247" s="396" t="s">
        <v>1227</v>
      </c>
      <c r="C247" s="397"/>
      <c r="D247" s="397"/>
      <c r="E247" s="327">
        <f>GETPIVOTDATA("Sum of Units Proposed",Pivots!$B$334,"Ward","Ham, Petersham and Richmond Riverside")</f>
        <v>105</v>
      </c>
      <c r="F247" s="329">
        <f>GETPIVOTDATA("Sum of Units Existing",Pivots!$B$334,"Ward","Ham, Petersham and Richmond Riverside")</f>
        <v>3</v>
      </c>
      <c r="G247" s="329">
        <f>GETPIVOTDATA("Sum of Net Dwellings",Pivots!$B$334,"Ward","Ham, Petersham and Richmond Riverside")</f>
        <v>102</v>
      </c>
      <c r="H247" s="187"/>
      <c r="I247" s="187"/>
      <c r="J247" s="187"/>
      <c r="K247" s="9"/>
      <c r="L247" s="9"/>
      <c r="M247" s="9"/>
      <c r="N247" s="9"/>
      <c r="O247" s="9"/>
      <c r="P247" s="9"/>
      <c r="Q247" s="7"/>
      <c r="R247" s="108"/>
      <c r="S247" s="7"/>
      <c r="T247" s="147"/>
      <c r="U247" s="206"/>
      <c r="V247" s="206"/>
      <c r="W247" s="47"/>
      <c r="X247" s="7"/>
      <c r="Y247" s="7"/>
      <c r="Z247" s="10"/>
      <c r="AA247" s="10"/>
      <c r="AB247" s="10"/>
      <c r="AC247" s="10"/>
      <c r="AD247" s="10"/>
    </row>
    <row r="248" spans="1:30" x14ac:dyDescent="0.2">
      <c r="A248" s="10"/>
      <c r="B248" s="396" t="s">
        <v>1228</v>
      </c>
      <c r="C248" s="397"/>
      <c r="D248" s="397"/>
      <c r="E248" s="327">
        <f>GETPIVOTDATA("Sum of Units Proposed",Pivots!$B$334,"Ward","Hampton North")</f>
        <v>2</v>
      </c>
      <c r="F248" s="329">
        <f>GETPIVOTDATA("Sum of Units Existing",Pivots!$B$334,"Ward","Hampton North")</f>
        <v>2</v>
      </c>
      <c r="G248" s="329">
        <f>GETPIVOTDATA("Sum of Net Dwellings",Pivots!$B$334,"Ward","Hampton North")</f>
        <v>0</v>
      </c>
      <c r="H248" s="187"/>
      <c r="I248" s="187"/>
      <c r="J248" s="187"/>
      <c r="K248" s="9"/>
      <c r="L248" s="9"/>
      <c r="M248" s="9"/>
      <c r="N248" s="9"/>
      <c r="O248" s="9"/>
      <c r="P248" s="9"/>
      <c r="Q248" s="7"/>
      <c r="R248" s="108"/>
      <c r="S248" s="7"/>
      <c r="T248" s="206"/>
      <c r="U248" s="206"/>
      <c r="V248" s="206"/>
      <c r="W248" s="47"/>
      <c r="X248" s="7"/>
      <c r="Y248" s="7"/>
      <c r="Z248" s="10"/>
      <c r="AA248" s="10"/>
      <c r="AB248" s="10"/>
      <c r="AC248" s="10"/>
      <c r="AD248" s="10"/>
    </row>
    <row r="249" spans="1:30" x14ac:dyDescent="0.2">
      <c r="A249" s="10"/>
      <c r="B249" s="396" t="s">
        <v>1229</v>
      </c>
      <c r="C249" s="397"/>
      <c r="D249" s="397"/>
      <c r="E249" s="327">
        <f>GETPIVOTDATA("Sum of Units Proposed",Pivots!$B$334,"Ward","Hampton")</f>
        <v>16</v>
      </c>
      <c r="F249" s="329">
        <f>GETPIVOTDATA("Sum of Units Existing",Pivots!$B$334,"Ward","Hampton")</f>
        <v>5</v>
      </c>
      <c r="G249" s="329">
        <f>GETPIVOTDATA("Sum of Net Dwellings",Pivots!$B$334,"Ward","Hampton")</f>
        <v>11</v>
      </c>
      <c r="H249" s="187"/>
      <c r="I249" s="187"/>
      <c r="J249" s="187"/>
      <c r="K249" s="9"/>
      <c r="L249" s="9"/>
      <c r="M249" s="9"/>
      <c r="N249" s="9"/>
      <c r="O249" s="9"/>
      <c r="P249" s="9"/>
      <c r="Q249" s="7"/>
      <c r="R249" s="108"/>
      <c r="S249" s="7"/>
      <c r="T249" s="206"/>
      <c r="U249" s="206"/>
      <c r="V249" s="206"/>
      <c r="W249" s="47"/>
      <c r="X249" s="7"/>
      <c r="Y249" s="7"/>
      <c r="Z249" s="10"/>
      <c r="AA249" s="10"/>
      <c r="AB249" s="10"/>
      <c r="AC249" s="10"/>
      <c r="AD249" s="10"/>
    </row>
    <row r="250" spans="1:30" x14ac:dyDescent="0.2">
      <c r="A250" s="10"/>
      <c r="B250" s="396" t="s">
        <v>1230</v>
      </c>
      <c r="C250" s="397"/>
      <c r="D250" s="397"/>
      <c r="E250" s="327">
        <f>GETPIVOTDATA("Sum of Units Proposed",Pivots!$B$334,"Ward","Hampton Wick")</f>
        <v>15</v>
      </c>
      <c r="F250" s="329">
        <f>GETPIVOTDATA("Sum of Units Existing",Pivots!$B$334,"Ward","Hampton Wick")</f>
        <v>7</v>
      </c>
      <c r="G250" s="329">
        <f>GETPIVOTDATA("Sum of Net Dwellings",Pivots!$B$334,"Ward","Hampton Wick")</f>
        <v>8</v>
      </c>
      <c r="H250" s="187"/>
      <c r="I250" s="187"/>
      <c r="J250" s="187"/>
      <c r="K250" s="9"/>
      <c r="L250" s="9"/>
      <c r="M250" s="9"/>
      <c r="N250" s="9"/>
      <c r="O250" s="9"/>
      <c r="P250" s="9"/>
      <c r="Q250" s="7"/>
      <c r="R250" s="108"/>
      <c r="S250" s="7"/>
      <c r="T250" s="206"/>
      <c r="U250" s="206"/>
      <c r="V250" s="206"/>
      <c r="W250" s="47"/>
      <c r="X250" s="7"/>
      <c r="Y250" s="7"/>
      <c r="Z250" s="10"/>
      <c r="AA250" s="10"/>
      <c r="AB250" s="10"/>
      <c r="AC250" s="10"/>
      <c r="AD250" s="10"/>
    </row>
    <row r="251" spans="1:30" x14ac:dyDescent="0.2">
      <c r="A251" s="10"/>
      <c r="B251" s="396" t="s">
        <v>1231</v>
      </c>
      <c r="C251" s="397"/>
      <c r="D251" s="397"/>
      <c r="E251" s="327">
        <f>GETPIVOTDATA("Sum of Units Proposed",Pivots!$B$334,"Ward","Heathfield")</f>
        <v>6</v>
      </c>
      <c r="F251" s="329">
        <f>GETPIVOTDATA("Sum of Units Existing",Pivots!$B$334,"Ward","Heathfield")</f>
        <v>3</v>
      </c>
      <c r="G251" s="329">
        <f>GETPIVOTDATA("Sum of Net Dwellings",Pivots!$B$334,"Ward","Heathfield")</f>
        <v>3</v>
      </c>
      <c r="H251" s="187"/>
      <c r="I251" s="187"/>
      <c r="J251" s="187"/>
      <c r="K251" s="9"/>
      <c r="L251" s="9"/>
      <c r="M251" s="9"/>
      <c r="N251" s="9"/>
      <c r="O251" s="9"/>
      <c r="P251" s="9"/>
      <c r="Q251" s="7"/>
      <c r="R251" s="108"/>
      <c r="S251" s="7"/>
      <c r="T251" s="206"/>
      <c r="U251" s="206"/>
      <c r="V251" s="206"/>
      <c r="W251" s="47"/>
      <c r="X251" s="7"/>
      <c r="Y251" s="7"/>
      <c r="Z251" s="10"/>
      <c r="AA251" s="10"/>
      <c r="AB251" s="10"/>
      <c r="AC251" s="10"/>
      <c r="AD251" s="10"/>
    </row>
    <row r="252" spans="1:30" x14ac:dyDescent="0.2">
      <c r="A252" s="10"/>
      <c r="B252" s="396" t="s">
        <v>1232</v>
      </c>
      <c r="C252" s="397"/>
      <c r="D252" s="397"/>
      <c r="E252" s="327">
        <f>GETPIVOTDATA("Sum of Units Proposed",Pivots!$B$334,"Ward","Kew")</f>
        <v>43</v>
      </c>
      <c r="F252" s="329">
        <f>GETPIVOTDATA("Sum of Units Existing",Pivots!$B$334,"Ward","Kew")</f>
        <v>3</v>
      </c>
      <c r="G252" s="329">
        <f>GETPIVOTDATA("Sum of Net Dwellings",Pivots!$B$334,"Ward","Kew")</f>
        <v>40</v>
      </c>
      <c r="H252" s="187"/>
      <c r="I252" s="187"/>
      <c r="J252" s="187"/>
      <c r="K252" s="9"/>
      <c r="L252" s="9"/>
      <c r="M252" s="9"/>
      <c r="N252" s="9"/>
      <c r="O252" s="9"/>
      <c r="P252" s="9"/>
      <c r="Q252" s="7"/>
      <c r="R252" s="108"/>
      <c r="S252" s="7"/>
      <c r="T252" s="206"/>
      <c r="U252" s="206"/>
      <c r="V252" s="206"/>
      <c r="W252" s="47"/>
      <c r="X252" s="7"/>
      <c r="Y252" s="7"/>
      <c r="Z252" s="10"/>
      <c r="AA252" s="10"/>
      <c r="AB252" s="10"/>
      <c r="AC252" s="10"/>
      <c r="AD252" s="10"/>
    </row>
    <row r="253" spans="1:30" x14ac:dyDescent="0.2">
      <c r="A253" s="10"/>
      <c r="B253" s="396" t="s">
        <v>1233</v>
      </c>
      <c r="C253" s="397"/>
      <c r="D253" s="397"/>
      <c r="E253" s="327">
        <f>GETPIVOTDATA("Sum of Units Proposed",Pivots!$B$334,"Ward","Mortlake and Barnes Common")</f>
        <v>27</v>
      </c>
      <c r="F253" s="329">
        <f>GETPIVOTDATA("Sum of Units Existing",Pivots!$B$334,"Ward","Mortlake and Barnes Common")</f>
        <v>5</v>
      </c>
      <c r="G253" s="329">
        <f>GETPIVOTDATA("Sum of Net Dwellings",Pivots!$B$334,"Ward","Mortlake and Barnes Common")</f>
        <v>22</v>
      </c>
      <c r="H253" s="187"/>
      <c r="I253" s="187"/>
      <c r="J253" s="187"/>
      <c r="K253" s="9"/>
      <c r="L253" s="9"/>
      <c r="M253" s="9"/>
      <c r="N253" s="9"/>
      <c r="O253" s="9"/>
      <c r="P253" s="9"/>
      <c r="Q253" s="7"/>
      <c r="R253" s="108"/>
      <c r="S253" s="7"/>
      <c r="T253" s="206"/>
      <c r="U253" s="206"/>
      <c r="V253" s="206"/>
      <c r="W253" s="47"/>
      <c r="X253" s="7"/>
      <c r="Y253" s="7"/>
      <c r="Z253" s="10"/>
      <c r="AA253" s="10"/>
      <c r="AB253" s="10"/>
      <c r="AC253" s="10"/>
      <c r="AD253" s="10"/>
    </row>
    <row r="254" spans="1:30" x14ac:dyDescent="0.2">
      <c r="A254" s="10"/>
      <c r="B254" s="396" t="s">
        <v>1234</v>
      </c>
      <c r="C254" s="397"/>
      <c r="D254" s="397"/>
      <c r="E254" s="327">
        <f>GETPIVOTDATA("Sum of Units Proposed",Pivots!$B$334,"Ward","North Richmond")</f>
        <v>5</v>
      </c>
      <c r="F254" s="329">
        <f>GETPIVOTDATA("Sum of Units Existing",Pivots!$B$334,"Ward","North Richmond")</f>
        <v>3</v>
      </c>
      <c r="G254" s="329">
        <f>GETPIVOTDATA("Sum of Net Dwellings",Pivots!$B$334,"Ward","North Richmond")</f>
        <v>2</v>
      </c>
      <c r="H254" s="187"/>
      <c r="I254" s="187"/>
      <c r="J254" s="187"/>
      <c r="K254" s="9"/>
      <c r="L254" s="9"/>
      <c r="M254" s="9"/>
      <c r="N254" s="9"/>
      <c r="O254" s="9"/>
      <c r="P254" s="9"/>
      <c r="Q254" s="7"/>
      <c r="R254" s="108"/>
      <c r="S254" s="7"/>
      <c r="T254" s="206"/>
      <c r="U254" s="206"/>
      <c r="V254" s="206"/>
      <c r="W254" s="47"/>
      <c r="X254" s="7"/>
      <c r="Y254" s="7"/>
      <c r="Z254" s="10"/>
      <c r="AA254" s="10"/>
      <c r="AB254" s="10"/>
      <c r="AC254" s="10"/>
      <c r="AD254" s="10"/>
    </row>
    <row r="255" spans="1:30" x14ac:dyDescent="0.2">
      <c r="A255" s="10"/>
      <c r="B255" s="396" t="s">
        <v>1235</v>
      </c>
      <c r="C255" s="397"/>
      <c r="D255" s="397"/>
      <c r="E255" s="327">
        <f>GETPIVOTDATA("Sum of Units Proposed",Pivots!$B$334,"Ward","South Richmond")</f>
        <v>23</v>
      </c>
      <c r="F255" s="329">
        <f>GETPIVOTDATA("Sum of Units Existing",Pivots!$B$334,"Ward","South Richmond")</f>
        <v>13</v>
      </c>
      <c r="G255" s="329">
        <f>GETPIVOTDATA("Sum of Net Dwellings",Pivots!$B$334,"Ward","South Richmond")</f>
        <v>10</v>
      </c>
      <c r="H255" s="187"/>
      <c r="I255" s="187"/>
      <c r="J255" s="187"/>
      <c r="K255" s="9"/>
      <c r="L255" s="9"/>
      <c r="M255" s="9"/>
      <c r="N255" s="9"/>
      <c r="O255" s="9"/>
      <c r="P255" s="9"/>
      <c r="Q255" s="7"/>
      <c r="R255" s="108"/>
      <c r="S255" s="7"/>
      <c r="T255" s="206"/>
      <c r="U255" s="206"/>
      <c r="V255" s="206"/>
      <c r="W255" s="47"/>
      <c r="X255" s="7"/>
      <c r="Y255" s="7"/>
      <c r="Z255" s="10"/>
      <c r="AA255" s="10"/>
      <c r="AB255" s="10"/>
      <c r="AC255" s="10"/>
      <c r="AD255" s="10"/>
    </row>
    <row r="256" spans="1:30" x14ac:dyDescent="0.2">
      <c r="A256" s="10"/>
      <c r="B256" s="396" t="s">
        <v>1236</v>
      </c>
      <c r="C256" s="397"/>
      <c r="D256" s="397"/>
      <c r="E256" s="327">
        <v>0</v>
      </c>
      <c r="F256" s="329">
        <v>0</v>
      </c>
      <c r="G256" s="329">
        <v>0</v>
      </c>
      <c r="H256" s="187"/>
      <c r="I256" s="187"/>
      <c r="J256" s="187"/>
      <c r="K256" s="9"/>
      <c r="L256" s="9"/>
      <c r="M256" s="9"/>
      <c r="N256" s="9"/>
      <c r="O256" s="9"/>
      <c r="P256" s="9"/>
      <c r="Q256" s="7"/>
      <c r="R256" s="108"/>
      <c r="S256" s="7"/>
      <c r="T256" s="206"/>
      <c r="U256" s="206"/>
      <c r="V256" s="206"/>
      <c r="W256" s="47"/>
      <c r="X256" s="7"/>
      <c r="Y256" s="7"/>
      <c r="Z256" s="10"/>
      <c r="AA256" s="10"/>
      <c r="AB256" s="10"/>
      <c r="AC256" s="10"/>
      <c r="AD256" s="10"/>
    </row>
    <row r="257" spans="1:30" x14ac:dyDescent="0.2">
      <c r="A257" s="10"/>
      <c r="B257" s="396" t="s">
        <v>1237</v>
      </c>
      <c r="C257" s="397"/>
      <c r="D257" s="397"/>
      <c r="E257" s="327">
        <f>GETPIVOTDATA("Sum of Units Proposed",Pivots!$B$334,"Ward","St. Margarets and North Twickenham")</f>
        <v>16</v>
      </c>
      <c r="F257" s="329">
        <f>GETPIVOTDATA("Sum of Units Existing",Pivots!$B$334,"Ward","St. Margarets and North Twickenham")</f>
        <v>5</v>
      </c>
      <c r="G257" s="329">
        <f>GETPIVOTDATA("Sum of Net Dwellings",Pivots!$B$334,"Ward","St. Margarets and North Twickenham")</f>
        <v>11</v>
      </c>
      <c r="H257" s="187"/>
      <c r="I257" s="187"/>
      <c r="J257" s="187"/>
      <c r="K257" s="9"/>
      <c r="L257" s="9"/>
      <c r="M257" s="9"/>
      <c r="N257" s="9"/>
      <c r="O257" s="9"/>
      <c r="P257" s="9"/>
      <c r="Q257" s="7"/>
      <c r="R257" s="108"/>
      <c r="S257" s="7"/>
      <c r="T257" s="206"/>
      <c r="U257" s="206"/>
      <c r="V257" s="206"/>
      <c r="W257" s="47"/>
      <c r="X257" s="7"/>
      <c r="Y257" s="7"/>
      <c r="Z257" s="10"/>
      <c r="AA257" s="10"/>
      <c r="AB257" s="10"/>
      <c r="AC257" s="10"/>
      <c r="AD257" s="10"/>
    </row>
    <row r="258" spans="1:30" x14ac:dyDescent="0.2">
      <c r="A258" s="10"/>
      <c r="B258" s="396" t="s">
        <v>1215</v>
      </c>
      <c r="C258" s="397"/>
      <c r="D258" s="397"/>
      <c r="E258" s="327">
        <f>GETPIVOTDATA("Sum of Units Proposed",Pivots!$B$334,"Ward","Teddington")</f>
        <v>80</v>
      </c>
      <c r="F258" s="329">
        <f>GETPIVOTDATA("Sum of Units Existing",Pivots!$B$334,"Ward","Teddington")</f>
        <v>1</v>
      </c>
      <c r="G258" s="329">
        <f>GETPIVOTDATA("Sum of Net Dwellings",Pivots!$B$334,"Ward","Teddington")</f>
        <v>79</v>
      </c>
      <c r="H258" s="187"/>
      <c r="I258" s="187"/>
      <c r="J258" s="187"/>
      <c r="K258" s="9"/>
      <c r="L258" s="9"/>
      <c r="M258" s="9"/>
      <c r="N258" s="9"/>
      <c r="O258" s="9"/>
      <c r="P258" s="9"/>
      <c r="Q258" s="7"/>
      <c r="R258" s="108"/>
      <c r="S258" s="7"/>
      <c r="T258" s="206"/>
      <c r="U258" s="206"/>
      <c r="V258" s="206"/>
      <c r="W258" s="47"/>
      <c r="X258" s="7"/>
      <c r="Y258" s="7"/>
      <c r="Z258" s="10"/>
      <c r="AA258" s="10"/>
      <c r="AB258" s="10"/>
      <c r="AC258" s="10"/>
      <c r="AD258" s="10"/>
    </row>
    <row r="259" spans="1:30" x14ac:dyDescent="0.2">
      <c r="A259" s="10"/>
      <c r="B259" s="396" t="s">
        <v>1238</v>
      </c>
      <c r="C259" s="397"/>
      <c r="D259" s="397"/>
      <c r="E259" s="327">
        <f>GETPIVOTDATA("Sum of Units Proposed",Pivots!$B$334,"Ward","Twickenham Riverside")</f>
        <v>56</v>
      </c>
      <c r="F259" s="329">
        <f>GETPIVOTDATA("Sum of Units Existing",Pivots!$B$334,"Ward","Twickenham Riverside")</f>
        <v>3</v>
      </c>
      <c r="G259" s="329">
        <f>GETPIVOTDATA("Sum of Net Dwellings",Pivots!$B$334,"Ward","Twickenham Riverside")</f>
        <v>53</v>
      </c>
      <c r="H259" s="187"/>
      <c r="I259" s="187"/>
      <c r="J259" s="187"/>
      <c r="K259" s="9"/>
      <c r="L259" s="9"/>
      <c r="M259" s="9"/>
      <c r="N259" s="9"/>
      <c r="O259" s="9"/>
      <c r="P259" s="9"/>
      <c r="Q259" s="7"/>
      <c r="R259" s="108"/>
      <c r="S259" s="7"/>
      <c r="T259" s="206"/>
      <c r="U259" s="206"/>
      <c r="V259" s="206"/>
      <c r="W259" s="47"/>
      <c r="X259" s="7"/>
      <c r="Y259" s="7"/>
      <c r="Z259" s="10"/>
      <c r="AA259" s="10"/>
      <c r="AB259" s="10"/>
      <c r="AC259" s="10"/>
      <c r="AD259" s="10"/>
    </row>
    <row r="260" spans="1:30" x14ac:dyDescent="0.2">
      <c r="A260" s="10"/>
      <c r="B260" s="396" t="s">
        <v>1239</v>
      </c>
      <c r="C260" s="397"/>
      <c r="D260" s="397"/>
      <c r="E260" s="327">
        <f>GETPIVOTDATA("Sum of Units Proposed",Pivots!$B$334,"Ward","West Twickenham")</f>
        <v>16</v>
      </c>
      <c r="F260" s="329">
        <f>GETPIVOTDATA("Sum of Units Existing",Pivots!$B$334,"Ward","West Twickenham")</f>
        <v>5</v>
      </c>
      <c r="G260" s="329">
        <f>GETPIVOTDATA("Sum of Net Dwellings",Pivots!$B$334,"Ward","West Twickenham")</f>
        <v>11</v>
      </c>
      <c r="H260" s="187"/>
      <c r="I260" s="187"/>
      <c r="J260" s="187"/>
      <c r="K260" s="9"/>
      <c r="L260" s="9"/>
      <c r="M260" s="9"/>
      <c r="N260" s="9"/>
      <c r="O260" s="9"/>
      <c r="P260" s="9"/>
      <c r="Q260" s="7"/>
      <c r="R260" s="108"/>
      <c r="S260" s="7"/>
      <c r="T260" s="206"/>
      <c r="U260" s="206"/>
      <c r="V260" s="206"/>
      <c r="W260" s="47"/>
      <c r="X260" s="7"/>
      <c r="Y260" s="7"/>
      <c r="Z260" s="10"/>
      <c r="AA260" s="10"/>
      <c r="AB260" s="10"/>
      <c r="AC260" s="10"/>
      <c r="AD260" s="10"/>
    </row>
    <row r="261" spans="1:30" x14ac:dyDescent="0.2">
      <c r="A261" s="10"/>
      <c r="B261" s="396" t="s">
        <v>1219</v>
      </c>
      <c r="C261" s="397"/>
      <c r="D261" s="397"/>
      <c r="E261" s="327">
        <f>GETPIVOTDATA("Sum of Units Proposed",Pivots!$B$334,"Ward","Whitton")</f>
        <v>11</v>
      </c>
      <c r="F261" s="329">
        <f>GETPIVOTDATA("Sum of Units Existing",Pivots!$B$334,"Ward","Whitton")</f>
        <v>2</v>
      </c>
      <c r="G261" s="329">
        <f>GETPIVOTDATA("Sum of Net Dwellings",Pivots!$B$334,"Ward","Whitton")</f>
        <v>9</v>
      </c>
      <c r="H261" s="187"/>
      <c r="I261" s="187"/>
      <c r="J261" s="187"/>
      <c r="K261" s="9"/>
      <c r="L261" s="9"/>
      <c r="M261" s="9"/>
      <c r="N261" s="9"/>
      <c r="O261" s="9"/>
      <c r="P261" s="9"/>
      <c r="Q261" s="7"/>
      <c r="R261" s="108"/>
      <c r="S261" s="7"/>
      <c r="T261" s="206"/>
      <c r="U261" s="206"/>
      <c r="V261" s="206"/>
      <c r="W261" s="47"/>
      <c r="X261" s="7"/>
      <c r="Y261" s="7"/>
      <c r="Z261" s="10"/>
      <c r="AA261" s="10"/>
      <c r="AB261" s="10"/>
      <c r="AC261" s="10"/>
      <c r="AD261" s="10"/>
    </row>
    <row r="262" spans="1:30" x14ac:dyDescent="0.2">
      <c r="A262" s="10"/>
      <c r="B262" s="398" t="s">
        <v>1061</v>
      </c>
      <c r="C262" s="399"/>
      <c r="D262" s="399"/>
      <c r="E262" s="180">
        <f>SUM(E244:E261)</f>
        <v>496</v>
      </c>
      <c r="F262" s="180">
        <f>SUM(F244:F261)</f>
        <v>77</v>
      </c>
      <c r="G262" s="180">
        <f>SUM(G244:G261)</f>
        <v>419</v>
      </c>
      <c r="H262" s="187"/>
      <c r="I262" s="187"/>
      <c r="J262" s="187"/>
      <c r="K262" s="9"/>
      <c r="L262" s="9"/>
      <c r="M262" s="9"/>
      <c r="N262" s="9"/>
      <c r="O262" s="9"/>
      <c r="P262" s="9"/>
      <c r="Q262" s="7"/>
      <c r="R262" s="108"/>
      <c r="S262" s="7"/>
      <c r="T262" s="206"/>
      <c r="U262" s="206"/>
      <c r="V262" s="206"/>
      <c r="W262" s="47"/>
      <c r="X262" s="7"/>
      <c r="Y262" s="7"/>
      <c r="Z262" s="10"/>
      <c r="AA262" s="10"/>
      <c r="AB262" s="10"/>
      <c r="AC262" s="10"/>
      <c r="AD262" s="10"/>
    </row>
    <row r="263" spans="1:30" x14ac:dyDescent="0.2">
      <c r="A263" s="10"/>
      <c r="B263" s="193"/>
      <c r="C263" s="194"/>
      <c r="D263" s="194"/>
      <c r="E263" s="181"/>
      <c r="F263" s="181"/>
      <c r="G263" s="181"/>
      <c r="H263" s="187"/>
      <c r="I263" s="187"/>
      <c r="J263" s="187"/>
      <c r="K263" s="9"/>
      <c r="L263" s="9"/>
      <c r="M263" s="9"/>
      <c r="N263" s="9"/>
      <c r="O263" s="9"/>
      <c r="P263" s="9"/>
      <c r="Q263" s="7"/>
      <c r="R263" s="108"/>
      <c r="S263" s="7"/>
      <c r="T263" s="206"/>
      <c r="U263" s="47"/>
      <c r="V263" s="47"/>
      <c r="W263" s="47"/>
      <c r="X263" s="7"/>
      <c r="Y263" s="10"/>
      <c r="Z263" s="10"/>
      <c r="AA263" s="10"/>
      <c r="AB263" s="10"/>
      <c r="AC263" s="10"/>
      <c r="AD263" s="10"/>
    </row>
    <row r="264" spans="1:30" x14ac:dyDescent="0.2">
      <c r="A264" s="10"/>
      <c r="B264" s="193"/>
      <c r="C264" s="194"/>
      <c r="D264" s="194"/>
      <c r="E264" s="181"/>
      <c r="F264" s="181"/>
      <c r="G264" s="181"/>
      <c r="H264" s="187"/>
      <c r="I264" s="187"/>
      <c r="J264" s="187"/>
      <c r="K264" s="9"/>
      <c r="L264" s="9"/>
      <c r="M264" s="9"/>
      <c r="N264" s="9"/>
      <c r="O264" s="9"/>
      <c r="P264" s="9"/>
      <c r="Q264" s="7"/>
      <c r="R264" s="108"/>
      <c r="S264" s="7"/>
      <c r="T264" s="206"/>
      <c r="U264" s="147"/>
      <c r="V264" s="147"/>
      <c r="W264" s="147"/>
      <c r="X264" s="147"/>
      <c r="Y264" s="10"/>
      <c r="Z264" s="10"/>
      <c r="AA264" s="10"/>
      <c r="AB264" s="10"/>
      <c r="AC264" s="10"/>
      <c r="AD264" s="10"/>
    </row>
    <row r="265" spans="1:30" x14ac:dyDescent="0.2">
      <c r="A265" s="10"/>
      <c r="B265" s="193"/>
      <c r="C265" s="194"/>
      <c r="D265" s="194"/>
      <c r="E265" s="181"/>
      <c r="F265" s="181"/>
      <c r="G265" s="181"/>
      <c r="H265" s="187"/>
      <c r="I265" s="187"/>
      <c r="J265" s="187"/>
      <c r="K265" s="9"/>
      <c r="L265" s="9"/>
      <c r="M265" s="9"/>
      <c r="N265" s="9"/>
      <c r="O265" s="9"/>
      <c r="P265" s="9"/>
      <c r="Q265" s="7"/>
      <c r="R265" s="108"/>
      <c r="S265" s="7"/>
      <c r="T265" s="206"/>
      <c r="U265" s="147"/>
      <c r="V265" s="147"/>
      <c r="W265" s="147"/>
      <c r="X265" s="147"/>
      <c r="Y265" s="10"/>
      <c r="Z265" s="10"/>
      <c r="AA265" s="10"/>
      <c r="AB265" s="10"/>
      <c r="AC265" s="10"/>
      <c r="AD265" s="10"/>
    </row>
    <row r="266" spans="1:30" x14ac:dyDescent="0.2">
      <c r="A266" s="10"/>
      <c r="B266" s="193"/>
      <c r="C266" s="194"/>
      <c r="D266" s="194"/>
      <c r="E266" s="181"/>
      <c r="F266" s="181"/>
      <c r="G266" s="181"/>
      <c r="H266" s="187"/>
      <c r="I266" s="187"/>
      <c r="J266" s="187"/>
      <c r="K266" s="9"/>
      <c r="L266" s="9"/>
      <c r="M266" s="9"/>
      <c r="N266" s="9"/>
      <c r="O266" s="9"/>
      <c r="P266" s="9"/>
      <c r="Q266" s="7"/>
      <c r="R266" s="108"/>
      <c r="S266" s="7"/>
      <c r="T266" s="47"/>
      <c r="U266" s="147"/>
      <c r="V266" s="147"/>
      <c r="W266" s="147"/>
      <c r="X266" s="147"/>
      <c r="Y266" s="10"/>
      <c r="Z266" s="10"/>
      <c r="AA266" s="10"/>
      <c r="AB266" s="10"/>
      <c r="AC266" s="10"/>
      <c r="AD266" s="10"/>
    </row>
    <row r="267" spans="1:30" x14ac:dyDescent="0.2">
      <c r="A267" s="10"/>
      <c r="B267" s="193"/>
      <c r="C267" s="194"/>
      <c r="D267" s="194"/>
      <c r="E267" s="181"/>
      <c r="F267" s="181"/>
      <c r="G267" s="181"/>
      <c r="H267" s="187"/>
      <c r="I267" s="187"/>
      <c r="J267" s="187"/>
      <c r="K267" s="9"/>
      <c r="L267" s="9"/>
      <c r="M267" s="9"/>
      <c r="N267" s="9"/>
      <c r="O267" s="9"/>
      <c r="P267" s="9"/>
      <c r="Q267" s="7"/>
      <c r="R267" s="108"/>
      <c r="S267" s="7"/>
      <c r="T267" s="10"/>
      <c r="U267" s="10"/>
      <c r="V267" s="10"/>
      <c r="W267" s="10"/>
      <c r="X267" s="10"/>
      <c r="Y267" s="10"/>
      <c r="Z267" s="10"/>
      <c r="AA267" s="10"/>
      <c r="AB267" s="10"/>
      <c r="AC267" s="10"/>
      <c r="AD267" s="10"/>
    </row>
    <row r="268" spans="1:30" x14ac:dyDescent="0.2">
      <c r="A268" s="10"/>
      <c r="B268" s="193"/>
      <c r="C268" s="194"/>
      <c r="D268" s="194"/>
      <c r="E268" s="181"/>
      <c r="F268" s="181"/>
      <c r="G268" s="181"/>
      <c r="H268" s="187"/>
      <c r="I268" s="187"/>
      <c r="J268" s="187"/>
      <c r="K268" s="9"/>
      <c r="L268" s="9"/>
      <c r="M268" s="9"/>
      <c r="N268" s="9"/>
      <c r="O268" s="9"/>
      <c r="P268" s="9"/>
      <c r="Q268" s="7"/>
      <c r="R268" s="108"/>
      <c r="S268" s="7"/>
      <c r="T268" s="10"/>
      <c r="U268" s="10"/>
      <c r="V268" s="10"/>
      <c r="W268" s="10"/>
      <c r="X268" s="10"/>
      <c r="Y268" s="10"/>
      <c r="Z268" s="10"/>
      <c r="AA268" s="10"/>
      <c r="AB268" s="10"/>
      <c r="AC268" s="10"/>
      <c r="AD268" s="10"/>
    </row>
    <row r="269" spans="1:30" x14ac:dyDescent="0.2">
      <c r="A269" s="10"/>
      <c r="B269" s="193"/>
      <c r="C269" s="194"/>
      <c r="D269" s="194"/>
      <c r="E269" s="181"/>
      <c r="F269" s="181"/>
      <c r="G269" s="181"/>
      <c r="H269" s="187"/>
      <c r="I269" s="187"/>
      <c r="J269" s="187"/>
      <c r="K269" s="9"/>
      <c r="L269" s="9"/>
      <c r="M269" s="9"/>
      <c r="N269" s="9"/>
      <c r="O269" s="9"/>
      <c r="P269" s="9"/>
      <c r="Q269" s="7"/>
      <c r="R269" s="108"/>
      <c r="S269" s="7"/>
      <c r="T269" s="10"/>
      <c r="U269" s="10"/>
      <c r="V269" s="10"/>
      <c r="W269" s="10"/>
      <c r="X269" s="10"/>
      <c r="Y269" s="10"/>
      <c r="Z269" s="10"/>
      <c r="AA269" s="10"/>
      <c r="AB269" s="10"/>
      <c r="AC269" s="10"/>
      <c r="AD269" s="10"/>
    </row>
    <row r="270" spans="1:30" x14ac:dyDescent="0.2">
      <c r="A270" s="10"/>
      <c r="B270" s="193"/>
      <c r="C270" s="194"/>
      <c r="D270" s="194"/>
      <c r="E270" s="181"/>
      <c r="F270" s="181"/>
      <c r="G270" s="181"/>
      <c r="H270" s="187"/>
      <c r="I270" s="187"/>
      <c r="J270" s="187"/>
      <c r="K270" s="9"/>
      <c r="L270" s="9"/>
      <c r="M270" s="9"/>
      <c r="N270" s="9"/>
      <c r="O270" s="9"/>
      <c r="P270" s="9"/>
      <c r="Q270" s="7"/>
      <c r="R270" s="108"/>
      <c r="S270" s="7"/>
      <c r="T270" s="10"/>
      <c r="U270" s="10"/>
      <c r="V270" s="10"/>
      <c r="W270" s="10"/>
      <c r="X270" s="10"/>
      <c r="Y270" s="10"/>
      <c r="Z270" s="10"/>
      <c r="AA270" s="10"/>
      <c r="AB270" s="10"/>
      <c r="AC270" s="10"/>
      <c r="AD270" s="10"/>
    </row>
    <row r="271" spans="1:30" x14ac:dyDescent="0.2">
      <c r="A271" s="10"/>
      <c r="B271" s="193"/>
      <c r="C271" s="194"/>
      <c r="D271" s="194"/>
      <c r="E271" s="181"/>
      <c r="F271" s="181"/>
      <c r="G271" s="181"/>
      <c r="H271" s="187"/>
      <c r="I271" s="187"/>
      <c r="J271" s="187"/>
      <c r="K271" s="9"/>
      <c r="L271" s="9"/>
      <c r="M271" s="9"/>
      <c r="N271" s="9"/>
      <c r="O271" s="9"/>
      <c r="P271" s="9"/>
      <c r="Q271" s="7"/>
      <c r="R271" s="108"/>
      <c r="S271" s="7"/>
      <c r="T271" s="10"/>
      <c r="U271" s="10"/>
      <c r="V271" s="10"/>
      <c r="W271" s="10"/>
      <c r="X271" s="10"/>
      <c r="Y271" s="10"/>
      <c r="Z271" s="10"/>
      <c r="AA271" s="10"/>
      <c r="AB271" s="10"/>
      <c r="AC271" s="10"/>
      <c r="AD271" s="10"/>
    </row>
    <row r="272" spans="1:30" x14ac:dyDescent="0.2">
      <c r="A272" s="10"/>
      <c r="B272" s="193"/>
      <c r="C272" s="194"/>
      <c r="D272" s="194"/>
      <c r="E272" s="181"/>
      <c r="F272" s="181"/>
      <c r="G272" s="181"/>
      <c r="H272" s="187"/>
      <c r="I272" s="187"/>
      <c r="J272" s="187"/>
      <c r="K272" s="9"/>
      <c r="L272" s="9"/>
      <c r="M272" s="9"/>
      <c r="N272" s="9"/>
      <c r="O272" s="9"/>
      <c r="P272" s="9"/>
      <c r="Q272" s="7"/>
      <c r="R272" s="108"/>
      <c r="S272" s="7"/>
      <c r="T272" s="10"/>
      <c r="U272" s="10"/>
      <c r="V272" s="10"/>
      <c r="W272" s="10"/>
      <c r="X272" s="10"/>
      <c r="Y272" s="10"/>
      <c r="Z272" s="10"/>
      <c r="AA272" s="10"/>
      <c r="AB272" s="10"/>
      <c r="AC272" s="10"/>
      <c r="AD272" s="10"/>
    </row>
    <row r="273" spans="1:30" x14ac:dyDescent="0.2">
      <c r="A273" s="10"/>
      <c r="B273" s="193"/>
      <c r="C273" s="194"/>
      <c r="D273" s="194"/>
      <c r="E273" s="181"/>
      <c r="F273" s="181"/>
      <c r="G273" s="181"/>
      <c r="H273" s="187"/>
      <c r="I273" s="187"/>
      <c r="J273" s="187"/>
      <c r="K273" s="9"/>
      <c r="L273" s="9"/>
      <c r="M273" s="9"/>
      <c r="N273" s="9"/>
      <c r="O273" s="9"/>
      <c r="P273" s="9"/>
      <c r="Q273" s="7"/>
      <c r="R273" s="108"/>
      <c r="S273" s="7"/>
      <c r="T273" s="10"/>
      <c r="U273" s="10"/>
      <c r="V273" s="10"/>
      <c r="W273" s="10"/>
      <c r="X273" s="10"/>
      <c r="Y273" s="10"/>
      <c r="Z273" s="10"/>
      <c r="AA273" s="10"/>
      <c r="AB273" s="10"/>
      <c r="AC273" s="10"/>
      <c r="AD273" s="10"/>
    </row>
    <row r="274" spans="1:30" x14ac:dyDescent="0.2">
      <c r="A274" s="10"/>
      <c r="B274" s="193"/>
      <c r="C274" s="194"/>
      <c r="D274" s="194"/>
      <c r="E274" s="181"/>
      <c r="F274" s="181"/>
      <c r="G274" s="181"/>
      <c r="H274" s="187"/>
      <c r="I274" s="187"/>
      <c r="J274" s="187"/>
      <c r="K274" s="9"/>
      <c r="L274" s="9"/>
      <c r="M274" s="9"/>
      <c r="N274" s="9"/>
      <c r="O274" s="9"/>
      <c r="P274" s="9"/>
      <c r="Q274" s="7"/>
      <c r="R274" s="108"/>
      <c r="S274" s="7"/>
      <c r="T274" s="10"/>
      <c r="U274" s="10"/>
      <c r="V274" s="10"/>
      <c r="W274" s="10"/>
      <c r="X274" s="10"/>
      <c r="Y274" s="10"/>
      <c r="Z274" s="10"/>
      <c r="AA274" s="10"/>
      <c r="AB274" s="10"/>
      <c r="AC274" s="10"/>
      <c r="AD274" s="10"/>
    </row>
    <row r="275" spans="1:30" x14ac:dyDescent="0.2">
      <c r="A275" s="10"/>
      <c r="B275" s="193"/>
      <c r="C275" s="194"/>
      <c r="D275" s="194"/>
      <c r="E275" s="181"/>
      <c r="F275" s="181"/>
      <c r="G275" s="181"/>
      <c r="H275" s="187"/>
      <c r="I275" s="187"/>
      <c r="J275" s="187"/>
      <c r="K275" s="9"/>
      <c r="L275" s="9"/>
      <c r="M275" s="9"/>
      <c r="N275" s="9"/>
      <c r="O275" s="9"/>
      <c r="P275" s="9"/>
      <c r="Q275" s="7"/>
      <c r="R275" s="108"/>
      <c r="S275" s="7"/>
      <c r="T275" s="10"/>
      <c r="U275" s="10"/>
      <c r="V275" s="10"/>
      <c r="W275" s="10"/>
      <c r="X275" s="10"/>
      <c r="Y275" s="10"/>
      <c r="Z275" s="10"/>
      <c r="AA275" s="10"/>
      <c r="AB275" s="10"/>
      <c r="AC275" s="10"/>
      <c r="AD275" s="10"/>
    </row>
    <row r="276" spans="1:30" x14ac:dyDescent="0.2">
      <c r="A276" s="10"/>
      <c r="B276" s="197"/>
      <c r="C276" s="198"/>
      <c r="D276" s="198"/>
      <c r="E276" s="199"/>
      <c r="F276" s="199"/>
      <c r="G276" s="199"/>
      <c r="H276" s="207"/>
      <c r="I276" s="207"/>
      <c r="J276" s="207"/>
      <c r="K276" s="116"/>
      <c r="L276" s="116"/>
      <c r="M276" s="116"/>
      <c r="N276" s="116"/>
      <c r="O276" s="116"/>
      <c r="P276" s="116"/>
      <c r="Q276" s="118"/>
      <c r="R276" s="119"/>
      <c r="S276" s="7"/>
      <c r="T276" s="10"/>
      <c r="U276" s="10"/>
      <c r="V276" s="10"/>
      <c r="W276" s="10"/>
      <c r="X276" s="10"/>
      <c r="Y276" s="10"/>
      <c r="Z276" s="10"/>
      <c r="AA276" s="10"/>
      <c r="AB276" s="10"/>
      <c r="AC276" s="10"/>
      <c r="AD276" s="10"/>
    </row>
    <row r="277" spans="1:30" x14ac:dyDescent="0.2">
      <c r="A277" s="10"/>
      <c r="B277" s="208"/>
      <c r="C277" s="203"/>
      <c r="D277" s="204"/>
      <c r="E277" s="204"/>
      <c r="F277" s="204"/>
      <c r="G277" s="204"/>
      <c r="H277" s="204"/>
      <c r="I277" s="204"/>
      <c r="J277" s="204"/>
      <c r="K277" s="204"/>
      <c r="L277" s="204"/>
      <c r="M277" s="9"/>
      <c r="N277" s="9"/>
      <c r="O277" s="9"/>
      <c r="P277" s="9"/>
      <c r="Q277" s="7"/>
      <c r="R277" s="108"/>
      <c r="S277" s="7"/>
      <c r="T277" s="10"/>
      <c r="U277" s="10"/>
      <c r="V277" s="10"/>
      <c r="W277" s="10"/>
      <c r="X277" s="10"/>
      <c r="Y277" s="10"/>
      <c r="Z277" s="10"/>
      <c r="AA277" s="10"/>
      <c r="AB277" s="10"/>
      <c r="AC277" s="10"/>
      <c r="AD277" s="10"/>
    </row>
    <row r="278" spans="1:30" ht="20.25" x14ac:dyDescent="0.3">
      <c r="A278" s="10"/>
      <c r="B278" s="124" t="s">
        <v>1244</v>
      </c>
      <c r="C278" s="9"/>
      <c r="D278" s="9"/>
      <c r="E278" s="9"/>
      <c r="F278" s="9"/>
      <c r="G278" s="9"/>
      <c r="H278" s="9"/>
      <c r="I278" s="9"/>
      <c r="J278" s="9"/>
      <c r="K278" s="9"/>
      <c r="L278" s="9"/>
      <c r="M278" s="9"/>
      <c r="N278" s="9"/>
      <c r="O278" s="9"/>
      <c r="P278" s="9"/>
      <c r="Q278" s="7"/>
      <c r="R278" s="108"/>
      <c r="S278" s="7"/>
      <c r="T278" s="10"/>
      <c r="U278" s="10"/>
      <c r="V278" s="10"/>
      <c r="W278" s="10"/>
      <c r="X278" s="10"/>
      <c r="Y278" s="10"/>
      <c r="Z278" s="10"/>
      <c r="AA278" s="10"/>
      <c r="AB278" s="10"/>
      <c r="AC278" s="10"/>
      <c r="AD278" s="10"/>
    </row>
    <row r="279" spans="1:30" x14ac:dyDescent="0.2">
      <c r="A279" s="10"/>
      <c r="B279" s="111"/>
      <c r="C279" s="9"/>
      <c r="D279" s="9"/>
      <c r="E279" s="9"/>
      <c r="F279" s="9"/>
      <c r="G279" s="9"/>
      <c r="H279" s="9"/>
      <c r="I279" s="9"/>
      <c r="J279" s="9"/>
      <c r="K279" s="9"/>
      <c r="L279" s="9"/>
      <c r="M279" s="9"/>
      <c r="N279" s="9"/>
      <c r="O279" s="9"/>
      <c r="P279" s="9"/>
      <c r="Q279" s="7"/>
      <c r="R279" s="108"/>
      <c r="S279" s="7"/>
      <c r="T279" s="10"/>
      <c r="U279" s="10"/>
      <c r="V279" s="10"/>
      <c r="W279" s="10"/>
      <c r="X279" s="10"/>
      <c r="Y279" s="10"/>
      <c r="Z279" s="10"/>
      <c r="AA279" s="10"/>
      <c r="AB279" s="10"/>
      <c r="AC279" s="10"/>
      <c r="AD279" s="10"/>
    </row>
    <row r="280" spans="1:30" x14ac:dyDescent="0.2">
      <c r="A280" s="10"/>
      <c r="B280" s="67" t="s">
        <v>1245</v>
      </c>
      <c r="C280" s="68" t="s">
        <v>1246</v>
      </c>
      <c r="D280" s="9"/>
      <c r="E280" s="9"/>
      <c r="F280" s="9"/>
      <c r="G280" s="9"/>
      <c r="H280" s="9"/>
      <c r="I280" s="9"/>
      <c r="J280" s="9"/>
      <c r="K280" s="149"/>
      <c r="L280" s="9"/>
      <c r="M280" s="209" t="s">
        <v>1247</v>
      </c>
      <c r="N280" s="9"/>
      <c r="O280" s="9"/>
      <c r="P280" s="9"/>
      <c r="Q280" s="7"/>
      <c r="R280" s="108"/>
      <c r="S280" s="7"/>
      <c r="T280" s="10"/>
      <c r="U280" s="10"/>
      <c r="V280" s="10"/>
      <c r="W280" s="10"/>
      <c r="X280" s="10"/>
      <c r="Y280" s="10"/>
      <c r="Z280" s="10"/>
      <c r="AA280" s="10"/>
      <c r="AB280" s="10"/>
      <c r="AC280" s="10"/>
      <c r="AD280" s="10"/>
    </row>
    <row r="281" spans="1:30" x14ac:dyDescent="0.2">
      <c r="A281" s="10"/>
      <c r="B281" s="394"/>
      <c r="C281" s="395"/>
      <c r="D281" s="70" t="s">
        <v>1248</v>
      </c>
      <c r="E281" s="70" t="s">
        <v>1058</v>
      </c>
      <c r="F281" s="70" t="s">
        <v>1059</v>
      </c>
      <c r="G281" s="70" t="s">
        <v>1060</v>
      </c>
      <c r="H281" s="70" t="s">
        <v>1249</v>
      </c>
      <c r="I281" s="70" t="s">
        <v>1250</v>
      </c>
      <c r="J281" s="70" t="s">
        <v>1061</v>
      </c>
      <c r="K281" s="9"/>
      <c r="L281" s="9"/>
      <c r="M281" s="9"/>
      <c r="N281" s="9"/>
      <c r="O281" s="9"/>
      <c r="P281" s="9"/>
      <c r="Q281" s="7"/>
      <c r="R281" s="108"/>
      <c r="S281" s="7"/>
      <c r="T281" s="10"/>
      <c r="U281" s="10"/>
      <c r="V281" s="10"/>
      <c r="W281" s="10"/>
      <c r="X281" s="10"/>
      <c r="Y281" s="10"/>
      <c r="Z281" s="10"/>
      <c r="AA281" s="10"/>
      <c r="AB281" s="10"/>
      <c r="AC281" s="10"/>
      <c r="AD281" s="10"/>
    </row>
    <row r="282" spans="1:30" x14ac:dyDescent="0.2">
      <c r="A282" s="10"/>
      <c r="B282" s="386" t="s">
        <v>1062</v>
      </c>
      <c r="C282" s="387"/>
      <c r="D282" s="327">
        <f>GETPIVOTDATA("Sum of 0 bed net",Pivots!$B$365,"Tenure","Open Market")</f>
        <v>1</v>
      </c>
      <c r="E282" s="327">
        <f>GETPIVOTDATA("Sum of 1 bed net",Pivots!$B$365,"Tenure","Open Market")</f>
        <v>47</v>
      </c>
      <c r="F282" s="327">
        <f>GETPIVOTDATA("Sum of 2 bed net",Pivots!$B$365,"Tenure","Open Market")</f>
        <v>43</v>
      </c>
      <c r="G282" s="327">
        <f>GETPIVOTDATA("Sum of 3 bed net",Pivots!$B$365,"Tenure","Open Market")</f>
        <v>52</v>
      </c>
      <c r="H282" s="327">
        <f>GETPIVOTDATA("Sum of 4 bed net",Pivots!$B$365,"Tenure","Open Market")+GETPIVOTDATA("Sum of 5 bed net",Pivots!$B$365,"Tenure","Open Market")+GETPIVOTDATA("Sum of 6 bed net",Pivots!$B$365,"Tenure","Open Market")</f>
        <v>19</v>
      </c>
      <c r="I282" s="327">
        <v>0</v>
      </c>
      <c r="J282" s="327">
        <f t="shared" ref="J282:J288" si="24">SUM(D282:I282)</f>
        <v>162</v>
      </c>
      <c r="K282" s="9"/>
      <c r="L282" s="9"/>
      <c r="M282" s="9"/>
      <c r="N282" s="9"/>
      <c r="O282" s="9"/>
      <c r="P282" s="9"/>
      <c r="Q282" s="7"/>
      <c r="R282" s="108"/>
      <c r="S282" s="7"/>
      <c r="T282" s="10"/>
      <c r="U282" s="10"/>
      <c r="V282" s="10"/>
      <c r="W282" s="10"/>
      <c r="X282" s="10"/>
      <c r="Y282" s="10"/>
      <c r="Z282" s="10"/>
      <c r="AA282" s="10"/>
      <c r="AB282" s="10"/>
      <c r="AC282" s="10"/>
      <c r="AD282" s="10"/>
    </row>
    <row r="283" spans="1:30" x14ac:dyDescent="0.2">
      <c r="A283" s="10"/>
      <c r="B283" s="386"/>
      <c r="C283" s="387"/>
      <c r="D283" s="340">
        <f t="shared" ref="D283:I283" si="25">D282/$J$282</f>
        <v>6.1728395061728392E-3</v>
      </c>
      <c r="E283" s="340">
        <f t="shared" si="25"/>
        <v>0.29012345679012347</v>
      </c>
      <c r="F283" s="340">
        <f t="shared" si="25"/>
        <v>0.26543209876543211</v>
      </c>
      <c r="G283" s="340">
        <f t="shared" si="25"/>
        <v>0.32098765432098764</v>
      </c>
      <c r="H283" s="340">
        <f t="shared" si="25"/>
        <v>0.11728395061728394</v>
      </c>
      <c r="I283" s="340">
        <f t="shared" si="25"/>
        <v>0</v>
      </c>
      <c r="J283" s="340">
        <f t="shared" si="24"/>
        <v>1</v>
      </c>
      <c r="K283" s="9"/>
      <c r="L283" s="9"/>
      <c r="M283" s="9"/>
      <c r="N283" s="9"/>
      <c r="O283" s="9"/>
      <c r="P283" s="9"/>
      <c r="Q283" s="7"/>
      <c r="R283" s="108"/>
      <c r="S283" s="7"/>
      <c r="T283" s="10"/>
      <c r="U283" s="10"/>
      <c r="V283" s="10"/>
      <c r="W283" s="10"/>
      <c r="X283" s="10"/>
      <c r="Y283" s="10"/>
      <c r="Z283" s="10"/>
      <c r="AA283" s="10"/>
      <c r="AB283" s="10"/>
      <c r="AC283" s="10"/>
      <c r="AD283" s="10"/>
    </row>
    <row r="284" spans="1:30" x14ac:dyDescent="0.2">
      <c r="A284" s="10"/>
      <c r="B284" s="386" t="s">
        <v>1049</v>
      </c>
      <c r="C284" s="387"/>
      <c r="D284" s="327">
        <f>GETPIVOTDATA("Sum of 0 bed net",Pivots!$B$365,"Tenure","Intermediate")</f>
        <v>0</v>
      </c>
      <c r="E284" s="327">
        <f>GETPIVOTDATA("Sum of 1 bed net",Pivots!$B$365,"Tenure","Intermediate")</f>
        <v>1</v>
      </c>
      <c r="F284" s="327">
        <f>GETPIVOTDATA("Sum of 2 bed net",Pivots!$B$365,"Tenure","Intermediate")</f>
        <v>4</v>
      </c>
      <c r="G284" s="327">
        <f>GETPIVOTDATA("Sum of 3 bed net",Pivots!$B$365,"Tenure","Intermediate")</f>
        <v>0</v>
      </c>
      <c r="H284" s="327">
        <f>GETPIVOTDATA("Sum of 4 bed net",Pivots!$B$365,"Tenure","Intermediate")+GETPIVOTDATA("Sum of 5 bed net",Pivots!$B$365,"Tenure","Intermediate")+GETPIVOTDATA("Sum of 6 bed net",Pivots!$B$365,"Tenure","Intermediate")+GETPIVOTDATA("Sum of 7 bed net",Pivots!$B$365,"Tenure","Intermediate")</f>
        <v>0</v>
      </c>
      <c r="I284" s="327">
        <v>0</v>
      </c>
      <c r="J284" s="327">
        <f t="shared" si="24"/>
        <v>5</v>
      </c>
      <c r="K284" s="9"/>
      <c r="L284" s="9"/>
      <c r="M284" s="126"/>
      <c r="N284" s="126"/>
      <c r="O284" s="126"/>
      <c r="P284" s="126"/>
      <c r="Q284" s="7"/>
      <c r="R284" s="108"/>
      <c r="S284" s="7"/>
      <c r="T284" s="10"/>
      <c r="U284" s="10"/>
      <c r="V284" s="10"/>
      <c r="W284" s="10"/>
      <c r="X284" s="10"/>
      <c r="Y284" s="10"/>
      <c r="Z284" s="10"/>
      <c r="AA284" s="10"/>
      <c r="AB284" s="10"/>
      <c r="AC284" s="10"/>
      <c r="AD284" s="10"/>
    </row>
    <row r="285" spans="1:30" x14ac:dyDescent="0.2">
      <c r="A285" s="10"/>
      <c r="B285" s="386"/>
      <c r="C285" s="387"/>
      <c r="D285" s="340">
        <f t="shared" ref="D285:I285" si="26">D284/$J$284</f>
        <v>0</v>
      </c>
      <c r="E285" s="340">
        <f t="shared" si="26"/>
        <v>0.2</v>
      </c>
      <c r="F285" s="340">
        <f t="shared" si="26"/>
        <v>0.8</v>
      </c>
      <c r="G285" s="340">
        <f t="shared" si="26"/>
        <v>0</v>
      </c>
      <c r="H285" s="340">
        <f t="shared" si="26"/>
        <v>0</v>
      </c>
      <c r="I285" s="340">
        <f t="shared" si="26"/>
        <v>0</v>
      </c>
      <c r="J285" s="340">
        <f t="shared" si="24"/>
        <v>1</v>
      </c>
      <c r="K285" s="9"/>
      <c r="L285" s="9"/>
      <c r="M285" s="9"/>
      <c r="N285" s="9"/>
      <c r="O285" s="9"/>
      <c r="P285" s="9"/>
      <c r="Q285" s="7"/>
      <c r="R285" s="108"/>
      <c r="S285" s="7"/>
      <c r="T285" s="10"/>
      <c r="U285" s="10"/>
      <c r="V285" s="10"/>
      <c r="W285" s="10"/>
      <c r="X285" s="10"/>
      <c r="Y285" s="10"/>
      <c r="Z285" s="10"/>
      <c r="AA285" s="10"/>
      <c r="AB285" s="10"/>
      <c r="AC285" s="10"/>
      <c r="AD285" s="10"/>
    </row>
    <row r="286" spans="1:30" x14ac:dyDescent="0.2">
      <c r="A286" s="7"/>
      <c r="B286" s="386" t="s">
        <v>1251</v>
      </c>
      <c r="C286" s="387"/>
      <c r="D286" s="327">
        <f>GETPIVOTDATA("Sum of 0 bed net",Pivots!$B$365,"Tenure","Affordable Rent")</f>
        <v>0</v>
      </c>
      <c r="E286" s="327">
        <f>GETPIVOTDATA("Sum of 1 bed net",Pivots!$B$365,"Tenure","Affordable Rent")</f>
        <v>4</v>
      </c>
      <c r="F286" s="327">
        <f>GETPIVOTDATA("Sum of 2 bed net",Pivots!$B$365,"Tenure","Affordable Rent")</f>
        <v>16</v>
      </c>
      <c r="G286" s="327">
        <f>GETPIVOTDATA("Sum of 3 bed net",Pivots!$B$365,"Tenure","Affordable Rent")</f>
        <v>0</v>
      </c>
      <c r="H286" s="327">
        <f>GETPIVOTDATA("Sum of 4 bed net",Pivots!$B$365,"Tenure","Affordable Rent")+GETPIVOTDATA("Sum of 5 bed net",Pivots!$B$365,"Tenure","Affordable Rent")+GETPIVOTDATA("Sum of 6 bed net",Pivots!$B$365,"Tenure","Affordable Rent")+GETPIVOTDATA("Sum of 7 bed net",Pivots!$B$365,"Tenure","Affordable Rent")</f>
        <v>0</v>
      </c>
      <c r="I286" s="327">
        <v>0</v>
      </c>
      <c r="J286" s="327">
        <f t="shared" si="24"/>
        <v>20</v>
      </c>
      <c r="K286" s="9"/>
      <c r="L286" s="9"/>
      <c r="M286" s="9"/>
      <c r="N286" s="9"/>
      <c r="O286" s="9"/>
      <c r="P286" s="9"/>
      <c r="Q286" s="7"/>
      <c r="R286" s="108"/>
      <c r="S286" s="7"/>
      <c r="T286" s="10"/>
      <c r="U286" s="10"/>
      <c r="V286" s="10"/>
      <c r="W286" s="10"/>
      <c r="X286" s="10"/>
      <c r="Y286" s="10"/>
      <c r="Z286" s="10"/>
      <c r="AA286" s="10"/>
      <c r="AB286" s="10"/>
      <c r="AC286" s="10"/>
      <c r="AD286" s="10"/>
    </row>
    <row r="287" spans="1:30" x14ac:dyDescent="0.2">
      <c r="A287" s="7"/>
      <c r="B287" s="386"/>
      <c r="C287" s="387"/>
      <c r="D287" s="340">
        <f t="shared" ref="D287:I287" si="27">D286/$J$286</f>
        <v>0</v>
      </c>
      <c r="E287" s="340">
        <f t="shared" si="27"/>
        <v>0.2</v>
      </c>
      <c r="F287" s="340">
        <f t="shared" si="27"/>
        <v>0.8</v>
      </c>
      <c r="G287" s="340">
        <f t="shared" si="27"/>
        <v>0</v>
      </c>
      <c r="H287" s="340">
        <f t="shared" si="27"/>
        <v>0</v>
      </c>
      <c r="I287" s="340">
        <f t="shared" si="27"/>
        <v>0</v>
      </c>
      <c r="J287" s="340">
        <f t="shared" si="24"/>
        <v>1</v>
      </c>
      <c r="K287" s="9"/>
      <c r="L287" s="9"/>
      <c r="M287" s="9"/>
      <c r="N287" s="9"/>
      <c r="O287" s="9"/>
      <c r="P287" s="9"/>
      <c r="Q287" s="7"/>
      <c r="R287" s="108"/>
      <c r="S287" s="7"/>
      <c r="T287" s="10"/>
      <c r="U287" s="10"/>
      <c r="V287" s="10"/>
      <c r="W287" s="10"/>
      <c r="X287" s="10"/>
      <c r="Y287" s="10"/>
      <c r="Z287" s="10"/>
      <c r="AA287" s="10"/>
      <c r="AB287" s="10"/>
      <c r="AC287" s="10"/>
      <c r="AD287" s="10"/>
    </row>
    <row r="288" spans="1:30" x14ac:dyDescent="0.2">
      <c r="A288" s="7"/>
      <c r="B288" s="388" t="s">
        <v>1061</v>
      </c>
      <c r="C288" s="389"/>
      <c r="D288" s="180">
        <f>D282+D284+D286</f>
        <v>1</v>
      </c>
      <c r="E288" s="180">
        <f t="shared" ref="E288:I288" si="28">E282+E284+E286</f>
        <v>52</v>
      </c>
      <c r="F288" s="180">
        <f t="shared" si="28"/>
        <v>63</v>
      </c>
      <c r="G288" s="180">
        <f t="shared" si="28"/>
        <v>52</v>
      </c>
      <c r="H288" s="180">
        <f t="shared" si="28"/>
        <v>19</v>
      </c>
      <c r="I288" s="180">
        <f t="shared" si="28"/>
        <v>0</v>
      </c>
      <c r="J288" s="180">
        <f t="shared" si="24"/>
        <v>187</v>
      </c>
      <c r="K288" s="9"/>
      <c r="L288" s="9"/>
      <c r="M288" s="9"/>
      <c r="N288" s="9"/>
      <c r="O288" s="9"/>
      <c r="P288" s="9"/>
      <c r="Q288" s="7"/>
      <c r="R288" s="108"/>
      <c r="S288" s="7"/>
      <c r="T288" s="10"/>
      <c r="U288" s="10"/>
      <c r="V288" s="10"/>
      <c r="W288" s="10"/>
      <c r="X288" s="10"/>
      <c r="Y288" s="10"/>
      <c r="Z288" s="10"/>
      <c r="AA288" s="10"/>
      <c r="AB288" s="10"/>
      <c r="AC288" s="10"/>
      <c r="AD288" s="10"/>
    </row>
    <row r="289" spans="1:30" x14ac:dyDescent="0.2">
      <c r="A289" s="7"/>
      <c r="B289" s="388"/>
      <c r="C289" s="389"/>
      <c r="D289" s="210">
        <f t="shared" ref="D289:J289" si="29">D288/$J$288</f>
        <v>5.3475935828877002E-3</v>
      </c>
      <c r="E289" s="210">
        <f t="shared" si="29"/>
        <v>0.27807486631016043</v>
      </c>
      <c r="F289" s="210">
        <f t="shared" si="29"/>
        <v>0.33689839572192515</v>
      </c>
      <c r="G289" s="210">
        <f t="shared" si="29"/>
        <v>0.27807486631016043</v>
      </c>
      <c r="H289" s="210">
        <f t="shared" si="29"/>
        <v>0.10160427807486631</v>
      </c>
      <c r="I289" s="210">
        <f t="shared" si="29"/>
        <v>0</v>
      </c>
      <c r="J289" s="210">
        <f t="shared" si="29"/>
        <v>1</v>
      </c>
      <c r="K289" s="9"/>
      <c r="L289" s="9"/>
      <c r="M289" s="9"/>
      <c r="N289" s="9"/>
      <c r="O289" s="9"/>
      <c r="P289" s="9"/>
      <c r="Q289" s="7"/>
      <c r="R289" s="108"/>
      <c r="S289" s="7"/>
      <c r="T289" s="10"/>
      <c r="U289" s="10"/>
      <c r="V289" s="10"/>
      <c r="W289" s="10"/>
      <c r="X289" s="10"/>
      <c r="Y289" s="10"/>
      <c r="Z289" s="10"/>
      <c r="AA289" s="10"/>
      <c r="AB289" s="10"/>
      <c r="AC289" s="10"/>
      <c r="AD289" s="10"/>
    </row>
    <row r="290" spans="1:30" ht="12.75" customHeight="1" x14ac:dyDescent="0.2">
      <c r="A290" s="7"/>
      <c r="B290" s="111"/>
      <c r="C290" s="211"/>
      <c r="D290" s="211"/>
      <c r="E290" s="211"/>
      <c r="F290" s="211"/>
      <c r="G290" s="211"/>
      <c r="H290" s="211"/>
      <c r="I290" s="211"/>
      <c r="J290" s="9"/>
      <c r="K290" s="9"/>
      <c r="L290" s="9"/>
      <c r="M290" s="9"/>
      <c r="N290" s="9"/>
      <c r="O290" s="9"/>
      <c r="P290" s="9"/>
      <c r="Q290" s="7"/>
      <c r="R290" s="108"/>
      <c r="S290" s="7"/>
      <c r="T290" s="10"/>
      <c r="U290" s="10"/>
      <c r="V290" s="10"/>
      <c r="W290" s="10"/>
      <c r="X290" s="10"/>
      <c r="Y290" s="10"/>
      <c r="Z290" s="10"/>
      <c r="AA290" s="10"/>
      <c r="AB290" s="10"/>
      <c r="AC290" s="10"/>
      <c r="AD290" s="10"/>
    </row>
    <row r="291" spans="1:30" x14ac:dyDescent="0.2">
      <c r="A291" s="7"/>
      <c r="B291" s="188"/>
      <c r="C291" s="126"/>
      <c r="D291" s="126"/>
      <c r="E291" s="126"/>
      <c r="F291" s="126"/>
      <c r="G291" s="126"/>
      <c r="H291" s="126"/>
      <c r="I291" s="126"/>
      <c r="J291" s="126"/>
      <c r="K291" s="126"/>
      <c r="L291" s="126"/>
      <c r="M291" s="9"/>
      <c r="N291" s="9"/>
      <c r="O291" s="9"/>
      <c r="P291" s="9"/>
      <c r="Q291" s="7"/>
      <c r="R291" s="108"/>
      <c r="S291" s="7"/>
      <c r="T291" s="10"/>
      <c r="U291" s="10"/>
      <c r="V291" s="10"/>
      <c r="W291" s="10"/>
      <c r="X291" s="10"/>
      <c r="Y291" s="10"/>
      <c r="Z291" s="10"/>
      <c r="AA291" s="10"/>
      <c r="AB291" s="10"/>
      <c r="AC291" s="10"/>
      <c r="AD291" s="10"/>
    </row>
    <row r="292" spans="1:30" x14ac:dyDescent="0.2">
      <c r="A292" s="7"/>
      <c r="B292" s="67" t="s">
        <v>1252</v>
      </c>
      <c r="C292" s="68" t="s">
        <v>1253</v>
      </c>
      <c r="D292" s="9"/>
      <c r="E292" s="9"/>
      <c r="F292" s="9"/>
      <c r="G292" s="9"/>
      <c r="H292" s="9"/>
      <c r="I292" s="9"/>
      <c r="J292" s="9"/>
      <c r="K292" s="149"/>
      <c r="L292" s="9"/>
      <c r="M292" s="68" t="s">
        <v>1253</v>
      </c>
      <c r="N292" s="9"/>
      <c r="O292" s="9"/>
      <c r="P292" s="9"/>
      <c r="Q292" s="7"/>
      <c r="R292" s="108"/>
      <c r="S292" s="7"/>
      <c r="T292" s="10"/>
      <c r="U292" s="10"/>
      <c r="V292" s="10"/>
      <c r="W292" s="10"/>
      <c r="X292" s="10"/>
      <c r="Y292" s="10"/>
      <c r="Z292" s="10"/>
      <c r="AA292" s="10"/>
      <c r="AB292" s="10"/>
      <c r="AC292" s="10"/>
      <c r="AD292" s="10"/>
    </row>
    <row r="293" spans="1:30" x14ac:dyDescent="0.2">
      <c r="A293" s="7"/>
      <c r="B293" s="394"/>
      <c r="C293" s="395"/>
      <c r="D293" s="70" t="s">
        <v>1248</v>
      </c>
      <c r="E293" s="70" t="s">
        <v>1058</v>
      </c>
      <c r="F293" s="70" t="s">
        <v>1059</v>
      </c>
      <c r="G293" s="70" t="s">
        <v>1060</v>
      </c>
      <c r="H293" s="70" t="s">
        <v>1249</v>
      </c>
      <c r="I293" s="70" t="s">
        <v>1250</v>
      </c>
      <c r="J293" s="70" t="s">
        <v>1061</v>
      </c>
      <c r="K293" s="9"/>
      <c r="L293" s="9"/>
      <c r="M293" s="9"/>
      <c r="N293" s="9"/>
      <c r="O293" s="9"/>
      <c r="P293" s="9"/>
      <c r="Q293" s="7"/>
      <c r="R293" s="108"/>
      <c r="S293" s="7"/>
      <c r="T293" s="10"/>
      <c r="U293" s="10"/>
      <c r="V293" s="10"/>
      <c r="W293" s="10"/>
      <c r="X293" s="10"/>
      <c r="Y293" s="10"/>
      <c r="Z293" s="10"/>
      <c r="AA293" s="10"/>
      <c r="AB293" s="10"/>
      <c r="AC293" s="10"/>
      <c r="AD293" s="10"/>
    </row>
    <row r="294" spans="1:30" x14ac:dyDescent="0.2">
      <c r="A294" s="7"/>
      <c r="B294" s="386" t="s">
        <v>1062</v>
      </c>
      <c r="C294" s="387"/>
      <c r="D294" s="327">
        <f>GETPIVOTDATA("Sum of 0 bed net",Pivots!$B$376,"Tenure","Open Market")</f>
        <v>4</v>
      </c>
      <c r="E294" s="327">
        <f>GETPIVOTDATA("Sum of 1 bed net",Pivots!$B$376,"Tenure","Open Market")</f>
        <v>113</v>
      </c>
      <c r="F294" s="327">
        <f>GETPIVOTDATA("Sum of 2 bed net",Pivots!$B$376,"Tenure","Open Market")</f>
        <v>276</v>
      </c>
      <c r="G294" s="327">
        <f>GETPIVOTDATA("Sum of 3 bed net",Pivots!$B$376,"Tenure","Open Market")</f>
        <v>109</v>
      </c>
      <c r="H294" s="327">
        <f>GETPIVOTDATA("Sum of 4 bed net",Pivots!$B$376,"Tenure","Open Market")+GETPIVOTDATA("Sum of 5 bed net",Pivots!$B$376,"Tenure","Open Market")+GETPIVOTDATA("Sum of 6 bed net",Pivots!$B$376,"Tenure","Open Market")+GETPIVOTDATA("Sum of 7 bed net",Pivots!$B$376,"Tenure","Open Market")</f>
        <v>53</v>
      </c>
      <c r="I294" s="327">
        <v>0</v>
      </c>
      <c r="J294" s="327">
        <f t="shared" ref="J294:J300" si="30">SUM(D294:I294)</f>
        <v>555</v>
      </c>
      <c r="K294" s="9"/>
      <c r="L294" s="9"/>
      <c r="M294" s="9"/>
      <c r="N294" s="9"/>
      <c r="O294" s="9"/>
      <c r="P294" s="9"/>
      <c r="Q294" s="7"/>
      <c r="R294" s="108"/>
      <c r="S294" s="7"/>
      <c r="T294" s="10"/>
      <c r="U294" s="10"/>
      <c r="V294" s="10"/>
      <c r="W294" s="10"/>
      <c r="X294" s="10"/>
      <c r="Y294" s="10"/>
      <c r="Z294" s="10"/>
      <c r="AA294" s="10"/>
      <c r="AB294" s="10"/>
      <c r="AC294" s="10"/>
      <c r="AD294" s="10"/>
    </row>
    <row r="295" spans="1:30" x14ac:dyDescent="0.2">
      <c r="A295" s="7"/>
      <c r="B295" s="386"/>
      <c r="C295" s="387"/>
      <c r="D295" s="340">
        <f t="shared" ref="D295:I295" si="31">D294/$J$294</f>
        <v>7.2072072072072073E-3</v>
      </c>
      <c r="E295" s="340">
        <f t="shared" si="31"/>
        <v>0.20360360360360361</v>
      </c>
      <c r="F295" s="340">
        <f t="shared" si="31"/>
        <v>0.49729729729729732</v>
      </c>
      <c r="G295" s="340">
        <f t="shared" si="31"/>
        <v>0.19639639639639639</v>
      </c>
      <c r="H295" s="340">
        <f t="shared" si="31"/>
        <v>9.5495495495495492E-2</v>
      </c>
      <c r="I295" s="340">
        <f t="shared" si="31"/>
        <v>0</v>
      </c>
      <c r="J295" s="340">
        <f t="shared" si="30"/>
        <v>1</v>
      </c>
      <c r="K295" s="9"/>
      <c r="L295" s="9"/>
      <c r="M295" s="9"/>
      <c r="N295" s="9"/>
      <c r="O295" s="9"/>
      <c r="P295" s="9"/>
      <c r="Q295" s="7"/>
      <c r="R295" s="108"/>
      <c r="S295" s="7"/>
      <c r="T295" s="10"/>
      <c r="U295" s="10"/>
      <c r="V295" s="10"/>
      <c r="W295" s="10"/>
      <c r="X295" s="10"/>
      <c r="Y295" s="10"/>
      <c r="Z295" s="10"/>
      <c r="AA295" s="10"/>
      <c r="AB295" s="10"/>
      <c r="AC295" s="10"/>
      <c r="AD295" s="10"/>
    </row>
    <row r="296" spans="1:30" x14ac:dyDescent="0.2">
      <c r="A296" s="7"/>
      <c r="B296" s="386" t="s">
        <v>1049</v>
      </c>
      <c r="C296" s="387"/>
      <c r="D296" s="327">
        <f>GETPIVOTDATA("Sum of 0 bed net",Pivots!$B$376,"Tenure","Intermediate")</f>
        <v>0</v>
      </c>
      <c r="E296" s="327">
        <f>GETPIVOTDATA("Sum of 1 bed net",Pivots!$B$376,"Tenure","Intermediate")</f>
        <v>6</v>
      </c>
      <c r="F296" s="327">
        <f>GETPIVOTDATA("Sum of 2 bed net",Pivots!$B$376,"Tenure","Intermediate")</f>
        <v>2</v>
      </c>
      <c r="G296" s="327">
        <f>GETPIVOTDATA("Sum of 3 bed net",Pivots!$B$376,"Tenure","Intermediate")</f>
        <v>0</v>
      </c>
      <c r="H296" s="327">
        <f>GETPIVOTDATA("Sum of 4 bed net",Pivots!$B$376,"Tenure","Intermediate")+GETPIVOTDATA("Sum of 5 bed net",Pivots!$B$376,"Tenure","Intermediate")+GETPIVOTDATA("Sum of 6 bed net",Pivots!$B$376,"Tenure","Intermediate")+GETPIVOTDATA("Sum of 7 bed net",Pivots!$B$376,"Tenure","Intermediate")</f>
        <v>0</v>
      </c>
      <c r="I296" s="327">
        <v>0</v>
      </c>
      <c r="J296" s="327">
        <f t="shared" si="30"/>
        <v>8</v>
      </c>
      <c r="K296" s="9"/>
      <c r="L296" s="9"/>
      <c r="M296" s="9"/>
      <c r="N296" s="9"/>
      <c r="O296" s="9"/>
      <c r="P296" s="9"/>
      <c r="Q296" s="7"/>
      <c r="R296" s="108"/>
      <c r="S296" s="7"/>
      <c r="T296" s="10"/>
      <c r="U296" s="10"/>
      <c r="V296" s="10"/>
      <c r="W296" s="10"/>
      <c r="X296" s="10"/>
      <c r="Y296" s="10"/>
      <c r="Z296" s="10"/>
      <c r="AA296" s="10"/>
      <c r="AB296" s="10"/>
      <c r="AC296" s="10"/>
      <c r="AD296" s="10"/>
    </row>
    <row r="297" spans="1:30" x14ac:dyDescent="0.2">
      <c r="A297" s="7"/>
      <c r="B297" s="386"/>
      <c r="C297" s="387"/>
      <c r="D297" s="340">
        <f t="shared" ref="D297:I297" si="32">D296/$J$296</f>
        <v>0</v>
      </c>
      <c r="E297" s="340">
        <f t="shared" si="32"/>
        <v>0.75</v>
      </c>
      <c r="F297" s="340">
        <f t="shared" si="32"/>
        <v>0.25</v>
      </c>
      <c r="G297" s="340">
        <f t="shared" si="32"/>
        <v>0</v>
      </c>
      <c r="H297" s="340">
        <f t="shared" si="32"/>
        <v>0</v>
      </c>
      <c r="I297" s="340">
        <f t="shared" si="32"/>
        <v>0</v>
      </c>
      <c r="J297" s="340">
        <f t="shared" si="30"/>
        <v>1</v>
      </c>
      <c r="K297" s="9"/>
      <c r="L297" s="9"/>
      <c r="M297" s="9"/>
      <c r="N297" s="9"/>
      <c r="O297" s="9"/>
      <c r="P297" s="9"/>
      <c r="Q297" s="7"/>
      <c r="R297" s="108"/>
      <c r="S297" s="7"/>
      <c r="T297" s="10"/>
      <c r="U297" s="10"/>
      <c r="V297" s="10"/>
      <c r="W297" s="10"/>
      <c r="X297" s="10"/>
      <c r="Y297" s="10"/>
      <c r="Z297" s="10"/>
      <c r="AA297" s="10"/>
      <c r="AB297" s="10"/>
      <c r="AC297" s="10"/>
      <c r="AD297" s="10"/>
    </row>
    <row r="298" spans="1:30" x14ac:dyDescent="0.2">
      <c r="A298" s="7"/>
      <c r="B298" s="386" t="s">
        <v>1251</v>
      </c>
      <c r="C298" s="387"/>
      <c r="D298" s="327">
        <f>GETPIVOTDATA("Sum of 0 bed net",Pivots!$B$376,"Tenure","Affordable Rent")</f>
        <v>0</v>
      </c>
      <c r="E298" s="327">
        <f>GETPIVOTDATA("Sum of 1 bed net",Pivots!$B$376,"Tenure","Affordable Rent")</f>
        <v>10</v>
      </c>
      <c r="F298" s="327">
        <f>GETPIVOTDATA("Sum of 2 bed net",Pivots!$B$376,"Tenure","Affordable Rent")</f>
        <v>41</v>
      </c>
      <c r="G298" s="327">
        <f>GETPIVOTDATA("Sum of 3 bed net",Pivots!$B$376,"Tenure","Affordable Rent")</f>
        <v>10</v>
      </c>
      <c r="H298" s="327">
        <f>GETPIVOTDATA("Sum of 4 bed net",Pivots!$B$376,"Tenure","Affordable Rent")+GETPIVOTDATA("Sum of 5 bed net",Pivots!$B$376,"Tenure","Affordable Rent")+GETPIVOTDATA("Sum of 6 bed net",Pivots!$B$376,"Tenure","Affordable Rent")+GETPIVOTDATA("Sum of 7 bed net",Pivots!$B$376,"Tenure","Affordable Rent")</f>
        <v>0</v>
      </c>
      <c r="I298" s="327">
        <v>0</v>
      </c>
      <c r="J298" s="327">
        <f t="shared" si="30"/>
        <v>61</v>
      </c>
      <c r="K298" s="9"/>
      <c r="L298" s="9"/>
      <c r="M298" s="9"/>
      <c r="N298" s="9"/>
      <c r="O298" s="9"/>
      <c r="P298" s="9"/>
      <c r="Q298" s="7"/>
      <c r="R298" s="108"/>
      <c r="S298" s="7"/>
      <c r="T298" s="10"/>
      <c r="U298" s="10"/>
      <c r="V298" s="10"/>
      <c r="W298" s="10"/>
      <c r="X298" s="10"/>
      <c r="Y298" s="10"/>
      <c r="Z298" s="10"/>
      <c r="AA298" s="10"/>
      <c r="AB298" s="10"/>
      <c r="AC298" s="10"/>
      <c r="AD298" s="10"/>
    </row>
    <row r="299" spans="1:30" x14ac:dyDescent="0.2">
      <c r="A299" s="7"/>
      <c r="B299" s="386"/>
      <c r="C299" s="387"/>
      <c r="D299" s="340">
        <v>0</v>
      </c>
      <c r="E299" s="340">
        <v>0.15044247787610621</v>
      </c>
      <c r="F299" s="340">
        <v>0.52212389380530977</v>
      </c>
      <c r="G299" s="340">
        <v>0.25663716814159293</v>
      </c>
      <c r="H299" s="340">
        <v>7.0796460176991149E-2</v>
      </c>
      <c r="I299" s="340">
        <v>0</v>
      </c>
      <c r="J299" s="340">
        <f t="shared" si="30"/>
        <v>1</v>
      </c>
      <c r="K299" s="9"/>
      <c r="L299" s="9"/>
      <c r="M299" s="9"/>
      <c r="N299" s="9"/>
      <c r="O299" s="9"/>
      <c r="P299" s="9"/>
      <c r="Q299" s="7"/>
      <c r="R299" s="108"/>
      <c r="S299" s="7"/>
      <c r="T299" s="10"/>
      <c r="U299" s="10"/>
      <c r="V299" s="10"/>
      <c r="W299" s="10"/>
      <c r="X299" s="10"/>
      <c r="Y299" s="10"/>
      <c r="Z299" s="10"/>
      <c r="AA299" s="10"/>
      <c r="AB299" s="10"/>
      <c r="AC299" s="10"/>
      <c r="AD299" s="10"/>
    </row>
    <row r="300" spans="1:30" x14ac:dyDescent="0.2">
      <c r="A300" s="7"/>
      <c r="B300" s="388" t="s">
        <v>1061</v>
      </c>
      <c r="C300" s="389"/>
      <c r="D300" s="180">
        <f>D294+D296+D298</f>
        <v>4</v>
      </c>
      <c r="E300" s="180">
        <f t="shared" ref="E300:I300" si="33">E294+E296+E298</f>
        <v>129</v>
      </c>
      <c r="F300" s="180">
        <f t="shared" si="33"/>
        <v>319</v>
      </c>
      <c r="G300" s="180">
        <f t="shared" si="33"/>
        <v>119</v>
      </c>
      <c r="H300" s="180">
        <f t="shared" si="33"/>
        <v>53</v>
      </c>
      <c r="I300" s="180">
        <f t="shared" si="33"/>
        <v>0</v>
      </c>
      <c r="J300" s="180">
        <f t="shared" si="30"/>
        <v>624</v>
      </c>
      <c r="K300" s="9"/>
      <c r="L300" s="9"/>
      <c r="M300" s="9"/>
      <c r="N300" s="9"/>
      <c r="O300" s="9"/>
      <c r="P300" s="9"/>
      <c r="Q300" s="7"/>
      <c r="R300" s="108"/>
      <c r="S300" s="7"/>
      <c r="T300" s="10"/>
      <c r="U300" s="10"/>
      <c r="V300" s="10"/>
      <c r="W300" s="10"/>
      <c r="X300" s="10"/>
      <c r="Y300" s="10"/>
      <c r="Z300" s="10"/>
      <c r="AA300" s="10"/>
      <c r="AB300" s="10"/>
      <c r="AC300" s="10"/>
      <c r="AD300" s="10"/>
    </row>
    <row r="301" spans="1:30" x14ac:dyDescent="0.2">
      <c r="A301" s="7"/>
      <c r="B301" s="388"/>
      <c r="C301" s="389"/>
      <c r="D301" s="210">
        <f t="shared" ref="D301:J301" si="34">D300/$J$300</f>
        <v>6.41025641025641E-3</v>
      </c>
      <c r="E301" s="210">
        <f t="shared" si="34"/>
        <v>0.20673076923076922</v>
      </c>
      <c r="F301" s="210">
        <f t="shared" si="34"/>
        <v>0.51121794871794868</v>
      </c>
      <c r="G301" s="210">
        <f t="shared" si="34"/>
        <v>0.19070512820512819</v>
      </c>
      <c r="H301" s="210">
        <f t="shared" si="34"/>
        <v>8.4935897435897439E-2</v>
      </c>
      <c r="I301" s="210">
        <f t="shared" si="34"/>
        <v>0</v>
      </c>
      <c r="J301" s="210">
        <f t="shared" si="34"/>
        <v>1</v>
      </c>
      <c r="K301" s="9"/>
      <c r="L301" s="9"/>
      <c r="M301" s="9"/>
      <c r="N301" s="9"/>
      <c r="O301" s="9"/>
      <c r="P301" s="9"/>
      <c r="Q301" s="7"/>
      <c r="R301" s="108"/>
      <c r="S301" s="7"/>
      <c r="T301" s="10"/>
      <c r="U301" s="10"/>
      <c r="V301" s="10"/>
      <c r="W301" s="10"/>
      <c r="X301" s="10"/>
      <c r="Y301" s="10"/>
      <c r="Z301" s="10"/>
      <c r="AA301" s="10"/>
      <c r="AB301" s="10"/>
      <c r="AC301" s="10"/>
      <c r="AD301" s="10"/>
    </row>
    <row r="302" spans="1:30" x14ac:dyDescent="0.2">
      <c r="A302" s="7"/>
      <c r="B302" s="212"/>
      <c r="C302" s="211"/>
      <c r="D302" s="211"/>
      <c r="E302" s="211"/>
      <c r="F302" s="211"/>
      <c r="G302" s="211"/>
      <c r="H302" s="211"/>
      <c r="I302" s="211"/>
      <c r="J302" s="9"/>
      <c r="K302" s="9"/>
      <c r="L302" s="9"/>
      <c r="M302" s="9"/>
      <c r="N302" s="9"/>
      <c r="O302" s="9"/>
      <c r="P302" s="9"/>
      <c r="Q302" s="7"/>
      <c r="R302" s="108"/>
      <c r="S302" s="7"/>
      <c r="T302" s="10"/>
      <c r="U302" s="10"/>
      <c r="V302" s="10"/>
      <c r="W302" s="10"/>
      <c r="X302" s="10"/>
      <c r="Y302" s="10"/>
      <c r="Z302" s="10"/>
      <c r="AA302" s="10"/>
      <c r="AB302" s="10"/>
      <c r="AC302" s="10"/>
      <c r="AD302" s="10"/>
    </row>
    <row r="303" spans="1:30" x14ac:dyDescent="0.2">
      <c r="A303" s="7"/>
      <c r="B303" s="212"/>
      <c r="C303" s="211"/>
      <c r="D303" s="211"/>
      <c r="E303" s="211"/>
      <c r="F303" s="211"/>
      <c r="G303" s="211"/>
      <c r="H303" s="211"/>
      <c r="I303" s="211"/>
      <c r="J303" s="9"/>
      <c r="K303" s="9"/>
      <c r="L303" s="9"/>
      <c r="M303" s="9"/>
      <c r="N303" s="9"/>
      <c r="O303" s="9"/>
      <c r="P303" s="9"/>
      <c r="Q303" s="7"/>
      <c r="R303" s="108"/>
      <c r="S303" s="7"/>
      <c r="T303" s="10"/>
      <c r="U303" s="10"/>
      <c r="V303" s="10"/>
      <c r="W303" s="10"/>
      <c r="X303" s="10"/>
      <c r="Y303" s="10"/>
      <c r="Z303" s="10"/>
      <c r="AA303" s="10"/>
      <c r="AB303" s="10"/>
      <c r="AC303" s="10"/>
      <c r="AD303" s="10"/>
    </row>
    <row r="304" spans="1:30" x14ac:dyDescent="0.2">
      <c r="A304" s="7"/>
      <c r="B304" s="213"/>
      <c r="C304" s="211"/>
      <c r="D304" s="211"/>
      <c r="E304" s="211"/>
      <c r="F304" s="211"/>
      <c r="G304" s="211"/>
      <c r="H304" s="211"/>
      <c r="I304" s="211"/>
      <c r="J304" s="9"/>
      <c r="K304" s="9"/>
      <c r="L304" s="9"/>
      <c r="M304" s="9"/>
      <c r="N304" s="9"/>
      <c r="O304" s="9"/>
      <c r="P304" s="9"/>
      <c r="Q304" s="7"/>
      <c r="R304" s="108"/>
      <c r="S304" s="7"/>
      <c r="T304" s="10"/>
      <c r="U304" s="10"/>
      <c r="V304" s="10"/>
      <c r="W304" s="10"/>
      <c r="X304" s="10"/>
      <c r="Y304" s="10"/>
      <c r="Z304" s="10"/>
      <c r="AA304" s="10"/>
      <c r="AB304" s="10"/>
      <c r="AC304" s="10"/>
      <c r="AD304" s="10"/>
    </row>
    <row r="305" spans="1:30" x14ac:dyDescent="0.2">
      <c r="A305" s="7"/>
      <c r="B305" s="67" t="s">
        <v>1254</v>
      </c>
      <c r="C305" s="68" t="s">
        <v>1255</v>
      </c>
      <c r="D305" s="9"/>
      <c r="E305" s="9"/>
      <c r="F305" s="9"/>
      <c r="G305" s="9"/>
      <c r="H305" s="9"/>
      <c r="I305" s="9"/>
      <c r="J305" s="9"/>
      <c r="K305" s="149"/>
      <c r="L305" s="9"/>
      <c r="M305" s="209" t="s">
        <v>1256</v>
      </c>
      <c r="N305" s="9"/>
      <c r="O305" s="9"/>
      <c r="P305" s="9"/>
      <c r="Q305" s="7"/>
      <c r="R305" s="108"/>
      <c r="S305" s="7"/>
      <c r="T305" s="10"/>
      <c r="U305" s="10"/>
      <c r="V305" s="10"/>
      <c r="W305" s="10"/>
      <c r="X305" s="10"/>
      <c r="Y305" s="10"/>
      <c r="Z305" s="10"/>
      <c r="AA305" s="10"/>
      <c r="AB305" s="10"/>
      <c r="AC305" s="10"/>
      <c r="AD305" s="10"/>
    </row>
    <row r="306" spans="1:30" x14ac:dyDescent="0.2">
      <c r="A306" s="7"/>
      <c r="B306" s="394"/>
      <c r="C306" s="395"/>
      <c r="D306" s="70" t="s">
        <v>1248</v>
      </c>
      <c r="E306" s="70" t="s">
        <v>1058</v>
      </c>
      <c r="F306" s="70" t="s">
        <v>1059</v>
      </c>
      <c r="G306" s="70" t="s">
        <v>1060</v>
      </c>
      <c r="H306" s="70" t="s">
        <v>1249</v>
      </c>
      <c r="I306" s="70" t="s">
        <v>1250</v>
      </c>
      <c r="J306" s="70" t="s">
        <v>1061</v>
      </c>
      <c r="K306" s="9"/>
      <c r="L306" s="9"/>
      <c r="M306" s="9"/>
      <c r="N306" s="9"/>
      <c r="O306" s="9"/>
      <c r="P306" s="9"/>
      <c r="Q306" s="7"/>
      <c r="R306" s="108"/>
      <c r="S306" s="7"/>
      <c r="T306" s="10"/>
      <c r="U306" s="10"/>
      <c r="V306" s="10"/>
      <c r="W306" s="10"/>
      <c r="X306" s="10"/>
      <c r="Y306" s="10"/>
      <c r="Z306" s="10"/>
      <c r="AA306" s="10"/>
      <c r="AB306" s="10"/>
      <c r="AC306" s="10"/>
      <c r="AD306" s="10"/>
    </row>
    <row r="307" spans="1:30" x14ac:dyDescent="0.2">
      <c r="A307" s="7"/>
      <c r="B307" s="386" t="s">
        <v>1062</v>
      </c>
      <c r="C307" s="387"/>
      <c r="D307" s="327">
        <f>GETPIVOTDATA("Sum of 0 bed net",Pivots!$B$387,"Tenure","Open Market")</f>
        <v>5</v>
      </c>
      <c r="E307" s="327">
        <f>GETPIVOTDATA("Sum of 1 bed net",Pivots!$B$387,"Tenure","Open Market")</f>
        <v>40</v>
      </c>
      <c r="F307" s="327">
        <f>GETPIVOTDATA("Sum of 2 bed net",Pivots!$B$387,"Tenure","Open Market")</f>
        <v>50</v>
      </c>
      <c r="G307" s="327">
        <f>GETPIVOTDATA("Sum of 3 bed net",Pivots!$B$387,"Tenure","Open Market")</f>
        <v>39</v>
      </c>
      <c r="H307" s="327">
        <f>GETPIVOTDATA("Sum of 4 bed net",Pivots!$B$387,"Tenure","Open Market")+GETPIVOTDATA("Sum of 5 bed net",Pivots!$B$387,"Tenure","Open Market")+GETPIVOTDATA("Sum of 6 bed net",Pivots!$B$387,"Tenure","Open Market")+GETPIVOTDATA("Sum of 7 bed net",Pivots!$B$387,"Tenure","Open Market")</f>
        <v>29</v>
      </c>
      <c r="I307" s="327">
        <v>0</v>
      </c>
      <c r="J307" s="327">
        <f t="shared" ref="J307:J313" si="35">SUM(D307:I307)</f>
        <v>163</v>
      </c>
      <c r="K307" s="9"/>
      <c r="L307" s="9"/>
      <c r="M307" s="9"/>
      <c r="N307" s="9"/>
      <c r="O307" s="9"/>
      <c r="P307" s="9"/>
      <c r="Q307" s="7"/>
      <c r="R307" s="108"/>
      <c r="S307" s="7"/>
      <c r="T307" s="10"/>
      <c r="U307" s="10"/>
      <c r="V307" s="10"/>
      <c r="W307" s="10"/>
      <c r="X307" s="10"/>
      <c r="Y307" s="10"/>
      <c r="Z307" s="10"/>
      <c r="AA307" s="10"/>
      <c r="AB307" s="10"/>
      <c r="AC307" s="10"/>
      <c r="AD307" s="10"/>
    </row>
    <row r="308" spans="1:30" ht="12.75" customHeight="1" x14ac:dyDescent="0.2">
      <c r="A308" s="7"/>
      <c r="B308" s="386"/>
      <c r="C308" s="387"/>
      <c r="D308" s="340">
        <f t="shared" ref="D308:I308" si="36">D307/$J$294</f>
        <v>9.0090090090090089E-3</v>
      </c>
      <c r="E308" s="340">
        <f t="shared" si="36"/>
        <v>7.2072072072072071E-2</v>
      </c>
      <c r="F308" s="340">
        <f t="shared" si="36"/>
        <v>9.0090090090090086E-2</v>
      </c>
      <c r="G308" s="340">
        <f t="shared" si="36"/>
        <v>7.0270270270270274E-2</v>
      </c>
      <c r="H308" s="340">
        <f t="shared" si="36"/>
        <v>5.2252252252252253E-2</v>
      </c>
      <c r="I308" s="340">
        <f t="shared" si="36"/>
        <v>0</v>
      </c>
      <c r="J308" s="340">
        <f t="shared" si="35"/>
        <v>0.29369369369369369</v>
      </c>
      <c r="K308" s="9"/>
      <c r="L308" s="9"/>
      <c r="M308" s="9"/>
      <c r="N308" s="9"/>
      <c r="O308" s="9"/>
      <c r="P308" s="9"/>
      <c r="Q308" s="7"/>
      <c r="R308" s="108"/>
      <c r="S308" s="7"/>
      <c r="T308" s="10"/>
      <c r="U308" s="10"/>
      <c r="V308" s="10"/>
      <c r="W308" s="10"/>
      <c r="X308" s="10"/>
      <c r="Y308" s="10"/>
      <c r="Z308" s="10"/>
      <c r="AA308" s="10"/>
      <c r="AB308" s="10"/>
      <c r="AC308" s="10"/>
      <c r="AD308" s="10"/>
    </row>
    <row r="309" spans="1:30" ht="12.75" customHeight="1" x14ac:dyDescent="0.2">
      <c r="A309" s="7"/>
      <c r="B309" s="386" t="s">
        <v>1049</v>
      </c>
      <c r="C309" s="387"/>
      <c r="D309" s="327">
        <f>GETPIVOTDATA("Sum of 0 bed net",Pivots!$B$387,"Tenure","Intermediate")</f>
        <v>0</v>
      </c>
      <c r="E309" s="327">
        <f>GETPIVOTDATA("Sum of 1 bed net",Pivots!$B$387,"Tenure","Intermediate")</f>
        <v>16</v>
      </c>
      <c r="F309" s="327">
        <f>GETPIVOTDATA("Sum of 2 bed net",Pivots!$B$387,"Tenure","Intermediate")</f>
        <v>11</v>
      </c>
      <c r="G309" s="327">
        <f>GETPIVOTDATA("Sum of 3 bed net",Pivots!$B$387,"Tenure","Intermediate")</f>
        <v>0</v>
      </c>
      <c r="H309" s="327">
        <f>GETPIVOTDATA("Sum of 4 bed net",Pivots!$B$387,"Tenure","Intermediate")+GETPIVOTDATA("Sum of 5 bed net",Pivots!$B$387,"Tenure","Intermediate")+GETPIVOTDATA("Sum of 6 bed net",Pivots!$B$387,"Tenure","Intermediate")+GETPIVOTDATA("Sum of 7 bed net",Pivots!$B$387,"Tenure","Intermediate")</f>
        <v>0</v>
      </c>
      <c r="I309" s="327">
        <v>0</v>
      </c>
      <c r="J309" s="327">
        <f t="shared" si="35"/>
        <v>27</v>
      </c>
      <c r="K309" s="9"/>
      <c r="L309" s="9"/>
      <c r="M309" s="9"/>
      <c r="N309" s="9"/>
      <c r="O309" s="9"/>
      <c r="P309" s="9"/>
      <c r="Q309" s="7"/>
      <c r="R309" s="108"/>
      <c r="S309" s="7"/>
      <c r="T309" s="10"/>
      <c r="U309" s="10"/>
      <c r="V309" s="10"/>
      <c r="W309" s="10"/>
      <c r="X309" s="10"/>
      <c r="Y309" s="10"/>
      <c r="Z309" s="10"/>
      <c r="AA309" s="10"/>
      <c r="AB309" s="10"/>
      <c r="AC309" s="10"/>
      <c r="AD309" s="10"/>
    </row>
    <row r="310" spans="1:30" x14ac:dyDescent="0.2">
      <c r="A310" s="7"/>
      <c r="B310" s="386"/>
      <c r="C310" s="387"/>
      <c r="D310" s="340">
        <f>D309/$J$296</f>
        <v>0</v>
      </c>
      <c r="E310" s="340">
        <f>E309/$J$309</f>
        <v>0.59259259259259256</v>
      </c>
      <c r="F310" s="340">
        <f>F309/$J$309</f>
        <v>0.40740740740740738</v>
      </c>
      <c r="G310" s="340">
        <f>G309/$J$296</f>
        <v>0</v>
      </c>
      <c r="H310" s="340">
        <f>H309/$J$296</f>
        <v>0</v>
      </c>
      <c r="I310" s="340">
        <f>I309/$J$296</f>
        <v>0</v>
      </c>
      <c r="J310" s="340">
        <f t="shared" si="35"/>
        <v>1</v>
      </c>
      <c r="K310" s="9"/>
      <c r="L310" s="9"/>
      <c r="M310" s="9"/>
      <c r="N310" s="9"/>
      <c r="O310" s="9"/>
      <c r="P310" s="9"/>
      <c r="Q310" s="7"/>
      <c r="R310" s="108"/>
      <c r="S310" s="7"/>
      <c r="T310" s="10"/>
      <c r="U310" s="10"/>
      <c r="V310" s="10"/>
      <c r="W310" s="10"/>
      <c r="X310" s="10"/>
      <c r="Y310" s="10"/>
      <c r="Z310" s="10"/>
      <c r="AA310" s="10"/>
      <c r="AB310" s="10"/>
      <c r="AC310" s="10"/>
      <c r="AD310" s="10"/>
    </row>
    <row r="311" spans="1:30" x14ac:dyDescent="0.2">
      <c r="A311" s="7"/>
      <c r="B311" s="386" t="s">
        <v>1251</v>
      </c>
      <c r="C311" s="387"/>
      <c r="D311" s="327">
        <f>GETPIVOTDATA("Sum of 0 bed net",Pivots!$B$387,"Tenure","Affordable Rent")</f>
        <v>0</v>
      </c>
      <c r="E311" s="327">
        <f>GETPIVOTDATA("Sum of 1 bed net",Pivots!$B$387,"Tenure","Affordable Rent")</f>
        <v>19</v>
      </c>
      <c r="F311" s="327">
        <f>GETPIVOTDATA("Sum of 2 bed net",Pivots!$B$387,"Tenure","Affordable Rent")</f>
        <v>0</v>
      </c>
      <c r="G311" s="327">
        <f>GETPIVOTDATA("Sum of 3 bed net",Pivots!$B$387,"Tenure","Affordable Rent")</f>
        <v>5</v>
      </c>
      <c r="H311" s="327">
        <f>GETPIVOTDATA("Sum of 4 bed net",Pivots!$B$387,"Tenure","Affordable Rent")+GETPIVOTDATA("Sum of 5 bed net",Pivots!$B$387,"Tenure","Affordable Rent")+GETPIVOTDATA("Sum of 6 bed net",Pivots!$B$387,"Tenure","Affordable Rent")+GETPIVOTDATA("Sum of 7 bed net",Pivots!$B$387,"Tenure","Affordable Rent")</f>
        <v>0</v>
      </c>
      <c r="I311" s="327">
        <v>0</v>
      </c>
      <c r="J311" s="327">
        <f t="shared" si="35"/>
        <v>24</v>
      </c>
      <c r="K311" s="9"/>
      <c r="L311" s="9"/>
      <c r="M311" s="9"/>
      <c r="N311" s="9"/>
      <c r="O311" s="9"/>
      <c r="P311" s="9"/>
      <c r="Q311" s="7"/>
      <c r="R311" s="108"/>
      <c r="S311" s="7"/>
      <c r="T311" s="10"/>
      <c r="U311" s="10"/>
      <c r="V311" s="10"/>
      <c r="W311" s="10"/>
      <c r="X311" s="10"/>
      <c r="Y311" s="10"/>
      <c r="Z311" s="10"/>
      <c r="AA311" s="10"/>
      <c r="AB311" s="10"/>
      <c r="AC311" s="10"/>
      <c r="AD311" s="10"/>
    </row>
    <row r="312" spans="1:30" ht="12.75" customHeight="1" x14ac:dyDescent="0.2">
      <c r="A312" s="7"/>
      <c r="B312" s="386"/>
      <c r="C312" s="387"/>
      <c r="D312" s="340">
        <v>0</v>
      </c>
      <c r="E312" s="340">
        <v>0.15044247787610621</v>
      </c>
      <c r="F312" s="340">
        <v>0.52212389380530977</v>
      </c>
      <c r="G312" s="340">
        <v>0.25663716814159293</v>
      </c>
      <c r="H312" s="340">
        <v>7.0796460176991149E-2</v>
      </c>
      <c r="I312" s="340">
        <v>0</v>
      </c>
      <c r="J312" s="340">
        <f t="shared" si="35"/>
        <v>1</v>
      </c>
      <c r="K312" s="9"/>
      <c r="L312" s="9"/>
      <c r="M312" s="9"/>
      <c r="N312" s="9"/>
      <c r="O312" s="9"/>
      <c r="P312" s="9"/>
      <c r="Q312" s="7"/>
      <c r="R312" s="108"/>
      <c r="S312" s="7"/>
      <c r="T312" s="10"/>
      <c r="U312" s="10"/>
      <c r="V312" s="10"/>
      <c r="W312" s="10"/>
      <c r="X312" s="10"/>
      <c r="Y312" s="10"/>
      <c r="Z312" s="10"/>
      <c r="AA312" s="10"/>
      <c r="AB312" s="10"/>
      <c r="AC312" s="10"/>
      <c r="AD312" s="10"/>
    </row>
    <row r="313" spans="1:30" ht="12.75" customHeight="1" x14ac:dyDescent="0.2">
      <c r="A313" s="7"/>
      <c r="B313" s="388" t="s">
        <v>1061</v>
      </c>
      <c r="C313" s="389"/>
      <c r="D313" s="180">
        <f>D307+D309+D311</f>
        <v>5</v>
      </c>
      <c r="E313" s="180">
        <f t="shared" ref="E313:I313" si="37">E307+E309+E311</f>
        <v>75</v>
      </c>
      <c r="F313" s="180">
        <f t="shared" si="37"/>
        <v>61</v>
      </c>
      <c r="G313" s="180">
        <f t="shared" si="37"/>
        <v>44</v>
      </c>
      <c r="H313" s="180">
        <f t="shared" si="37"/>
        <v>29</v>
      </c>
      <c r="I313" s="180">
        <f t="shared" si="37"/>
        <v>0</v>
      </c>
      <c r="J313" s="180">
        <f t="shared" si="35"/>
        <v>214</v>
      </c>
      <c r="K313" s="9"/>
      <c r="L313" s="9"/>
      <c r="M313" s="9"/>
      <c r="N313" s="9"/>
      <c r="O313" s="9"/>
      <c r="P313" s="9"/>
      <c r="Q313" s="7"/>
      <c r="R313" s="108"/>
      <c r="S313" s="7"/>
      <c r="T313" s="10"/>
      <c r="U313" s="10"/>
      <c r="V313" s="10"/>
      <c r="W313" s="10"/>
      <c r="X313" s="10"/>
      <c r="Y313" s="10"/>
      <c r="Z313" s="10"/>
      <c r="AA313" s="10"/>
      <c r="AB313" s="10"/>
      <c r="AC313" s="10"/>
      <c r="AD313" s="10"/>
    </row>
    <row r="314" spans="1:30" ht="12.75" customHeight="1" x14ac:dyDescent="0.2">
      <c r="A314" s="7"/>
      <c r="B314" s="388"/>
      <c r="C314" s="389"/>
      <c r="D314" s="210">
        <f t="shared" ref="D314:J314" si="38">D313/$J$313</f>
        <v>2.336448598130841E-2</v>
      </c>
      <c r="E314" s="210">
        <f t="shared" si="38"/>
        <v>0.35046728971962615</v>
      </c>
      <c r="F314" s="210">
        <f t="shared" si="38"/>
        <v>0.28504672897196259</v>
      </c>
      <c r="G314" s="210">
        <f t="shared" si="38"/>
        <v>0.20560747663551401</v>
      </c>
      <c r="H314" s="210">
        <f t="shared" si="38"/>
        <v>0.13551401869158877</v>
      </c>
      <c r="I314" s="210">
        <f t="shared" si="38"/>
        <v>0</v>
      </c>
      <c r="J314" s="210">
        <f t="shared" si="38"/>
        <v>1</v>
      </c>
      <c r="K314" s="9"/>
      <c r="L314" s="9"/>
      <c r="M314" s="9"/>
      <c r="N314" s="9"/>
      <c r="O314" s="9"/>
      <c r="P314" s="9"/>
      <c r="Q314" s="7"/>
      <c r="R314" s="108"/>
      <c r="S314" s="7"/>
      <c r="T314" s="10"/>
      <c r="U314" s="10"/>
      <c r="V314" s="10"/>
      <c r="W314" s="10"/>
      <c r="X314" s="10"/>
      <c r="Y314" s="10"/>
      <c r="Z314" s="10"/>
      <c r="AA314" s="10"/>
      <c r="AB314" s="10"/>
      <c r="AC314" s="10"/>
      <c r="AD314" s="10"/>
    </row>
    <row r="315" spans="1:30" x14ac:dyDescent="0.2">
      <c r="A315" s="7"/>
      <c r="B315" s="212"/>
      <c r="C315" s="211"/>
      <c r="D315" s="211"/>
      <c r="E315" s="211"/>
      <c r="F315" s="211"/>
      <c r="G315" s="211"/>
      <c r="H315" s="211"/>
      <c r="I315" s="211"/>
      <c r="J315" s="9"/>
      <c r="K315" s="9"/>
      <c r="L315" s="9"/>
      <c r="M315" s="9"/>
      <c r="N315" s="9"/>
      <c r="O315" s="9"/>
      <c r="P315" s="9"/>
      <c r="Q315" s="7"/>
      <c r="R315" s="108"/>
      <c r="S315" s="7"/>
      <c r="T315" s="10"/>
      <c r="U315" s="10"/>
      <c r="V315" s="10"/>
      <c r="W315" s="10"/>
      <c r="X315" s="10"/>
      <c r="Y315" s="10"/>
      <c r="Z315" s="10"/>
      <c r="AA315" s="10"/>
      <c r="AB315" s="10"/>
      <c r="AC315" s="10"/>
      <c r="AD315" s="10"/>
    </row>
    <row r="316" spans="1:30" ht="12.75" customHeight="1" x14ac:dyDescent="0.2">
      <c r="A316" s="10"/>
      <c r="B316" s="212"/>
      <c r="C316" s="211"/>
      <c r="D316" s="211"/>
      <c r="E316" s="211"/>
      <c r="F316" s="211"/>
      <c r="G316" s="211"/>
      <c r="H316" s="211"/>
      <c r="I316" s="211"/>
      <c r="J316" s="9"/>
      <c r="K316" s="9"/>
      <c r="L316" s="9"/>
      <c r="M316" s="9"/>
      <c r="N316" s="9"/>
      <c r="O316" s="9"/>
      <c r="P316" s="9"/>
      <c r="Q316" s="7"/>
      <c r="R316" s="108"/>
      <c r="S316" s="10"/>
      <c r="T316" s="10"/>
      <c r="U316" s="10"/>
      <c r="V316" s="10"/>
      <c r="W316" s="10"/>
      <c r="X316" s="10"/>
      <c r="Y316" s="10"/>
      <c r="Z316" s="10"/>
      <c r="AA316" s="10"/>
      <c r="AB316" s="10"/>
      <c r="AC316" s="10"/>
      <c r="AD316" s="10"/>
    </row>
    <row r="317" spans="1:30" ht="12.75" customHeight="1" x14ac:dyDescent="0.2">
      <c r="A317" s="10"/>
      <c r="B317" s="214"/>
      <c r="C317" s="215"/>
      <c r="D317" s="215"/>
      <c r="E317" s="215"/>
      <c r="F317" s="215"/>
      <c r="G317" s="215"/>
      <c r="H317" s="215"/>
      <c r="I317" s="215"/>
      <c r="J317" s="116"/>
      <c r="K317" s="116"/>
      <c r="L317" s="116"/>
      <c r="M317" s="116"/>
      <c r="N317" s="116"/>
      <c r="O317" s="116"/>
      <c r="P317" s="116"/>
      <c r="Q317" s="118"/>
      <c r="R317" s="119"/>
      <c r="S317" s="10"/>
      <c r="T317" s="10"/>
      <c r="U317" s="10"/>
      <c r="V317" s="10"/>
      <c r="W317" s="10"/>
      <c r="X317" s="10"/>
      <c r="Y317" s="10"/>
      <c r="Z317" s="10"/>
      <c r="AA317" s="10"/>
      <c r="AB317" s="10"/>
      <c r="AC317" s="10"/>
      <c r="AD317" s="10"/>
    </row>
    <row r="318" spans="1:30" x14ac:dyDescent="0.2">
      <c r="A318" s="10"/>
      <c r="B318" s="212"/>
      <c r="C318" s="211"/>
      <c r="D318" s="211"/>
      <c r="E318" s="211"/>
      <c r="F318" s="211"/>
      <c r="G318" s="211"/>
      <c r="H318" s="211"/>
      <c r="I318" s="211"/>
      <c r="J318" s="9"/>
      <c r="K318" s="9"/>
      <c r="L318" s="9"/>
      <c r="M318" s="9"/>
      <c r="N318" s="9"/>
      <c r="O318" s="9"/>
      <c r="P318" s="9"/>
      <c r="Q318" s="7"/>
      <c r="R318" s="108"/>
      <c r="S318" s="10"/>
      <c r="T318" s="10"/>
      <c r="U318" s="10"/>
      <c r="V318" s="10"/>
      <c r="W318" s="10"/>
      <c r="X318" s="10"/>
      <c r="Y318" s="10"/>
      <c r="Z318" s="10"/>
      <c r="AA318" s="10"/>
      <c r="AB318" s="10"/>
      <c r="AC318" s="10"/>
      <c r="AD318" s="10"/>
    </row>
    <row r="319" spans="1:30" ht="25.5" customHeight="1" x14ac:dyDescent="0.3">
      <c r="A319" s="10"/>
      <c r="B319" s="124" t="s">
        <v>1257</v>
      </c>
      <c r="C319" s="211"/>
      <c r="D319" s="211"/>
      <c r="E319" s="211"/>
      <c r="F319" s="211"/>
      <c r="G319" s="211"/>
      <c r="H319" s="211"/>
      <c r="I319" s="211"/>
      <c r="J319" s="9"/>
      <c r="K319" s="9"/>
      <c r="L319" s="9"/>
      <c r="M319" s="9"/>
      <c r="N319" s="9"/>
      <c r="O319" s="9"/>
      <c r="P319" s="9"/>
      <c r="Q319" s="7"/>
      <c r="R319" s="108"/>
      <c r="S319" s="10"/>
      <c r="T319" s="10"/>
      <c r="U319" s="10"/>
      <c r="V319" s="10"/>
      <c r="W319" s="10"/>
      <c r="X319" s="10"/>
      <c r="Y319" s="10"/>
      <c r="Z319" s="10"/>
      <c r="AA319" s="10"/>
      <c r="AB319" s="10"/>
      <c r="AC319" s="10"/>
      <c r="AD319" s="10"/>
    </row>
    <row r="320" spans="1:30" x14ac:dyDescent="0.2">
      <c r="A320" s="10"/>
      <c r="B320" s="212"/>
      <c r="C320" s="211"/>
      <c r="D320" s="211"/>
      <c r="E320" s="211"/>
      <c r="F320" s="211"/>
      <c r="G320" s="211"/>
      <c r="H320" s="211"/>
      <c r="I320" s="211"/>
      <c r="J320" s="9"/>
      <c r="K320" s="9"/>
      <c r="L320" s="9"/>
      <c r="M320" s="9"/>
      <c r="N320" s="9"/>
      <c r="O320" s="9"/>
      <c r="P320" s="9"/>
      <c r="Q320" s="7"/>
      <c r="R320" s="108"/>
      <c r="S320" s="10"/>
      <c r="T320" s="10"/>
      <c r="U320" s="10"/>
      <c r="V320" s="10"/>
      <c r="W320" s="10"/>
      <c r="X320" s="10"/>
      <c r="Y320" s="10"/>
      <c r="Z320" s="10"/>
      <c r="AA320" s="10"/>
      <c r="AB320" s="10"/>
      <c r="AC320" s="10"/>
      <c r="AD320" s="10"/>
    </row>
    <row r="321" spans="1:30" ht="23.1" customHeight="1" x14ac:dyDescent="0.2">
      <c r="A321" s="10"/>
      <c r="B321" s="67" t="s">
        <v>1258</v>
      </c>
      <c r="C321" s="68" t="s">
        <v>1579</v>
      </c>
      <c r="D321" s="216"/>
      <c r="E321" s="216"/>
      <c r="F321" s="216"/>
      <c r="G321" s="216"/>
      <c r="H321" s="216"/>
      <c r="I321" s="216"/>
      <c r="J321" s="9"/>
      <c r="K321" s="9"/>
      <c r="L321" s="9"/>
      <c r="M321" s="9"/>
      <c r="N321" s="9"/>
      <c r="O321" s="9"/>
      <c r="P321" s="9"/>
      <c r="Q321" s="7"/>
      <c r="R321" s="108"/>
      <c r="S321" s="10"/>
      <c r="T321" s="10"/>
      <c r="U321" s="10"/>
      <c r="V321" s="10"/>
      <c r="W321" s="10"/>
      <c r="X321" s="10"/>
      <c r="Y321" s="10"/>
      <c r="Z321" s="10"/>
      <c r="AA321" s="10"/>
      <c r="AB321" s="10"/>
      <c r="AC321" s="10"/>
      <c r="AD321" s="10"/>
    </row>
    <row r="322" spans="1:30" ht="22.5" customHeight="1" x14ac:dyDescent="0.2">
      <c r="A322" s="10"/>
      <c r="B322" s="390"/>
      <c r="C322" s="390"/>
      <c r="D322" s="390"/>
      <c r="E322" s="391" t="s">
        <v>1580</v>
      </c>
      <c r="F322" s="392"/>
      <c r="G322" s="392"/>
      <c r="H322" s="392"/>
      <c r="I322" s="392"/>
      <c r="J322" s="392"/>
      <c r="K322" s="393"/>
      <c r="L322" s="217" t="s">
        <v>1061</v>
      </c>
      <c r="M322" s="217" t="s">
        <v>1581</v>
      </c>
      <c r="N322" s="9"/>
      <c r="O322" s="9"/>
      <c r="P322" s="7"/>
      <c r="Q322" s="7"/>
      <c r="R322" s="108"/>
      <c r="S322" s="10"/>
      <c r="T322" s="10"/>
      <c r="U322" s="10"/>
      <c r="V322" s="10"/>
      <c r="W322" s="10"/>
      <c r="X322" s="10"/>
      <c r="Y322" s="10"/>
      <c r="Z322" s="10"/>
      <c r="AA322" s="10"/>
      <c r="AB322" s="10"/>
      <c r="AC322" s="10"/>
      <c r="AD322" s="10"/>
    </row>
    <row r="323" spans="1:30" ht="48.75" x14ac:dyDescent="0.2">
      <c r="A323" s="147"/>
      <c r="B323" s="390"/>
      <c r="C323" s="390"/>
      <c r="D323" s="390"/>
      <c r="E323" s="218" t="s">
        <v>1259</v>
      </c>
      <c r="F323" s="218" t="s">
        <v>1137</v>
      </c>
      <c r="G323" s="218" t="s">
        <v>1260</v>
      </c>
      <c r="H323" s="218" t="s">
        <v>1261</v>
      </c>
      <c r="I323" s="218" t="s">
        <v>1262</v>
      </c>
      <c r="J323" s="218" t="s">
        <v>1263</v>
      </c>
      <c r="K323" s="218" t="s">
        <v>1264</v>
      </c>
      <c r="L323" s="217"/>
      <c r="M323" s="218" t="s">
        <v>1264</v>
      </c>
      <c r="N323" s="9"/>
      <c r="O323" s="9"/>
      <c r="P323" s="7"/>
      <c r="Q323" s="7"/>
      <c r="R323" s="108"/>
      <c r="S323" s="10"/>
      <c r="T323" s="10"/>
      <c r="U323" s="10"/>
      <c r="V323" s="10"/>
      <c r="W323" s="10"/>
      <c r="X323" s="10"/>
      <c r="Y323" s="10"/>
      <c r="Z323" s="10"/>
      <c r="AA323" s="10"/>
      <c r="AB323" s="10"/>
      <c r="AC323" s="10"/>
      <c r="AD323" s="10"/>
    </row>
    <row r="324" spans="1:30" ht="12.75" customHeight="1" x14ac:dyDescent="0.2">
      <c r="A324" s="147"/>
      <c r="B324" s="384" t="s">
        <v>1225</v>
      </c>
      <c r="C324" s="384"/>
      <c r="D324" s="384"/>
      <c r="E324" s="341">
        <f>GETPIVOTDATA("Net Dwellings",Pivots!$B$403,"Ward","Barnes")</f>
        <v>10</v>
      </c>
      <c r="F324" s="341">
        <f>GETPIVOTDATA("Net Dwellings",Pivots!$E$403,"Ward","Barnes")</f>
        <v>5</v>
      </c>
      <c r="G324" s="341">
        <v>0</v>
      </c>
      <c r="H324" s="341">
        <f>GETPIVOTDATA("Net Dwellings",Pivots!$K$403,"Ward","Barnes")</f>
        <v>-3</v>
      </c>
      <c r="I324" s="341">
        <f>GETPIVOTDATA("Net Dwellings",Pivots!$N$403,"Ward","Barnes")</f>
        <v>2</v>
      </c>
      <c r="J324" s="341">
        <f>GETPIVOTDATA("Net Dwellings",Pivots!$Q$403,"Ward","Barnes")</f>
        <v>2</v>
      </c>
      <c r="K324" s="341">
        <v>0</v>
      </c>
      <c r="L324" s="341">
        <f>SUM(E324:K324)</f>
        <v>16</v>
      </c>
      <c r="M324" s="341">
        <v>0</v>
      </c>
      <c r="N324" s="9"/>
      <c r="O324" s="9"/>
      <c r="P324" s="7"/>
      <c r="Q324" s="7"/>
      <c r="R324" s="108"/>
      <c r="S324" s="10"/>
      <c r="T324" s="10"/>
      <c r="U324" s="10"/>
      <c r="V324" s="10"/>
      <c r="W324" s="10"/>
      <c r="X324" s="10"/>
      <c r="Y324" s="10"/>
      <c r="Z324" s="10"/>
      <c r="AA324" s="10"/>
      <c r="AB324" s="10"/>
      <c r="AC324" s="10"/>
      <c r="AD324" s="10"/>
    </row>
    <row r="325" spans="1:30" ht="12.75" customHeight="1" x14ac:dyDescent="0.2">
      <c r="A325" s="147"/>
      <c r="B325" s="384" t="s">
        <v>1212</v>
      </c>
      <c r="C325" s="384"/>
      <c r="D325" s="384"/>
      <c r="E325" s="341">
        <f>GETPIVOTDATA("Net Dwellings",Pivots!$B$403,"Ward","East Sheen")</f>
        <v>4</v>
      </c>
      <c r="F325" s="341">
        <f>GETPIVOTDATA("Net Dwellings",Pivots!$E$403,"Ward","East Sheen")</f>
        <v>4</v>
      </c>
      <c r="G325" s="341">
        <f>GETPIVOTDATA("Net Dwellings",Pivots!$H$403,"Ward","East Sheen")</f>
        <v>-1</v>
      </c>
      <c r="H325" s="341">
        <f>GETPIVOTDATA("Net Dwellings",Pivots!$K$403,"Ward","East Sheen")</f>
        <v>6</v>
      </c>
      <c r="I325" s="341">
        <v>0</v>
      </c>
      <c r="J325" s="341">
        <f>GETPIVOTDATA("Net Dwellings",Pivots!$Q$403,"Ward","East Sheen")</f>
        <v>21</v>
      </c>
      <c r="K325" s="341">
        <v>0</v>
      </c>
      <c r="L325" s="341">
        <f t="shared" ref="L325:L341" si="39">SUM(E325:K325)</f>
        <v>34</v>
      </c>
      <c r="M325" s="341">
        <f>Pivots!H446</f>
        <v>10</v>
      </c>
      <c r="N325" s="9"/>
      <c r="O325" s="9"/>
      <c r="P325" s="7"/>
      <c r="Q325" s="7"/>
      <c r="R325" s="108"/>
      <c r="S325" s="10"/>
      <c r="T325" s="10"/>
      <c r="U325" s="10"/>
      <c r="V325" s="10"/>
      <c r="W325" s="10"/>
      <c r="X325" s="10"/>
      <c r="Y325" s="10"/>
      <c r="Z325" s="10"/>
      <c r="AA325" s="10"/>
      <c r="AB325" s="10"/>
      <c r="AC325" s="10"/>
      <c r="AD325" s="10"/>
    </row>
    <row r="326" spans="1:30" ht="12.75" customHeight="1" x14ac:dyDescent="0.2">
      <c r="A326" s="147"/>
      <c r="B326" s="384" t="s">
        <v>1265</v>
      </c>
      <c r="C326" s="384"/>
      <c r="D326" s="384"/>
      <c r="E326" s="341">
        <f>GETPIVOTDATA("Net Dwellings",Pivots!$B$403,"Ward","Fulwell and Hampton Hill")</f>
        <v>1</v>
      </c>
      <c r="F326" s="341">
        <f>GETPIVOTDATA("Net Dwellings",Pivots!$E$403,"Ward","Fulwell and Hampton Hill")</f>
        <v>44</v>
      </c>
      <c r="G326" s="341">
        <f>GETPIVOTDATA("Net Dwellings",Pivots!$H$403,"Ward","Fulwell and Hampton Hill")</f>
        <v>28</v>
      </c>
      <c r="H326" s="341">
        <f>GETPIVOTDATA("Net Dwellings",Pivots!$K$403,"Ward","Fulwell and Hampton Hill")</f>
        <v>15</v>
      </c>
      <c r="I326" s="341">
        <f>GETPIVOTDATA("Net Dwellings",Pivots!$N$403,"Ward","Fulwell and Hampton Hill")</f>
        <v>1</v>
      </c>
      <c r="J326" s="341">
        <f>GETPIVOTDATA("Net Dwellings",Pivots!$Q$403,"Ward","Fulwell and Hampton Hill")</f>
        <v>4</v>
      </c>
      <c r="K326" s="341">
        <v>0</v>
      </c>
      <c r="L326" s="341">
        <f t="shared" si="39"/>
        <v>93</v>
      </c>
      <c r="M326" s="341">
        <f>Pivots!H447</f>
        <v>30</v>
      </c>
      <c r="N326" s="9"/>
      <c r="O326" s="9"/>
      <c r="P326" s="7"/>
      <c r="Q326" s="7"/>
      <c r="R326" s="108"/>
      <c r="S326" s="10"/>
      <c r="T326" s="10"/>
      <c r="U326" s="10"/>
      <c r="V326" s="10"/>
      <c r="W326" s="10"/>
      <c r="X326" s="10"/>
      <c r="Y326" s="10"/>
      <c r="Z326" s="10"/>
      <c r="AA326" s="10"/>
      <c r="AB326" s="10"/>
      <c r="AC326" s="10"/>
      <c r="AD326" s="10"/>
    </row>
    <row r="327" spans="1:30" ht="12.75" customHeight="1" x14ac:dyDescent="0.2">
      <c r="A327" s="147"/>
      <c r="B327" s="384" t="s">
        <v>1266</v>
      </c>
      <c r="C327" s="384"/>
      <c r="D327" s="384"/>
      <c r="E327" s="341">
        <f>GETPIVOTDATA("Net Dwellings",Pivots!$B$403,"Ward","Ham, Petersham and Richmond Riverside")</f>
        <v>47</v>
      </c>
      <c r="F327" s="341">
        <f>GETPIVOTDATA("Net Dwellings",Pivots!$E$403,"Ward","Ham, Petersham and Richmond Riverside")</f>
        <v>8</v>
      </c>
      <c r="G327" s="341">
        <f>GETPIVOTDATA("Net Dwellings",Pivots!$H$403,"Ward","Ham, Petersham and Richmond Riverside")</f>
        <v>-4</v>
      </c>
      <c r="H327" s="341">
        <f>GETPIVOTDATA("Net Dwellings",Pivots!$K$403,"Ward","Ham, Petersham and Richmond Riverside")</f>
        <v>0</v>
      </c>
      <c r="I327" s="341">
        <v>0</v>
      </c>
      <c r="J327" s="341">
        <v>0</v>
      </c>
      <c r="K327" s="341">
        <f>Pivots!H431</f>
        <v>180</v>
      </c>
      <c r="L327" s="341">
        <f t="shared" si="39"/>
        <v>231</v>
      </c>
      <c r="M327" s="341">
        <f>Pivots!H448</f>
        <v>80</v>
      </c>
      <c r="N327" s="9"/>
      <c r="O327" s="9"/>
      <c r="P327" s="7"/>
      <c r="Q327" s="7"/>
      <c r="R327" s="108"/>
      <c r="S327" s="10"/>
      <c r="T327" s="10"/>
      <c r="U327" s="10"/>
      <c r="V327" s="10"/>
      <c r="W327" s="10"/>
      <c r="X327" s="10"/>
      <c r="Y327" s="10"/>
      <c r="Z327" s="10"/>
      <c r="AA327" s="10"/>
      <c r="AB327" s="10"/>
      <c r="AC327" s="10"/>
      <c r="AD327" s="10"/>
    </row>
    <row r="328" spans="1:30" ht="12.75" customHeight="1" x14ac:dyDescent="0.2">
      <c r="A328" s="147"/>
      <c r="B328" s="384" t="s">
        <v>1229</v>
      </c>
      <c r="C328" s="384"/>
      <c r="D328" s="384"/>
      <c r="E328" s="341">
        <f>GETPIVOTDATA("Net Dwellings",Pivots!$B$403,"Ward","Hampton")</f>
        <v>1</v>
      </c>
      <c r="F328" s="341">
        <f>GETPIVOTDATA("Net Dwellings",Pivots!$E$403,"Ward","Hampton")</f>
        <v>40</v>
      </c>
      <c r="G328" s="341">
        <f>GETPIVOTDATA("Net Dwellings",Pivots!$H$403,"Ward","Hampton")</f>
        <v>0</v>
      </c>
      <c r="H328" s="341">
        <f>GETPIVOTDATA("Net Dwellings",Pivots!$K$403,"Ward","Hampton")</f>
        <v>3</v>
      </c>
      <c r="I328" s="341">
        <f>GETPIVOTDATA("Net Dwellings",Pivots!$N$403,"Ward","Hampton")</f>
        <v>1</v>
      </c>
      <c r="J328" s="341">
        <f>GETPIVOTDATA("Net Dwellings",Pivots!$Q$403,"Ward","Hampton")</f>
        <v>2</v>
      </c>
      <c r="K328" s="341">
        <v>0</v>
      </c>
      <c r="L328" s="341">
        <f t="shared" si="39"/>
        <v>47</v>
      </c>
      <c r="M328" s="341">
        <v>0</v>
      </c>
      <c r="N328" s="9"/>
      <c r="O328" s="9"/>
      <c r="P328" s="7"/>
      <c r="Q328" s="7"/>
      <c r="R328" s="108"/>
      <c r="S328" s="10"/>
      <c r="T328" s="10"/>
      <c r="U328" s="10"/>
      <c r="V328" s="10"/>
      <c r="W328" s="10"/>
      <c r="X328" s="10"/>
      <c r="Y328" s="10"/>
      <c r="Z328" s="10"/>
      <c r="AA328" s="10"/>
      <c r="AB328" s="10"/>
      <c r="AC328" s="10"/>
      <c r="AD328" s="10"/>
    </row>
    <row r="329" spans="1:30" ht="12.75" customHeight="1" x14ac:dyDescent="0.2">
      <c r="A329" s="147"/>
      <c r="B329" s="384" t="s">
        <v>1228</v>
      </c>
      <c r="C329" s="384"/>
      <c r="D329" s="384"/>
      <c r="E329" s="341">
        <f>GETPIVOTDATA("Net Dwellings",Pivots!$B$403,"Ward","Hampton North")</f>
        <v>1</v>
      </c>
      <c r="F329" s="341">
        <f>GETPIVOTDATA("Net Dwellings",Pivots!$E$403,"Ward","Hampton North")</f>
        <v>1</v>
      </c>
      <c r="G329" s="341">
        <v>0</v>
      </c>
      <c r="H329" s="341">
        <v>0</v>
      </c>
      <c r="I329" s="341">
        <v>0</v>
      </c>
      <c r="J329" s="341">
        <v>0</v>
      </c>
      <c r="K329" s="341">
        <f>Pivots!H430</f>
        <v>0</v>
      </c>
      <c r="L329" s="341">
        <f t="shared" si="39"/>
        <v>2</v>
      </c>
      <c r="M329" s="341">
        <f>Pivots!H449</f>
        <v>30</v>
      </c>
      <c r="N329" s="9"/>
      <c r="O329" s="9"/>
      <c r="P329" s="7"/>
      <c r="Q329" s="7"/>
      <c r="R329" s="108"/>
      <c r="S329" s="10"/>
      <c r="T329" s="10"/>
      <c r="U329" s="10"/>
      <c r="V329" s="10"/>
      <c r="W329" s="10"/>
      <c r="X329" s="10"/>
      <c r="Y329" s="10"/>
      <c r="Z329" s="10"/>
      <c r="AA329" s="10"/>
      <c r="AB329" s="10"/>
      <c r="AC329" s="10"/>
      <c r="AD329" s="10"/>
    </row>
    <row r="330" spans="1:30" ht="12.75" customHeight="1" x14ac:dyDescent="0.2">
      <c r="A330" s="147"/>
      <c r="B330" s="384" t="s">
        <v>1230</v>
      </c>
      <c r="C330" s="384"/>
      <c r="D330" s="384"/>
      <c r="E330" s="341">
        <f>GETPIVOTDATA("Net Dwellings",Pivots!$B$403,"Ward","Hampton Wick")</f>
        <v>26</v>
      </c>
      <c r="F330" s="341">
        <f>GETPIVOTDATA("Net Dwellings",Pivots!$E$403,"Ward","Hampton Wick")</f>
        <v>10</v>
      </c>
      <c r="G330" s="341">
        <f>GETPIVOTDATA("Net Dwellings",Pivots!$H$403,"Ward","Hampton Wick")</f>
        <v>1</v>
      </c>
      <c r="H330" s="341">
        <f>GETPIVOTDATA("Net Dwellings",Pivots!$K$403,"Ward","Hampton Wick")</f>
        <v>6</v>
      </c>
      <c r="I330" s="341">
        <v>0</v>
      </c>
      <c r="J330" s="341">
        <f>GETPIVOTDATA("Net Dwellings",Pivots!$Q$403,"Ward","Hampton Wick")</f>
        <v>8</v>
      </c>
      <c r="K330" s="341">
        <v>0</v>
      </c>
      <c r="L330" s="341">
        <f t="shared" si="39"/>
        <v>51</v>
      </c>
      <c r="M330" s="341">
        <v>0</v>
      </c>
      <c r="N330" s="9"/>
      <c r="O330" s="9"/>
      <c r="P330" s="7"/>
      <c r="Q330" s="7"/>
      <c r="R330" s="108"/>
      <c r="S330" s="10"/>
      <c r="T330" s="10"/>
      <c r="U330" s="10"/>
      <c r="V330" s="10"/>
      <c r="W330" s="10"/>
      <c r="X330" s="10"/>
      <c r="Y330" s="10"/>
      <c r="Z330" s="10"/>
      <c r="AA330" s="10"/>
      <c r="AB330" s="10"/>
      <c r="AC330" s="10"/>
      <c r="AD330" s="10"/>
    </row>
    <row r="331" spans="1:30" ht="12.75" customHeight="1" x14ac:dyDescent="0.2">
      <c r="A331" s="147"/>
      <c r="B331" s="384" t="s">
        <v>1231</v>
      </c>
      <c r="C331" s="384"/>
      <c r="D331" s="384"/>
      <c r="E331" s="341">
        <f>GETPIVOTDATA("Net Dwellings",Pivots!$B$403,"Ward","Heathfield")</f>
        <v>5</v>
      </c>
      <c r="F331" s="341">
        <v>0</v>
      </c>
      <c r="G331" s="341">
        <v>0</v>
      </c>
      <c r="H331" s="341">
        <v>0</v>
      </c>
      <c r="I331" s="341">
        <v>0</v>
      </c>
      <c r="J331" s="341">
        <v>0</v>
      </c>
      <c r="K331" s="341">
        <v>0</v>
      </c>
      <c r="L331" s="341">
        <f t="shared" si="39"/>
        <v>5</v>
      </c>
      <c r="M331" s="341">
        <v>0</v>
      </c>
      <c r="N331" s="9"/>
      <c r="O331" s="9"/>
      <c r="P331" s="7"/>
      <c r="Q331" s="7"/>
      <c r="R331" s="108"/>
      <c r="S331" s="10"/>
      <c r="T331" s="10"/>
      <c r="U331" s="10"/>
      <c r="V331" s="10"/>
      <c r="W331" s="10"/>
      <c r="X331" s="10"/>
      <c r="Y331" s="10"/>
      <c r="Z331" s="10"/>
      <c r="AA331" s="10"/>
      <c r="AB331" s="10"/>
      <c r="AC331" s="10"/>
      <c r="AD331" s="10"/>
    </row>
    <row r="332" spans="1:30" ht="12.75" customHeight="1" x14ac:dyDescent="0.2">
      <c r="A332" s="147"/>
      <c r="B332" s="384" t="s">
        <v>1232</v>
      </c>
      <c r="C332" s="384"/>
      <c r="D332" s="384"/>
      <c r="E332" s="341">
        <f>GETPIVOTDATA("Net Dwellings",Pivots!$B$403,"Ward","Kew")</f>
        <v>26</v>
      </c>
      <c r="F332" s="341">
        <f>GETPIVOTDATA("Net Dwellings",Pivots!$E$403,"Ward","Kew")</f>
        <v>7</v>
      </c>
      <c r="G332" s="341">
        <f>GETPIVOTDATA("Net Dwellings",Pivots!$H$403,"Ward","Kew")</f>
        <v>1</v>
      </c>
      <c r="H332" s="341">
        <f>GETPIVOTDATA("Net Dwellings",Pivots!$K$403,"Ward","Kew")</f>
        <v>8</v>
      </c>
      <c r="I332" s="341">
        <v>0</v>
      </c>
      <c r="J332" s="341">
        <f>GETPIVOTDATA("Net Dwellings",Pivots!$Q$403,"Ward","Kew")</f>
        <v>2</v>
      </c>
      <c r="K332" s="341">
        <v>0</v>
      </c>
      <c r="L332" s="341">
        <f t="shared" si="39"/>
        <v>44</v>
      </c>
      <c r="M332" s="341">
        <f>Pivots!H450</f>
        <v>20</v>
      </c>
      <c r="N332" s="9"/>
      <c r="O332" s="9"/>
      <c r="P332" s="7"/>
      <c r="Q332" s="7"/>
      <c r="R332" s="108"/>
      <c r="S332" s="10"/>
      <c r="T332" s="10"/>
      <c r="U332" s="10"/>
      <c r="V332" s="10"/>
      <c r="W332" s="10"/>
      <c r="X332" s="10"/>
      <c r="Y332" s="10"/>
      <c r="Z332" s="10"/>
      <c r="AA332" s="10"/>
      <c r="AB332" s="10"/>
      <c r="AC332" s="10"/>
      <c r="AD332" s="10"/>
    </row>
    <row r="333" spans="1:30" ht="12.75" customHeight="1" x14ac:dyDescent="0.2">
      <c r="A333" s="147"/>
      <c r="B333" s="384" t="s">
        <v>1267</v>
      </c>
      <c r="C333" s="384"/>
      <c r="D333" s="384"/>
      <c r="E333" s="341">
        <f>GETPIVOTDATA("Net Dwellings",Pivots!$B$403,"Ward","Mortlake and Barnes Common")</f>
        <v>11</v>
      </c>
      <c r="F333" s="341">
        <f>GETPIVOTDATA("Net Dwellings",Pivots!$E$403,"Ward","Mortlake and Barnes Common")</f>
        <v>2</v>
      </c>
      <c r="G333" s="341">
        <f>GETPIVOTDATA("Net Dwellings",Pivots!$H$403,"Ward","Mortlake and Barnes Common")</f>
        <v>3</v>
      </c>
      <c r="H333" s="341">
        <f>GETPIVOTDATA("Net Dwellings",Pivots!$K$403,"Ward","Mortlake and Barnes Common")</f>
        <v>0</v>
      </c>
      <c r="I333" s="341">
        <v>0</v>
      </c>
      <c r="J333" s="341">
        <f>GETPIVOTDATA("Net Dwellings",Pivots!$Q$403,"Ward","Mortlake and Barnes Common")</f>
        <v>1</v>
      </c>
      <c r="K333" s="341">
        <f>Pivots!H434</f>
        <v>383</v>
      </c>
      <c r="L333" s="341">
        <f t="shared" si="39"/>
        <v>400</v>
      </c>
      <c r="M333" s="341">
        <f>Pivots!H451</f>
        <v>410</v>
      </c>
      <c r="N333" s="9"/>
      <c r="O333" s="9"/>
      <c r="P333" s="7"/>
      <c r="Q333" s="7"/>
      <c r="R333" s="108"/>
      <c r="S333" s="10"/>
      <c r="T333" s="10"/>
      <c r="U333" s="10"/>
      <c r="V333" s="10"/>
      <c r="W333" s="10"/>
      <c r="X333" s="10"/>
      <c r="Y333" s="10"/>
      <c r="Z333" s="10"/>
      <c r="AA333" s="10"/>
      <c r="AB333" s="10"/>
      <c r="AC333" s="10"/>
      <c r="AD333" s="10"/>
    </row>
    <row r="334" spans="1:30" ht="12.75" customHeight="1" x14ac:dyDescent="0.2">
      <c r="A334" s="147"/>
      <c r="B334" s="384" t="s">
        <v>1234</v>
      </c>
      <c r="C334" s="384"/>
      <c r="D334" s="384"/>
      <c r="E334" s="341">
        <f>GETPIVOTDATA("Net Dwellings",Pivots!$B$403,"Ward","North Richmond")</f>
        <v>3</v>
      </c>
      <c r="F334" s="341">
        <f>GETPIVOTDATA("Net Dwellings",Pivots!$E$403,"Ward","North Richmond")</f>
        <v>0</v>
      </c>
      <c r="G334" s="341">
        <f>GETPIVOTDATA("Net Dwellings",Pivots!$H$403,"Ward","North Richmond")</f>
        <v>2</v>
      </c>
      <c r="H334" s="341">
        <f>GETPIVOTDATA("Net Dwellings",Pivots!$K$403,"Ward","North Richmond")</f>
        <v>8</v>
      </c>
      <c r="I334" s="341">
        <v>0</v>
      </c>
      <c r="J334" s="341">
        <f>GETPIVOTDATA("Net Dwellings",Pivots!$Q$403,"Ward","North Richmond")</f>
        <v>1</v>
      </c>
      <c r="K334" s="341">
        <f>Pivots!H435</f>
        <v>191</v>
      </c>
      <c r="L334" s="341">
        <f t="shared" si="39"/>
        <v>205</v>
      </c>
      <c r="M334" s="341">
        <f>Pivots!H452</f>
        <v>435</v>
      </c>
      <c r="N334" s="9"/>
      <c r="O334" s="9"/>
      <c r="P334" s="7"/>
      <c r="Q334" s="7"/>
      <c r="R334" s="108"/>
      <c r="S334" s="10"/>
      <c r="T334" s="10"/>
      <c r="U334" s="10"/>
      <c r="V334" s="10"/>
      <c r="W334" s="10"/>
      <c r="X334" s="10"/>
      <c r="Y334" s="10"/>
      <c r="Z334" s="10"/>
      <c r="AA334" s="10"/>
      <c r="AB334" s="10"/>
      <c r="AC334" s="10"/>
      <c r="AD334" s="10"/>
    </row>
    <row r="335" spans="1:30" ht="12.75" customHeight="1" x14ac:dyDescent="0.2">
      <c r="A335" s="147"/>
      <c r="B335" s="384" t="s">
        <v>1235</v>
      </c>
      <c r="C335" s="384"/>
      <c r="D335" s="384"/>
      <c r="E335" s="341">
        <f>GETPIVOTDATA("Net Dwellings",Pivots!$B$403,"Ward","South Richmond")</f>
        <v>12</v>
      </c>
      <c r="F335" s="341">
        <f>GETPIVOTDATA("Net Dwellings",Pivots!$E$403,"Ward","South Richmond")</f>
        <v>11</v>
      </c>
      <c r="G335" s="341">
        <f>GETPIVOTDATA("Net Dwellings",Pivots!$H$403,"Ward","South Richmond")</f>
        <v>-4</v>
      </c>
      <c r="H335" s="341">
        <f>GETPIVOTDATA("Net Dwellings",Pivots!$K$403,"Ward","South Richmond")</f>
        <v>8</v>
      </c>
      <c r="I335" s="341">
        <v>0</v>
      </c>
      <c r="J335" s="341">
        <v>0</v>
      </c>
      <c r="K335" s="341">
        <f>Pivots!H432</f>
        <v>0</v>
      </c>
      <c r="L335" s="341">
        <f t="shared" si="39"/>
        <v>27</v>
      </c>
      <c r="M335" s="341">
        <f>Pivots!H453</f>
        <v>40</v>
      </c>
      <c r="N335" s="9"/>
      <c r="O335" s="9"/>
      <c r="P335" s="7"/>
      <c r="Q335" s="7"/>
      <c r="R335" s="108"/>
      <c r="S335" s="10"/>
      <c r="T335" s="10"/>
      <c r="U335" s="10"/>
      <c r="V335" s="10"/>
      <c r="W335" s="10"/>
      <c r="X335" s="10"/>
      <c r="Y335" s="10"/>
      <c r="Z335" s="10"/>
      <c r="AA335" s="10"/>
      <c r="AB335" s="10"/>
      <c r="AC335" s="10"/>
      <c r="AD335" s="10"/>
    </row>
    <row r="336" spans="1:30" ht="12.75" customHeight="1" x14ac:dyDescent="0.2">
      <c r="A336" s="147"/>
      <c r="B336" s="384" t="s">
        <v>1236</v>
      </c>
      <c r="C336" s="384"/>
      <c r="D336" s="384"/>
      <c r="E336" s="341">
        <f>GETPIVOTDATA("Net Dwellings",Pivots!$B$403,"Ward","South Twickenham")</f>
        <v>11</v>
      </c>
      <c r="F336" s="341">
        <f>GETPIVOTDATA("Net Dwellings",Pivots!$E$403,"Ward","South Twickenham")</f>
        <v>18</v>
      </c>
      <c r="G336" s="341">
        <f>GETPIVOTDATA("Net Dwellings",Pivots!$H$403,"Ward","South Twickenham")</f>
        <v>4</v>
      </c>
      <c r="H336" s="341">
        <f>GETPIVOTDATA("Net Dwellings",Pivots!$K$403,"Ward","South Twickenham")</f>
        <v>4</v>
      </c>
      <c r="I336" s="341">
        <f>GETPIVOTDATA("Net Dwellings",Pivots!$N$403,"Ward","South Twickenham")</f>
        <v>16</v>
      </c>
      <c r="J336" s="341">
        <v>0</v>
      </c>
      <c r="K336" s="341">
        <v>0</v>
      </c>
      <c r="L336" s="341">
        <f t="shared" si="39"/>
        <v>53</v>
      </c>
      <c r="M336" s="341">
        <f>Pivots!H454</f>
        <v>20</v>
      </c>
      <c r="N336" s="9"/>
      <c r="O336" s="9"/>
      <c r="P336" s="7"/>
      <c r="Q336" s="7"/>
      <c r="R336" s="196"/>
      <c r="S336" s="147"/>
      <c r="T336" s="147"/>
      <c r="U336" s="147"/>
      <c r="V336" s="147"/>
      <c r="W336" s="147"/>
      <c r="X336" s="147"/>
      <c r="Y336" s="147"/>
      <c r="Z336" s="147"/>
      <c r="AA336" s="147"/>
      <c r="AB336" s="147"/>
      <c r="AC336" s="147"/>
      <c r="AD336" s="147"/>
    </row>
    <row r="337" spans="1:30" ht="12.75" customHeight="1" x14ac:dyDescent="0.2">
      <c r="A337" s="147"/>
      <c r="B337" s="384" t="s">
        <v>1268</v>
      </c>
      <c r="C337" s="384"/>
      <c r="D337" s="384"/>
      <c r="E337" s="341">
        <f>GETPIVOTDATA("Net Dwellings",Pivots!$B$403,"Ward","St. Margarets and North Twickenham")</f>
        <v>296</v>
      </c>
      <c r="F337" s="341">
        <v>0</v>
      </c>
      <c r="G337" s="341">
        <f>GETPIVOTDATA("Net Dwellings",Pivots!$H$403,"Ward","St. Margarets and North Twickenham")</f>
        <v>5</v>
      </c>
      <c r="H337" s="341">
        <f>GETPIVOTDATA("Net Dwellings",Pivots!$K$403,"Ward","St. Margarets and North Twickenham")</f>
        <v>5</v>
      </c>
      <c r="I337" s="341">
        <v>0</v>
      </c>
      <c r="J337" s="341">
        <v>0</v>
      </c>
      <c r="K337" s="341">
        <v>0</v>
      </c>
      <c r="L337" s="341">
        <f t="shared" si="39"/>
        <v>306</v>
      </c>
      <c r="M337" s="341">
        <v>0</v>
      </c>
      <c r="N337" s="9"/>
      <c r="O337" s="9"/>
      <c r="P337" s="7"/>
      <c r="Q337" s="7"/>
      <c r="R337" s="196"/>
      <c r="S337" s="147"/>
      <c r="T337" s="147"/>
      <c r="U337" s="147"/>
      <c r="V337" s="147"/>
      <c r="W337" s="147"/>
      <c r="X337" s="147"/>
      <c r="Y337" s="147"/>
      <c r="Z337" s="147"/>
      <c r="AA337" s="147"/>
      <c r="AB337" s="147"/>
      <c r="AC337" s="147"/>
      <c r="AD337" s="147"/>
    </row>
    <row r="338" spans="1:30" ht="12.75" customHeight="1" x14ac:dyDescent="0.2">
      <c r="A338" s="147"/>
      <c r="B338" s="384" t="s">
        <v>1215</v>
      </c>
      <c r="C338" s="384"/>
      <c r="D338" s="384"/>
      <c r="E338" s="341">
        <f>GETPIVOTDATA("Net Dwellings",Pivots!$B$403,"Ward","Teddington")</f>
        <v>164</v>
      </c>
      <c r="F338" s="341">
        <f>GETPIVOTDATA("Net Dwellings",Pivots!$E$403,"Ward","Teddington")</f>
        <v>24</v>
      </c>
      <c r="G338" s="341">
        <f>GETPIVOTDATA("Net Dwellings",Pivots!$H$403,"Ward","Teddington")</f>
        <v>13</v>
      </c>
      <c r="H338" s="341">
        <f>GETPIVOTDATA("Net Dwellings",Pivots!$K$403,"Ward","Teddington")</f>
        <v>0</v>
      </c>
      <c r="I338" s="341">
        <v>0</v>
      </c>
      <c r="J338" s="341">
        <f>GETPIVOTDATA("Net Dwellings",Pivots!$Q$403,"Ward","Teddington")</f>
        <v>11</v>
      </c>
      <c r="K338" s="341">
        <v>0</v>
      </c>
      <c r="L338" s="341">
        <f t="shared" si="39"/>
        <v>212</v>
      </c>
      <c r="M338" s="341">
        <f>Pivots!H455</f>
        <v>30</v>
      </c>
      <c r="N338" s="9"/>
      <c r="O338" s="9"/>
      <c r="P338" s="7"/>
      <c r="Q338" s="7"/>
      <c r="R338" s="196"/>
      <c r="S338" s="147"/>
      <c r="T338" s="147"/>
      <c r="U338" s="147"/>
      <c r="V338" s="147"/>
      <c r="W338" s="147"/>
      <c r="X338" s="147"/>
      <c r="Y338" s="147"/>
      <c r="Z338" s="147"/>
      <c r="AA338" s="147"/>
      <c r="AB338" s="147"/>
      <c r="AC338" s="147"/>
      <c r="AD338" s="147"/>
    </row>
    <row r="339" spans="1:30" ht="12.75" customHeight="1" x14ac:dyDescent="0.2">
      <c r="A339" s="147"/>
      <c r="B339" s="384" t="s">
        <v>1238</v>
      </c>
      <c r="C339" s="384"/>
      <c r="D339" s="384"/>
      <c r="E339" s="341">
        <f>GETPIVOTDATA("Net Dwellings",Pivots!$B$403,"Ward","Twickenham Riverside")</f>
        <v>3</v>
      </c>
      <c r="F339" s="341">
        <f>GETPIVOTDATA("Net Dwellings",Pivots!$E$403,"Ward","Twickenham Riverside")</f>
        <v>9</v>
      </c>
      <c r="G339" s="341">
        <f>GETPIVOTDATA("Net Dwellings",Pivots!$H$403,"Ward","Twickenham Riverside")</f>
        <v>3</v>
      </c>
      <c r="H339" s="341">
        <f>GETPIVOTDATA("Net Dwellings",Pivots!$K$403,"Ward","Twickenham Riverside")</f>
        <v>4</v>
      </c>
      <c r="I339" s="341">
        <v>0</v>
      </c>
      <c r="J339" s="341">
        <f>GETPIVOTDATA("Net Dwellings",Pivots!$Q$403,"Ward","Twickenham Riverside")</f>
        <v>9</v>
      </c>
      <c r="K339" s="341">
        <v>0</v>
      </c>
      <c r="L339" s="341">
        <f t="shared" si="39"/>
        <v>28</v>
      </c>
      <c r="M339" s="341">
        <f>Pivots!H456</f>
        <v>70</v>
      </c>
      <c r="N339" s="9"/>
      <c r="O339" s="9"/>
      <c r="P339" s="7"/>
      <c r="Q339" s="7"/>
      <c r="R339" s="196"/>
      <c r="S339" s="147"/>
      <c r="T339" s="147"/>
      <c r="U339" s="147"/>
      <c r="V339" s="147"/>
      <c r="W339" s="147"/>
      <c r="X339" s="147"/>
      <c r="Y339" s="147"/>
      <c r="Z339" s="147"/>
      <c r="AA339" s="147"/>
      <c r="AB339" s="147"/>
      <c r="AC339" s="147"/>
      <c r="AD339" s="147"/>
    </row>
    <row r="340" spans="1:30" ht="12.75" customHeight="1" x14ac:dyDescent="0.2">
      <c r="A340" s="147"/>
      <c r="B340" s="384" t="s">
        <v>1239</v>
      </c>
      <c r="C340" s="384"/>
      <c r="D340" s="384"/>
      <c r="E340" s="341">
        <f>GETPIVOTDATA("Net Dwellings",Pivots!$B$403,"Ward","West Twickenham")</f>
        <v>3</v>
      </c>
      <c r="F340" s="341">
        <f>GETPIVOTDATA("Net Dwellings",Pivots!$E$403,"Ward","West Twickenham")</f>
        <v>3</v>
      </c>
      <c r="G340" s="341">
        <f>GETPIVOTDATA("Net Dwellings",Pivots!$H$403,"Ward","West Twickenham")</f>
        <v>0</v>
      </c>
      <c r="H340" s="341">
        <f>GETPIVOTDATA("Net Dwellings",Pivots!$K$403,"Ward","West Twickenham")</f>
        <v>3</v>
      </c>
      <c r="I340" s="341">
        <v>0</v>
      </c>
      <c r="J340" s="341">
        <v>0</v>
      </c>
      <c r="K340" s="341">
        <v>0</v>
      </c>
      <c r="L340" s="341">
        <f t="shared" si="39"/>
        <v>9</v>
      </c>
      <c r="M340" s="341">
        <v>0</v>
      </c>
      <c r="N340" s="9"/>
      <c r="O340" s="9"/>
      <c r="P340" s="7"/>
      <c r="Q340" s="7"/>
      <c r="R340" s="196"/>
      <c r="S340" s="147"/>
      <c r="T340" s="147"/>
      <c r="U340" s="147"/>
      <c r="V340" s="147"/>
      <c r="W340" s="147"/>
      <c r="X340" s="147"/>
      <c r="Y340" s="147"/>
      <c r="Z340" s="147"/>
      <c r="AA340" s="147"/>
      <c r="AB340" s="147"/>
      <c r="AC340" s="147"/>
      <c r="AD340" s="147"/>
    </row>
    <row r="341" spans="1:30" ht="15" customHeight="1" x14ac:dyDescent="0.2">
      <c r="A341" s="147"/>
      <c r="B341" s="384" t="s">
        <v>1219</v>
      </c>
      <c r="C341" s="384"/>
      <c r="D341" s="384"/>
      <c r="E341" s="341">
        <v>0</v>
      </c>
      <c r="F341" s="341">
        <f>GETPIVOTDATA("Net Dwellings",Pivots!$E$403,"Ward","Whitton")</f>
        <v>-3</v>
      </c>
      <c r="G341" s="341">
        <f>GETPIVOTDATA("Net Dwellings",Pivots!$H$403,"Ward","Whitton")</f>
        <v>4</v>
      </c>
      <c r="H341" s="341">
        <f>GETPIVOTDATA("Net Dwellings",Pivots!$K$403,"Ward","Whitton")</f>
        <v>3</v>
      </c>
      <c r="I341" s="341">
        <v>0</v>
      </c>
      <c r="J341" s="341">
        <v>0</v>
      </c>
      <c r="K341" s="341">
        <v>0</v>
      </c>
      <c r="L341" s="341">
        <f t="shared" si="39"/>
        <v>4</v>
      </c>
      <c r="M341" s="341">
        <f>Pivots!H457</f>
        <v>50</v>
      </c>
      <c r="N341" s="9"/>
      <c r="O341" s="9"/>
      <c r="P341" s="7"/>
      <c r="Q341" s="7"/>
      <c r="R341" s="196"/>
      <c r="S341" s="147"/>
      <c r="T341" s="147"/>
      <c r="U341" s="147"/>
      <c r="V341" s="147"/>
      <c r="W341" s="147"/>
      <c r="X341" s="147"/>
      <c r="Y341" s="147"/>
      <c r="Z341" s="147"/>
      <c r="AA341" s="147"/>
      <c r="AB341" s="147"/>
      <c r="AC341" s="147"/>
      <c r="AD341" s="147"/>
    </row>
    <row r="342" spans="1:30" x14ac:dyDescent="0.2">
      <c r="A342" s="147"/>
      <c r="B342" s="385" t="s">
        <v>1061</v>
      </c>
      <c r="C342" s="385"/>
      <c r="D342" s="385"/>
      <c r="E342" s="219">
        <f>SUM(E324:E341)</f>
        <v>624</v>
      </c>
      <c r="F342" s="219">
        <f>SUM(F324:F341)</f>
        <v>183</v>
      </c>
      <c r="G342" s="219">
        <f>SUM(G324:G341)</f>
        <v>55</v>
      </c>
      <c r="H342" s="219">
        <f t="shared" ref="H342:K342" si="40">SUM(H324:H341)</f>
        <v>70</v>
      </c>
      <c r="I342" s="219">
        <f t="shared" si="40"/>
        <v>20</v>
      </c>
      <c r="J342" s="219">
        <f t="shared" si="40"/>
        <v>61</v>
      </c>
      <c r="K342" s="219">
        <f t="shared" si="40"/>
        <v>754</v>
      </c>
      <c r="L342" s="219">
        <f>SUM(L324:L341)</f>
        <v>1767</v>
      </c>
      <c r="M342" s="219">
        <f>SUM(M324:M341)</f>
        <v>1225</v>
      </c>
      <c r="N342" s="9"/>
      <c r="O342" s="9"/>
      <c r="P342" s="7"/>
      <c r="Q342" s="7"/>
      <c r="R342" s="196"/>
      <c r="S342" s="147"/>
      <c r="T342" s="147"/>
      <c r="U342" s="147"/>
      <c r="V342" s="147"/>
      <c r="W342" s="147"/>
      <c r="X342" s="147"/>
      <c r="Y342" s="147"/>
      <c r="Z342" s="147"/>
      <c r="AA342" s="147"/>
      <c r="AB342" s="147"/>
      <c r="AC342" s="147"/>
      <c r="AD342" s="147"/>
    </row>
    <row r="343" spans="1:30" x14ac:dyDescent="0.2">
      <c r="A343" s="147"/>
      <c r="B343" s="148"/>
      <c r="C343" s="47"/>
      <c r="D343" s="47"/>
      <c r="E343" s="47"/>
      <c r="F343" s="47"/>
      <c r="G343" s="47"/>
      <c r="H343" s="47"/>
      <c r="I343" s="47"/>
      <c r="J343" s="47"/>
      <c r="K343" s="47"/>
      <c r="L343" s="47"/>
      <c r="M343" s="17"/>
      <c r="N343" s="17"/>
      <c r="O343" s="17"/>
      <c r="P343" s="9"/>
      <c r="Q343" s="7"/>
      <c r="R343" s="196"/>
      <c r="S343" s="147"/>
      <c r="T343" s="147"/>
      <c r="U343" s="147"/>
      <c r="V343" s="147"/>
      <c r="W343" s="147"/>
      <c r="X343" s="147"/>
      <c r="Y343" s="147"/>
      <c r="Z343" s="147"/>
      <c r="AA343" s="147"/>
      <c r="AB343" s="147"/>
      <c r="AC343" s="147"/>
      <c r="AD343" s="147"/>
    </row>
    <row r="344" spans="1:30" x14ac:dyDescent="0.2">
      <c r="A344" s="147"/>
      <c r="B344" s="220"/>
      <c r="C344" s="221"/>
      <c r="D344" s="221"/>
      <c r="E344" s="221"/>
      <c r="F344" s="221"/>
      <c r="G344" s="221"/>
      <c r="H344" s="221"/>
      <c r="I344" s="221"/>
      <c r="J344" s="17"/>
      <c r="K344" s="17"/>
      <c r="L344" s="17"/>
      <c r="M344" s="17"/>
      <c r="N344" s="17"/>
      <c r="O344" s="17"/>
      <c r="P344" s="9"/>
      <c r="Q344" s="7"/>
      <c r="R344" s="196"/>
      <c r="S344" s="147"/>
      <c r="T344" s="147"/>
      <c r="U344" s="147"/>
      <c r="V344" s="147"/>
      <c r="W344" s="147"/>
      <c r="X344" s="147"/>
      <c r="Y344" s="147"/>
      <c r="Z344" s="147"/>
      <c r="AA344" s="147"/>
      <c r="AB344" s="147"/>
      <c r="AC344" s="147"/>
      <c r="AD344" s="147"/>
    </row>
    <row r="345" spans="1:30" x14ac:dyDescent="0.2">
      <c r="A345" s="147"/>
      <c r="B345" s="220"/>
      <c r="C345" s="221"/>
      <c r="D345" s="221"/>
      <c r="E345" s="221"/>
      <c r="F345" s="221"/>
      <c r="G345" s="221"/>
      <c r="H345" s="221"/>
      <c r="I345" s="221"/>
      <c r="J345" s="17"/>
      <c r="K345" s="17"/>
      <c r="L345" s="17"/>
      <c r="M345" s="17"/>
      <c r="N345" s="17"/>
      <c r="O345" s="17"/>
      <c r="P345" s="9"/>
      <c r="Q345" s="7"/>
      <c r="R345" s="196"/>
      <c r="S345" s="147"/>
      <c r="T345" s="147"/>
      <c r="U345" s="147"/>
      <c r="V345" s="147"/>
      <c r="W345" s="147"/>
      <c r="X345" s="147"/>
      <c r="Y345" s="147"/>
      <c r="Z345" s="147"/>
      <c r="AA345" s="147"/>
      <c r="AB345" s="147"/>
      <c r="AC345" s="147"/>
      <c r="AD345" s="147"/>
    </row>
    <row r="346" spans="1:30" x14ac:dyDescent="0.2">
      <c r="A346" s="147"/>
      <c r="B346" s="220"/>
      <c r="C346" s="211"/>
      <c r="D346" s="211"/>
      <c r="E346" s="211"/>
      <c r="F346" s="211"/>
      <c r="G346" s="211"/>
      <c r="H346" s="211"/>
      <c r="I346" s="211"/>
      <c r="J346" s="9"/>
      <c r="K346" s="9"/>
      <c r="L346" s="9"/>
      <c r="M346" s="9"/>
      <c r="N346" s="9"/>
      <c r="O346" s="9"/>
      <c r="P346" s="9"/>
      <c r="Q346" s="7"/>
      <c r="R346" s="196"/>
      <c r="S346" s="147"/>
      <c r="T346" s="147"/>
      <c r="U346" s="147"/>
      <c r="V346" s="147"/>
      <c r="W346" s="147"/>
      <c r="X346" s="147"/>
      <c r="Y346" s="147"/>
      <c r="Z346" s="147"/>
      <c r="AA346" s="147"/>
      <c r="AB346" s="147"/>
      <c r="AC346" s="147"/>
      <c r="AD346" s="147"/>
    </row>
    <row r="347" spans="1:30" x14ac:dyDescent="0.2">
      <c r="A347" s="147"/>
      <c r="B347" s="220"/>
      <c r="C347" s="211"/>
      <c r="D347" s="211"/>
      <c r="E347" s="211"/>
      <c r="F347" s="211"/>
      <c r="G347" s="211"/>
      <c r="H347" s="211"/>
      <c r="I347" s="211"/>
      <c r="J347" s="9"/>
      <c r="K347" s="9"/>
      <c r="L347" s="9"/>
      <c r="M347" s="9"/>
      <c r="N347" s="9"/>
      <c r="O347" s="9"/>
      <c r="P347" s="9"/>
      <c r="Q347" s="7"/>
      <c r="R347" s="196"/>
      <c r="S347" s="147"/>
      <c r="T347" s="147"/>
      <c r="U347" s="147"/>
      <c r="V347" s="147"/>
      <c r="W347" s="147"/>
      <c r="X347" s="147"/>
      <c r="Y347" s="147"/>
      <c r="Z347" s="147"/>
      <c r="AA347" s="147"/>
      <c r="AB347" s="147"/>
      <c r="AC347" s="147"/>
      <c r="AD347" s="147"/>
    </row>
    <row r="348" spans="1:30" x14ac:dyDescent="0.2">
      <c r="A348" s="147"/>
      <c r="B348" s="220"/>
      <c r="C348" s="211"/>
      <c r="D348" s="211"/>
      <c r="E348" s="211"/>
      <c r="F348" s="211"/>
      <c r="G348" s="211"/>
      <c r="H348" s="211"/>
      <c r="I348" s="211"/>
      <c r="J348" s="9"/>
      <c r="K348" s="9"/>
      <c r="L348" s="9"/>
      <c r="M348" s="9"/>
      <c r="N348" s="9"/>
      <c r="O348" s="9"/>
      <c r="P348" s="9"/>
      <c r="Q348" s="7"/>
      <c r="R348" s="196"/>
      <c r="S348" s="147"/>
      <c r="T348" s="147"/>
      <c r="U348" s="147"/>
      <c r="V348" s="147"/>
      <c r="W348" s="147"/>
      <c r="X348" s="147"/>
      <c r="Y348" s="147"/>
      <c r="Z348" s="147"/>
      <c r="AA348" s="147"/>
      <c r="AB348" s="147"/>
      <c r="AC348" s="147"/>
      <c r="AD348" s="147"/>
    </row>
    <row r="349" spans="1:30" x14ac:dyDescent="0.2">
      <c r="A349" s="147"/>
      <c r="B349" s="220"/>
      <c r="C349" s="211"/>
      <c r="D349" s="211"/>
      <c r="E349" s="211"/>
      <c r="F349" s="211"/>
      <c r="G349" s="211"/>
      <c r="H349" s="211"/>
      <c r="I349" s="211"/>
      <c r="J349" s="9"/>
      <c r="K349" s="9"/>
      <c r="L349" s="9"/>
      <c r="M349" s="9"/>
      <c r="N349" s="9"/>
      <c r="O349" s="9"/>
      <c r="P349" s="9"/>
      <c r="Q349" s="7"/>
      <c r="R349" s="196"/>
      <c r="S349" s="147"/>
      <c r="T349" s="147"/>
      <c r="U349" s="147"/>
      <c r="V349" s="147"/>
      <c r="W349" s="147"/>
      <c r="X349" s="147"/>
      <c r="Y349" s="147"/>
      <c r="Z349" s="147"/>
      <c r="AA349" s="147"/>
      <c r="AB349" s="147"/>
      <c r="AC349" s="147"/>
      <c r="AD349" s="147"/>
    </row>
    <row r="350" spans="1:30" x14ac:dyDescent="0.2">
      <c r="A350" s="147"/>
      <c r="B350" s="222"/>
      <c r="C350" s="143"/>
      <c r="D350" s="143"/>
      <c r="E350" s="143"/>
      <c r="F350" s="143"/>
      <c r="G350" s="143"/>
      <c r="H350" s="143"/>
      <c r="I350" s="143"/>
      <c r="J350" s="143"/>
      <c r="K350" s="143"/>
      <c r="L350" s="143"/>
      <c r="M350" s="143"/>
      <c r="N350" s="143"/>
      <c r="O350" s="143"/>
      <c r="P350" s="143"/>
      <c r="Q350" s="143"/>
      <c r="R350" s="223"/>
      <c r="S350" s="147"/>
      <c r="T350" s="147"/>
      <c r="U350" s="147"/>
      <c r="V350" s="147"/>
      <c r="W350" s="147"/>
      <c r="X350" s="147"/>
      <c r="Y350" s="147"/>
      <c r="Z350" s="147"/>
      <c r="AA350" s="147"/>
      <c r="AB350" s="147"/>
      <c r="AC350" s="147"/>
      <c r="AD350" s="147"/>
    </row>
    <row r="351" spans="1:30" x14ac:dyDescent="0.2">
      <c r="A351" s="147"/>
      <c r="B351" s="224" t="s">
        <v>1269</v>
      </c>
      <c r="C351" s="225"/>
      <c r="D351" s="225"/>
      <c r="E351" s="225"/>
      <c r="F351" s="225"/>
      <c r="G351" s="225"/>
      <c r="H351" s="225"/>
      <c r="I351" s="225"/>
      <c r="J351" s="225"/>
      <c r="K351" s="225"/>
      <c r="L351" s="225"/>
      <c r="M351" s="225"/>
      <c r="N351" s="225"/>
      <c r="O351" s="225"/>
      <c r="P351" s="225"/>
      <c r="Q351" s="225"/>
      <c r="R351" s="226"/>
      <c r="S351" s="147"/>
      <c r="T351" s="147"/>
      <c r="U351" s="147"/>
      <c r="V351" s="147"/>
      <c r="W351" s="147"/>
      <c r="X351" s="147"/>
      <c r="Y351" s="147"/>
      <c r="Z351" s="147"/>
      <c r="AA351" s="147"/>
      <c r="AB351" s="147"/>
      <c r="AC351" s="147"/>
      <c r="AD351" s="147"/>
    </row>
    <row r="352" spans="1:30" x14ac:dyDescent="0.2">
      <c r="A352" s="147"/>
      <c r="B352" s="10"/>
      <c r="C352" s="10"/>
      <c r="D352" s="10"/>
      <c r="E352" s="10"/>
      <c r="F352" s="10"/>
      <c r="G352" s="10"/>
      <c r="H352" s="10"/>
      <c r="I352" s="10"/>
      <c r="J352" s="10"/>
      <c r="K352" s="10"/>
      <c r="L352" s="10"/>
      <c r="M352" s="10"/>
      <c r="N352" s="10"/>
      <c r="O352" s="10"/>
      <c r="P352" s="10"/>
      <c r="Q352" s="10"/>
      <c r="R352" s="147"/>
      <c r="S352" s="147"/>
      <c r="T352" s="147"/>
      <c r="U352" s="147"/>
      <c r="V352" s="147"/>
      <c r="W352" s="147"/>
      <c r="X352" s="147"/>
      <c r="Y352" s="147"/>
      <c r="Z352" s="147"/>
      <c r="AA352" s="147"/>
      <c r="AB352" s="147"/>
      <c r="AC352" s="147"/>
      <c r="AD352" s="147"/>
    </row>
    <row r="353" spans="1:30" x14ac:dyDescent="0.2">
      <c r="A353" s="147"/>
      <c r="B353" s="10"/>
      <c r="C353" s="10"/>
      <c r="D353" s="10"/>
      <c r="E353" s="10"/>
      <c r="F353" s="10"/>
      <c r="G353" s="10"/>
      <c r="H353" s="10"/>
      <c r="I353" s="10"/>
      <c r="J353" s="10"/>
      <c r="K353" s="10"/>
      <c r="L353" s="10"/>
      <c r="M353" s="10"/>
      <c r="N353" s="10"/>
      <c r="O353" s="10"/>
      <c r="P353" s="10"/>
      <c r="Q353" s="10"/>
      <c r="R353" s="147"/>
      <c r="S353" s="147"/>
      <c r="T353" s="147"/>
      <c r="U353" s="147"/>
      <c r="V353" s="147"/>
      <c r="W353" s="147"/>
      <c r="X353" s="147"/>
      <c r="Y353" s="147"/>
      <c r="Z353" s="147"/>
      <c r="AA353" s="147"/>
      <c r="AB353" s="147"/>
      <c r="AC353" s="147"/>
      <c r="AD353" s="147"/>
    </row>
    <row r="354" spans="1:30" x14ac:dyDescent="0.2">
      <c r="A354" s="147"/>
      <c r="B354" s="10"/>
      <c r="C354" s="10"/>
      <c r="D354" s="10"/>
      <c r="E354" s="10"/>
      <c r="F354" s="10"/>
      <c r="G354" s="10"/>
      <c r="H354" s="10"/>
      <c r="I354" s="10"/>
      <c r="J354" s="10"/>
      <c r="K354" s="10"/>
      <c r="L354" s="10"/>
      <c r="M354" s="10"/>
      <c r="N354" s="10"/>
      <c r="O354" s="10"/>
      <c r="P354" s="10"/>
      <c r="Q354" s="10"/>
      <c r="R354" s="147"/>
      <c r="S354" s="147"/>
      <c r="T354" s="147"/>
      <c r="U354" s="147"/>
      <c r="V354" s="147"/>
      <c r="W354" s="147"/>
      <c r="X354" s="147"/>
      <c r="Y354" s="147"/>
      <c r="Z354" s="147"/>
      <c r="AA354" s="147"/>
      <c r="AB354" s="147"/>
      <c r="AC354" s="147"/>
      <c r="AD354" s="147"/>
    </row>
    <row r="355" spans="1:30" x14ac:dyDescent="0.2">
      <c r="A355" s="147"/>
      <c r="B355" s="10"/>
      <c r="C355" s="10"/>
      <c r="D355" s="10"/>
      <c r="E355" s="10"/>
      <c r="F355" s="10"/>
      <c r="G355" s="10"/>
      <c r="H355" s="10"/>
      <c r="I355" s="10"/>
      <c r="J355" s="10"/>
      <c r="K355" s="10"/>
      <c r="L355" s="10"/>
      <c r="M355" s="10"/>
      <c r="N355" s="10"/>
      <c r="O355" s="10"/>
      <c r="P355" s="10"/>
      <c r="Q355" s="10"/>
      <c r="R355" s="147"/>
      <c r="S355" s="147"/>
      <c r="T355" s="147"/>
      <c r="U355" s="147"/>
      <c r="V355" s="147"/>
      <c r="W355" s="147"/>
      <c r="X355" s="147"/>
      <c r="Y355" s="147"/>
      <c r="Z355" s="147"/>
      <c r="AA355" s="147"/>
      <c r="AB355" s="147"/>
      <c r="AC355" s="147"/>
      <c r="AD355" s="147"/>
    </row>
    <row r="356" spans="1:30" x14ac:dyDescent="0.2">
      <c r="A356" s="147"/>
      <c r="B356" s="10"/>
      <c r="C356" s="10"/>
      <c r="D356" s="10"/>
      <c r="E356" s="10"/>
      <c r="F356" s="10"/>
      <c r="G356" s="10"/>
      <c r="H356" s="10"/>
      <c r="I356" s="10"/>
      <c r="J356" s="10"/>
      <c r="K356" s="10"/>
      <c r="L356" s="10"/>
      <c r="M356" s="10"/>
      <c r="N356" s="10"/>
      <c r="O356" s="10"/>
      <c r="P356" s="10"/>
      <c r="Q356" s="10"/>
      <c r="R356" s="147"/>
      <c r="S356" s="147"/>
      <c r="T356" s="147"/>
      <c r="U356" s="147"/>
      <c r="V356" s="147"/>
      <c r="W356" s="147"/>
      <c r="X356" s="147"/>
      <c r="Y356" s="147"/>
      <c r="Z356" s="147"/>
      <c r="AA356" s="147"/>
      <c r="AB356" s="147"/>
      <c r="AC356" s="147"/>
      <c r="AD356" s="147"/>
    </row>
    <row r="357" spans="1:30" x14ac:dyDescent="0.2">
      <c r="A357" s="147"/>
      <c r="B357" s="10"/>
      <c r="C357" s="10"/>
      <c r="D357" s="10"/>
      <c r="E357" s="10"/>
      <c r="F357" s="10"/>
      <c r="G357" s="10"/>
      <c r="H357" s="10"/>
      <c r="I357" s="10"/>
      <c r="J357" s="10"/>
      <c r="K357" s="10"/>
      <c r="L357" s="10"/>
      <c r="M357" s="10"/>
      <c r="N357" s="10"/>
      <c r="O357" s="10"/>
      <c r="P357" s="10"/>
      <c r="Q357" s="10"/>
      <c r="R357" s="147"/>
      <c r="S357" s="147"/>
      <c r="T357" s="147"/>
      <c r="U357" s="147"/>
      <c r="V357" s="147"/>
      <c r="W357" s="147"/>
      <c r="X357" s="147"/>
      <c r="Y357" s="147"/>
      <c r="Z357" s="147"/>
      <c r="AA357" s="147"/>
      <c r="AB357" s="147"/>
      <c r="AC357" s="147"/>
      <c r="AD357" s="147"/>
    </row>
    <row r="358" spans="1:30" x14ac:dyDescent="0.2">
      <c r="A358" s="147"/>
      <c r="B358" s="10"/>
      <c r="C358" s="10"/>
      <c r="D358" s="10"/>
      <c r="E358" s="10"/>
      <c r="F358" s="10"/>
      <c r="G358" s="10"/>
      <c r="H358" s="10"/>
      <c r="I358" s="10"/>
      <c r="J358" s="10"/>
      <c r="K358" s="10"/>
      <c r="L358" s="10"/>
      <c r="M358" s="10"/>
      <c r="N358" s="10"/>
      <c r="O358" s="10"/>
      <c r="P358" s="10"/>
      <c r="Q358" s="10"/>
      <c r="R358" s="147"/>
      <c r="S358" s="147"/>
      <c r="T358" s="147"/>
      <c r="U358" s="147"/>
      <c r="V358" s="147"/>
      <c r="W358" s="147"/>
      <c r="X358" s="147"/>
      <c r="Y358" s="147"/>
      <c r="Z358" s="147"/>
      <c r="AA358" s="147"/>
      <c r="AB358" s="147"/>
      <c r="AC358" s="147"/>
      <c r="AD358" s="147"/>
    </row>
    <row r="359" spans="1:30" x14ac:dyDescent="0.2">
      <c r="A359" s="147"/>
      <c r="B359" s="10"/>
      <c r="C359" s="10"/>
      <c r="D359" s="10"/>
      <c r="E359" s="10"/>
      <c r="F359" s="10"/>
      <c r="G359" s="10"/>
      <c r="H359" s="10"/>
      <c r="I359" s="10"/>
      <c r="J359" s="10"/>
      <c r="K359" s="10"/>
      <c r="L359" s="10"/>
      <c r="M359" s="10"/>
      <c r="N359" s="10"/>
      <c r="O359" s="10"/>
      <c r="P359" s="10"/>
      <c r="Q359" s="10"/>
      <c r="R359" s="147"/>
      <c r="S359" s="147"/>
      <c r="T359" s="147"/>
      <c r="U359" s="147"/>
      <c r="V359" s="147"/>
      <c r="W359" s="147"/>
      <c r="X359" s="147"/>
      <c r="Y359" s="147"/>
      <c r="Z359" s="147"/>
      <c r="AA359" s="147"/>
      <c r="AB359" s="147"/>
      <c r="AC359" s="147"/>
      <c r="AD359" s="147"/>
    </row>
    <row r="360" spans="1:30" x14ac:dyDescent="0.2">
      <c r="A360" s="147"/>
      <c r="B360" s="10"/>
      <c r="C360" s="10"/>
      <c r="D360" s="10"/>
      <c r="E360" s="10"/>
      <c r="F360" s="10"/>
      <c r="G360" s="10"/>
      <c r="H360" s="10"/>
      <c r="I360" s="10"/>
      <c r="J360" s="10"/>
      <c r="K360" s="10"/>
      <c r="L360" s="10"/>
      <c r="M360" s="10"/>
      <c r="N360" s="10"/>
      <c r="O360" s="10"/>
      <c r="P360" s="10"/>
      <c r="Q360" s="10"/>
      <c r="R360" s="147"/>
      <c r="S360" s="147"/>
      <c r="T360" s="147"/>
      <c r="U360" s="147"/>
      <c r="V360" s="147"/>
      <c r="W360" s="147"/>
      <c r="X360" s="147"/>
      <c r="Y360" s="147"/>
      <c r="Z360" s="147"/>
      <c r="AA360" s="147"/>
      <c r="AB360" s="147"/>
      <c r="AC360" s="147"/>
      <c r="AD360" s="147"/>
    </row>
    <row r="361" spans="1:30" x14ac:dyDescent="0.2">
      <c r="A361" s="147"/>
      <c r="B361" s="10"/>
      <c r="C361" s="10"/>
      <c r="D361" s="10"/>
      <c r="E361" s="10"/>
      <c r="F361" s="10"/>
      <c r="G361" s="10"/>
      <c r="H361" s="10"/>
      <c r="I361" s="10"/>
      <c r="J361" s="10"/>
      <c r="K361" s="10"/>
      <c r="L361" s="10"/>
      <c r="M361" s="10"/>
      <c r="N361" s="10"/>
      <c r="O361" s="10"/>
      <c r="P361" s="10"/>
      <c r="Q361" s="10"/>
      <c r="R361" s="147"/>
      <c r="S361" s="147"/>
      <c r="T361" s="147"/>
      <c r="U361" s="147"/>
      <c r="V361" s="147"/>
      <c r="W361" s="147"/>
      <c r="X361" s="147"/>
      <c r="Y361" s="147"/>
      <c r="Z361" s="147"/>
      <c r="AA361" s="147"/>
      <c r="AB361" s="147"/>
      <c r="AC361" s="147"/>
      <c r="AD361" s="147"/>
    </row>
    <row r="362" spans="1:30" x14ac:dyDescent="0.2">
      <c r="A362" s="147"/>
      <c r="B362" s="10"/>
      <c r="C362" s="10"/>
      <c r="D362" s="10"/>
      <c r="E362" s="10"/>
      <c r="F362" s="10"/>
      <c r="G362" s="10"/>
      <c r="H362" s="10"/>
      <c r="I362" s="10"/>
      <c r="J362" s="10"/>
      <c r="K362" s="10"/>
      <c r="L362" s="10"/>
      <c r="M362" s="10"/>
      <c r="N362" s="10"/>
      <c r="O362" s="10"/>
      <c r="P362" s="10"/>
      <c r="Q362" s="10"/>
      <c r="R362" s="147"/>
      <c r="S362" s="147"/>
      <c r="T362" s="147"/>
      <c r="U362" s="147"/>
      <c r="V362" s="147"/>
      <c r="W362" s="147"/>
      <c r="X362" s="147"/>
      <c r="Y362" s="147"/>
      <c r="Z362" s="147"/>
      <c r="AA362" s="147"/>
      <c r="AB362" s="147"/>
      <c r="AC362" s="147"/>
      <c r="AD362" s="147"/>
    </row>
    <row r="363" spans="1:30" x14ac:dyDescent="0.2">
      <c r="A363" s="147"/>
      <c r="B363" s="10"/>
      <c r="C363" s="10"/>
      <c r="D363" s="10"/>
      <c r="E363" s="10"/>
      <c r="F363" s="10"/>
      <c r="G363" s="10"/>
      <c r="H363" s="10"/>
      <c r="I363" s="10"/>
      <c r="J363" s="10"/>
      <c r="K363" s="10"/>
      <c r="L363" s="10"/>
      <c r="M363" s="10"/>
      <c r="N363" s="10"/>
      <c r="O363" s="10"/>
      <c r="P363" s="10"/>
      <c r="Q363" s="10"/>
      <c r="R363" s="147"/>
      <c r="S363" s="147"/>
      <c r="T363" s="147"/>
      <c r="U363" s="147"/>
      <c r="V363" s="147"/>
      <c r="W363" s="147"/>
      <c r="X363" s="147"/>
      <c r="Y363" s="147"/>
      <c r="Z363" s="147"/>
      <c r="AA363" s="147"/>
      <c r="AB363" s="147"/>
      <c r="AC363" s="147"/>
      <c r="AD363" s="147"/>
    </row>
    <row r="364" spans="1:30" x14ac:dyDescent="0.2">
      <c r="A364" s="147"/>
      <c r="B364" s="10"/>
      <c r="C364" s="10"/>
      <c r="D364" s="10"/>
      <c r="E364" s="10"/>
      <c r="F364" s="10"/>
      <c r="G364" s="10"/>
      <c r="H364" s="10"/>
      <c r="I364" s="10"/>
      <c r="J364" s="10"/>
      <c r="K364" s="10"/>
      <c r="L364" s="10"/>
      <c r="M364" s="10"/>
      <c r="N364" s="10"/>
      <c r="O364" s="10"/>
      <c r="P364" s="10"/>
      <c r="Q364" s="10"/>
      <c r="R364" s="147"/>
      <c r="S364" s="147"/>
      <c r="T364" s="147"/>
      <c r="U364" s="147"/>
      <c r="V364" s="147"/>
      <c r="W364" s="147"/>
      <c r="X364" s="147"/>
      <c r="Y364" s="147"/>
      <c r="Z364" s="147"/>
      <c r="AA364" s="147"/>
      <c r="AB364" s="147"/>
      <c r="AC364" s="147"/>
      <c r="AD364" s="147"/>
    </row>
    <row r="365" spans="1:30" x14ac:dyDescent="0.2">
      <c r="A365" s="147"/>
      <c r="B365" s="10"/>
      <c r="C365" s="10"/>
      <c r="D365" s="10"/>
      <c r="E365" s="10"/>
      <c r="F365" s="10"/>
      <c r="G365" s="10"/>
      <c r="H365" s="10"/>
      <c r="I365" s="10"/>
      <c r="J365" s="10"/>
      <c r="K365" s="10"/>
      <c r="L365" s="10"/>
      <c r="M365" s="10"/>
      <c r="N365" s="10"/>
      <c r="O365" s="10"/>
      <c r="P365" s="10"/>
      <c r="Q365" s="10"/>
      <c r="R365" s="147"/>
      <c r="S365" s="147"/>
      <c r="T365" s="147"/>
      <c r="U365" s="147"/>
      <c r="V365" s="147"/>
      <c r="W365" s="147"/>
      <c r="X365" s="147"/>
      <c r="Y365" s="147"/>
      <c r="Z365" s="147"/>
      <c r="AA365" s="147"/>
      <c r="AB365" s="147"/>
      <c r="AC365" s="147"/>
      <c r="AD365" s="147"/>
    </row>
    <row r="366" spans="1:30" x14ac:dyDescent="0.2">
      <c r="A366" s="147"/>
      <c r="B366" s="10"/>
      <c r="C366" s="10"/>
      <c r="D366" s="10"/>
      <c r="E366" s="10"/>
      <c r="F366" s="10"/>
      <c r="G366" s="10"/>
      <c r="H366" s="10"/>
      <c r="I366" s="10"/>
      <c r="J366" s="10"/>
      <c r="K366" s="10"/>
      <c r="L366" s="10"/>
      <c r="M366" s="10"/>
      <c r="N366" s="10"/>
      <c r="O366" s="10"/>
      <c r="P366" s="10"/>
      <c r="Q366" s="10"/>
      <c r="R366" s="147"/>
      <c r="S366" s="147"/>
      <c r="T366" s="147"/>
      <c r="U366" s="147"/>
      <c r="V366" s="147"/>
      <c r="W366" s="147"/>
      <c r="X366" s="147"/>
      <c r="Y366" s="147"/>
      <c r="Z366" s="147"/>
      <c r="AA366" s="147"/>
      <c r="AB366" s="147"/>
      <c r="AC366" s="147"/>
      <c r="AD366" s="147"/>
    </row>
    <row r="367" spans="1:30" x14ac:dyDescent="0.2">
      <c r="A367" s="147"/>
      <c r="B367" s="10"/>
      <c r="C367" s="10"/>
      <c r="D367" s="10"/>
      <c r="E367" s="10"/>
      <c r="F367" s="10"/>
      <c r="G367" s="10"/>
      <c r="H367" s="10"/>
      <c r="I367" s="10"/>
      <c r="J367" s="10"/>
      <c r="K367" s="10"/>
      <c r="L367" s="10"/>
      <c r="M367" s="10"/>
      <c r="N367" s="10"/>
      <c r="O367" s="10"/>
      <c r="P367" s="10"/>
      <c r="Q367" s="10"/>
      <c r="R367" s="147"/>
      <c r="S367" s="147"/>
      <c r="T367" s="147"/>
      <c r="U367" s="147"/>
      <c r="V367" s="147"/>
      <c r="W367" s="147"/>
      <c r="X367" s="147"/>
      <c r="Y367" s="147"/>
      <c r="Z367" s="147"/>
      <c r="AA367" s="147"/>
      <c r="AB367" s="147"/>
      <c r="AC367" s="147"/>
      <c r="AD367" s="147"/>
    </row>
    <row r="368" spans="1:30" x14ac:dyDescent="0.2">
      <c r="A368" s="147"/>
      <c r="B368" s="10"/>
      <c r="C368" s="10"/>
      <c r="D368" s="10"/>
      <c r="E368" s="10"/>
      <c r="F368" s="10"/>
      <c r="G368" s="10"/>
      <c r="H368" s="10"/>
      <c r="I368" s="10"/>
      <c r="J368" s="10"/>
      <c r="K368" s="10"/>
      <c r="L368" s="10"/>
      <c r="M368" s="10"/>
      <c r="N368" s="10"/>
      <c r="O368" s="10"/>
      <c r="P368" s="10"/>
      <c r="Q368" s="10"/>
      <c r="R368" s="147"/>
      <c r="S368" s="147"/>
      <c r="T368" s="147"/>
      <c r="U368" s="147"/>
      <c r="V368" s="147"/>
      <c r="W368" s="147"/>
      <c r="X368" s="147"/>
      <c r="Y368" s="147"/>
      <c r="Z368" s="147"/>
      <c r="AA368" s="147"/>
      <c r="AB368" s="147"/>
      <c r="AC368" s="147"/>
      <c r="AD368" s="147"/>
    </row>
    <row r="369" spans="1:30" x14ac:dyDescent="0.2">
      <c r="A369" s="147"/>
      <c r="B369" s="10"/>
      <c r="C369" s="10"/>
      <c r="D369" s="10"/>
      <c r="E369" s="10"/>
      <c r="F369" s="10"/>
      <c r="G369" s="10"/>
      <c r="H369" s="10"/>
      <c r="I369" s="10"/>
      <c r="J369" s="10"/>
      <c r="K369" s="10"/>
      <c r="L369" s="10"/>
      <c r="M369" s="10"/>
      <c r="N369" s="10"/>
      <c r="O369" s="10"/>
      <c r="P369" s="10"/>
      <c r="Q369" s="10"/>
      <c r="R369" s="147"/>
      <c r="S369" s="147"/>
      <c r="T369" s="147"/>
      <c r="U369" s="147"/>
      <c r="V369" s="147"/>
      <c r="W369" s="147"/>
      <c r="X369" s="147"/>
      <c r="Y369" s="147"/>
      <c r="Z369" s="147"/>
      <c r="AA369" s="147"/>
      <c r="AB369" s="147"/>
      <c r="AC369" s="147"/>
      <c r="AD369" s="147"/>
    </row>
    <row r="370" spans="1:30" x14ac:dyDescent="0.2">
      <c r="A370" s="147"/>
      <c r="B370" s="10"/>
      <c r="C370" s="10"/>
      <c r="D370" s="10"/>
      <c r="E370" s="10"/>
      <c r="F370" s="10"/>
      <c r="G370" s="10"/>
      <c r="H370" s="10"/>
      <c r="I370" s="10"/>
      <c r="J370" s="10"/>
      <c r="K370" s="10"/>
      <c r="L370" s="10"/>
      <c r="M370" s="10"/>
      <c r="N370" s="10"/>
      <c r="O370" s="10"/>
      <c r="P370" s="10"/>
      <c r="Q370" s="10"/>
      <c r="R370" s="147"/>
      <c r="S370" s="147"/>
      <c r="T370" s="147"/>
      <c r="U370" s="147"/>
      <c r="V370" s="147"/>
      <c r="W370" s="147"/>
      <c r="X370" s="147"/>
      <c r="Y370" s="147"/>
      <c r="Z370" s="147"/>
      <c r="AA370" s="147"/>
      <c r="AB370" s="147"/>
      <c r="AC370" s="147"/>
      <c r="AD370" s="147"/>
    </row>
    <row r="371" spans="1:30" x14ac:dyDescent="0.2">
      <c r="A371" s="147"/>
      <c r="B371" s="10"/>
      <c r="C371" s="10"/>
      <c r="D371" s="10"/>
      <c r="E371" s="10"/>
      <c r="F371" s="10"/>
      <c r="G371" s="10"/>
      <c r="H371" s="10"/>
      <c r="I371" s="10"/>
      <c r="J371" s="10"/>
      <c r="K371" s="10"/>
      <c r="L371" s="10"/>
      <c r="M371" s="10"/>
      <c r="N371" s="10"/>
      <c r="O371" s="10"/>
      <c r="P371" s="10"/>
      <c r="Q371" s="10"/>
      <c r="R371" s="147"/>
      <c r="S371" s="147"/>
      <c r="T371" s="147"/>
      <c r="U371" s="147"/>
      <c r="V371" s="147"/>
      <c r="W371" s="147"/>
      <c r="X371" s="147"/>
      <c r="Y371" s="147"/>
      <c r="Z371" s="147"/>
      <c r="AA371" s="147"/>
      <c r="AB371" s="147"/>
      <c r="AC371" s="147"/>
      <c r="AD371" s="147"/>
    </row>
    <row r="372" spans="1:30" x14ac:dyDescent="0.2">
      <c r="A372" s="147"/>
      <c r="B372" s="10"/>
      <c r="C372" s="10"/>
      <c r="D372" s="10"/>
      <c r="E372" s="10"/>
      <c r="F372" s="10"/>
      <c r="G372" s="10"/>
      <c r="H372" s="10"/>
      <c r="I372" s="10"/>
      <c r="J372" s="10"/>
      <c r="K372" s="10"/>
      <c r="L372" s="10"/>
      <c r="M372" s="10"/>
      <c r="N372" s="10"/>
      <c r="O372" s="10"/>
      <c r="P372" s="10"/>
      <c r="Q372" s="10"/>
      <c r="R372" s="147"/>
      <c r="S372" s="147"/>
      <c r="T372" s="147"/>
      <c r="U372" s="147"/>
      <c r="V372" s="147"/>
      <c r="W372" s="147"/>
      <c r="X372" s="147"/>
      <c r="Y372" s="147"/>
      <c r="Z372" s="147"/>
      <c r="AA372" s="147"/>
      <c r="AB372" s="147"/>
      <c r="AC372" s="147"/>
      <c r="AD372" s="147"/>
    </row>
    <row r="373" spans="1:30" x14ac:dyDescent="0.2">
      <c r="A373" s="147"/>
      <c r="B373" s="10"/>
      <c r="C373" s="10"/>
      <c r="D373" s="10"/>
      <c r="E373" s="10"/>
      <c r="F373" s="10"/>
      <c r="G373" s="10"/>
      <c r="H373" s="10"/>
      <c r="I373" s="10"/>
      <c r="J373" s="10"/>
      <c r="K373" s="10"/>
      <c r="L373" s="10"/>
      <c r="M373" s="10"/>
      <c r="N373" s="10"/>
      <c r="O373" s="10"/>
      <c r="P373" s="10"/>
      <c r="Q373" s="10"/>
      <c r="R373" s="147"/>
      <c r="S373" s="147"/>
      <c r="T373" s="147"/>
      <c r="U373" s="147"/>
      <c r="V373" s="147"/>
      <c r="W373" s="147"/>
      <c r="X373" s="147"/>
      <c r="Y373" s="147"/>
      <c r="Z373" s="147"/>
      <c r="AA373" s="147"/>
      <c r="AB373" s="147"/>
      <c r="AC373" s="147"/>
      <c r="AD373" s="147"/>
    </row>
    <row r="374" spans="1:30" x14ac:dyDescent="0.2">
      <c r="A374" s="147"/>
      <c r="B374" s="10"/>
      <c r="C374" s="10"/>
      <c r="D374" s="10"/>
      <c r="E374" s="10"/>
      <c r="F374" s="10"/>
      <c r="G374" s="10"/>
      <c r="H374" s="10"/>
      <c r="I374" s="10"/>
      <c r="J374" s="10"/>
      <c r="K374" s="10"/>
      <c r="L374" s="10"/>
      <c r="M374" s="10"/>
      <c r="N374" s="10"/>
      <c r="O374" s="10"/>
      <c r="P374" s="10"/>
      <c r="Q374" s="10"/>
      <c r="R374" s="147"/>
      <c r="S374" s="147"/>
      <c r="T374" s="147"/>
      <c r="U374" s="147"/>
      <c r="V374" s="147"/>
      <c r="W374" s="147"/>
      <c r="X374" s="147"/>
      <c r="Y374" s="147"/>
      <c r="Z374" s="147"/>
      <c r="AA374" s="147"/>
      <c r="AB374" s="147"/>
      <c r="AC374" s="147"/>
      <c r="AD374" s="147"/>
    </row>
    <row r="375" spans="1:30" x14ac:dyDescent="0.2">
      <c r="A375" s="147"/>
      <c r="B375" s="10"/>
      <c r="C375" s="10"/>
      <c r="D375" s="10"/>
      <c r="E375" s="10"/>
      <c r="F375" s="10"/>
      <c r="G375" s="10"/>
      <c r="H375" s="10"/>
      <c r="I375" s="10"/>
      <c r="J375" s="10"/>
      <c r="K375" s="10"/>
      <c r="L375" s="10"/>
      <c r="M375" s="10"/>
      <c r="N375" s="10"/>
      <c r="O375" s="10"/>
      <c r="P375" s="10"/>
      <c r="Q375" s="10"/>
      <c r="R375" s="147"/>
      <c r="S375" s="147"/>
      <c r="T375" s="147"/>
      <c r="U375" s="147"/>
      <c r="V375" s="147"/>
      <c r="W375" s="147"/>
      <c r="X375" s="147"/>
      <c r="Y375" s="147"/>
      <c r="Z375" s="147"/>
      <c r="AA375" s="147"/>
      <c r="AB375" s="147"/>
      <c r="AC375" s="147"/>
      <c r="AD375" s="147"/>
    </row>
    <row r="376" spans="1:30" x14ac:dyDescent="0.2">
      <c r="A376" s="147"/>
      <c r="B376" s="10"/>
      <c r="C376" s="10"/>
      <c r="D376" s="10"/>
      <c r="E376" s="10"/>
      <c r="F376" s="10"/>
      <c r="G376" s="10"/>
      <c r="H376" s="10"/>
      <c r="I376" s="10"/>
      <c r="J376" s="10"/>
      <c r="K376" s="10"/>
      <c r="L376" s="10"/>
      <c r="M376" s="10"/>
      <c r="N376" s="10"/>
      <c r="O376" s="10"/>
      <c r="P376" s="10"/>
      <c r="Q376" s="10"/>
      <c r="R376" s="147"/>
      <c r="S376" s="147"/>
      <c r="T376" s="147"/>
      <c r="U376" s="147"/>
      <c r="V376" s="147"/>
      <c r="W376" s="147"/>
      <c r="X376" s="147"/>
      <c r="Y376" s="147"/>
      <c r="Z376" s="147"/>
      <c r="AA376" s="147"/>
      <c r="AB376" s="147"/>
      <c r="AC376" s="147"/>
      <c r="AD376" s="147"/>
    </row>
    <row r="377" spans="1:30" x14ac:dyDescent="0.2">
      <c r="A377" s="147"/>
      <c r="B377" s="10"/>
      <c r="C377" s="10"/>
      <c r="D377" s="10"/>
      <c r="E377" s="10"/>
      <c r="F377" s="10"/>
      <c r="G377" s="10"/>
      <c r="H377" s="10"/>
      <c r="I377" s="10"/>
      <c r="J377" s="10"/>
      <c r="K377" s="10"/>
      <c r="L377" s="10"/>
      <c r="M377" s="10"/>
      <c r="N377" s="10"/>
      <c r="O377" s="10"/>
      <c r="P377" s="10"/>
      <c r="Q377" s="10"/>
      <c r="R377" s="147"/>
      <c r="S377" s="147"/>
      <c r="T377" s="147"/>
      <c r="U377" s="147"/>
      <c r="V377" s="147"/>
      <c r="W377" s="147"/>
      <c r="X377" s="147"/>
      <c r="Y377" s="147"/>
      <c r="Z377" s="147"/>
      <c r="AA377" s="147"/>
      <c r="AB377" s="147"/>
      <c r="AC377" s="147"/>
      <c r="AD377" s="147"/>
    </row>
    <row r="378" spans="1:30" x14ac:dyDescent="0.2">
      <c r="A378" s="147"/>
      <c r="B378" s="10"/>
      <c r="C378" s="10"/>
      <c r="D378" s="10"/>
      <c r="E378" s="10"/>
      <c r="F378" s="10"/>
      <c r="G378" s="10"/>
      <c r="H378" s="10"/>
      <c r="I378" s="10"/>
      <c r="J378" s="10"/>
      <c r="K378" s="10"/>
      <c r="L378" s="10"/>
      <c r="M378" s="10"/>
      <c r="N378" s="10"/>
      <c r="O378" s="10"/>
      <c r="P378" s="10"/>
      <c r="Q378" s="10"/>
      <c r="R378" s="147"/>
      <c r="S378" s="147"/>
      <c r="T378" s="147"/>
      <c r="U378" s="147"/>
      <c r="V378" s="147"/>
      <c r="W378" s="147"/>
      <c r="X378" s="147"/>
      <c r="Y378" s="147"/>
      <c r="Z378" s="147"/>
      <c r="AA378" s="147"/>
      <c r="AB378" s="147"/>
      <c r="AC378" s="147"/>
      <c r="AD378" s="147"/>
    </row>
    <row r="379" spans="1:30" x14ac:dyDescent="0.2">
      <c r="A379" s="147"/>
      <c r="B379" s="10"/>
      <c r="C379" s="10"/>
      <c r="D379" s="10"/>
      <c r="E379" s="10"/>
      <c r="F379" s="10"/>
      <c r="G379" s="10"/>
      <c r="H379" s="10"/>
      <c r="I379" s="10"/>
      <c r="J379" s="10"/>
      <c r="K379" s="10"/>
      <c r="L379" s="10"/>
      <c r="M379" s="10"/>
      <c r="N379" s="10"/>
      <c r="O379" s="10"/>
      <c r="P379" s="10"/>
      <c r="Q379" s="10"/>
      <c r="R379" s="147"/>
      <c r="S379" s="147"/>
      <c r="T379" s="147"/>
      <c r="U379" s="147"/>
      <c r="V379" s="147"/>
      <c r="W379" s="147"/>
      <c r="X379" s="147"/>
      <c r="Y379" s="147"/>
      <c r="Z379" s="147"/>
      <c r="AA379" s="147"/>
      <c r="AB379" s="147"/>
      <c r="AC379" s="147"/>
      <c r="AD379" s="147"/>
    </row>
    <row r="380" spans="1:30" x14ac:dyDescent="0.2">
      <c r="A380" s="147"/>
      <c r="B380" s="10"/>
      <c r="C380" s="10"/>
      <c r="D380" s="10"/>
      <c r="E380" s="10"/>
      <c r="F380" s="10"/>
      <c r="G380" s="10"/>
      <c r="H380" s="10"/>
      <c r="I380" s="10"/>
      <c r="J380" s="10"/>
      <c r="K380" s="10"/>
      <c r="L380" s="10"/>
      <c r="M380" s="10"/>
      <c r="N380" s="10"/>
      <c r="O380" s="10"/>
      <c r="P380" s="10"/>
      <c r="Q380" s="10"/>
      <c r="R380" s="147"/>
      <c r="S380" s="147"/>
      <c r="T380" s="147"/>
      <c r="U380" s="147"/>
      <c r="V380" s="147"/>
      <c r="W380" s="147"/>
      <c r="X380" s="147"/>
      <c r="Y380" s="147"/>
      <c r="Z380" s="147"/>
      <c r="AA380" s="147"/>
      <c r="AB380" s="147"/>
      <c r="AC380" s="147"/>
      <c r="AD380" s="147"/>
    </row>
    <row r="381" spans="1:30" x14ac:dyDescent="0.2">
      <c r="A381" s="147"/>
      <c r="B381" s="10"/>
      <c r="C381" s="10"/>
      <c r="D381" s="10"/>
      <c r="E381" s="10"/>
      <c r="F381" s="10"/>
      <c r="G381" s="10"/>
      <c r="H381" s="10"/>
      <c r="I381" s="10"/>
      <c r="J381" s="10"/>
      <c r="K381" s="10"/>
      <c r="L381" s="10"/>
      <c r="M381" s="10"/>
      <c r="N381" s="10"/>
      <c r="O381" s="10"/>
      <c r="P381" s="10"/>
      <c r="Q381" s="10"/>
      <c r="R381" s="147"/>
      <c r="S381" s="147"/>
      <c r="T381" s="147"/>
      <c r="U381" s="147"/>
      <c r="V381" s="147"/>
      <c r="W381" s="147"/>
      <c r="X381" s="147"/>
      <c r="Y381" s="147"/>
      <c r="Z381" s="147"/>
      <c r="AA381" s="147"/>
      <c r="AB381" s="147"/>
      <c r="AC381" s="147"/>
      <c r="AD381" s="147"/>
    </row>
    <row r="382" spans="1:30" x14ac:dyDescent="0.2">
      <c r="A382" s="147"/>
      <c r="B382" s="10"/>
      <c r="C382" s="10"/>
      <c r="D382" s="10"/>
      <c r="E382" s="10"/>
      <c r="F382" s="10"/>
      <c r="G382" s="10"/>
      <c r="H382" s="10"/>
      <c r="I382" s="10"/>
      <c r="J382" s="10"/>
      <c r="K382" s="10"/>
      <c r="L382" s="10"/>
      <c r="M382" s="10"/>
      <c r="N382" s="10"/>
      <c r="O382" s="10"/>
      <c r="P382" s="10"/>
      <c r="Q382" s="10"/>
      <c r="R382" s="147"/>
      <c r="S382" s="147"/>
      <c r="T382" s="147"/>
      <c r="U382" s="147"/>
      <c r="V382" s="147"/>
      <c r="W382" s="147"/>
      <c r="X382" s="147"/>
      <c r="Y382" s="147"/>
      <c r="Z382" s="147"/>
      <c r="AA382" s="147"/>
      <c r="AB382" s="147"/>
      <c r="AC382" s="147"/>
      <c r="AD382" s="147"/>
    </row>
    <row r="383" spans="1:30" x14ac:dyDescent="0.2">
      <c r="A383" s="147"/>
      <c r="B383" s="10"/>
      <c r="C383" s="10"/>
      <c r="D383" s="10"/>
      <c r="E383" s="10"/>
      <c r="F383" s="10"/>
      <c r="G383" s="10"/>
      <c r="H383" s="10"/>
      <c r="I383" s="10"/>
      <c r="J383" s="10"/>
      <c r="K383" s="10"/>
      <c r="L383" s="10"/>
      <c r="M383" s="10"/>
      <c r="N383" s="10"/>
      <c r="O383" s="10"/>
      <c r="P383" s="10"/>
      <c r="Q383" s="10"/>
      <c r="R383" s="147"/>
      <c r="S383" s="147"/>
      <c r="T383" s="147"/>
      <c r="U383" s="147"/>
      <c r="V383" s="147"/>
      <c r="W383" s="147"/>
      <c r="X383" s="147"/>
      <c r="Y383" s="147"/>
      <c r="Z383" s="147"/>
      <c r="AA383" s="147"/>
      <c r="AB383" s="147"/>
      <c r="AC383" s="147"/>
      <c r="AD383" s="147"/>
    </row>
    <row r="384" spans="1:30" x14ac:dyDescent="0.2">
      <c r="A384" s="147"/>
      <c r="B384" s="10"/>
      <c r="C384" s="10"/>
      <c r="D384" s="10"/>
      <c r="E384" s="10"/>
      <c r="F384" s="10"/>
      <c r="G384" s="10"/>
      <c r="H384" s="10"/>
      <c r="I384" s="10"/>
      <c r="J384" s="10"/>
      <c r="K384" s="10"/>
      <c r="L384" s="10"/>
      <c r="M384" s="10"/>
      <c r="N384" s="10"/>
      <c r="O384" s="10"/>
      <c r="P384" s="10"/>
      <c r="Q384" s="10"/>
      <c r="R384" s="147"/>
      <c r="S384" s="147"/>
      <c r="T384" s="147"/>
      <c r="U384" s="147"/>
      <c r="V384" s="147"/>
      <c r="W384" s="147"/>
      <c r="X384" s="147"/>
      <c r="Y384" s="147"/>
      <c r="Z384" s="147"/>
      <c r="AA384" s="147"/>
      <c r="AB384" s="147"/>
      <c r="AC384" s="147"/>
      <c r="AD384" s="147"/>
    </row>
    <row r="385" spans="1:30" x14ac:dyDescent="0.2">
      <c r="A385" s="147"/>
      <c r="B385" s="10"/>
      <c r="C385" s="10"/>
      <c r="D385" s="10"/>
      <c r="E385" s="10"/>
      <c r="F385" s="10"/>
      <c r="G385" s="10"/>
      <c r="H385" s="10"/>
      <c r="I385" s="10"/>
      <c r="J385" s="10"/>
      <c r="K385" s="10"/>
      <c r="L385" s="10"/>
      <c r="M385" s="10"/>
      <c r="N385" s="10"/>
      <c r="O385" s="10"/>
      <c r="P385" s="10"/>
      <c r="Q385" s="10"/>
      <c r="R385" s="147"/>
      <c r="S385" s="147"/>
      <c r="T385" s="147"/>
      <c r="U385" s="147"/>
      <c r="V385" s="147"/>
      <c r="W385" s="147"/>
      <c r="X385" s="147"/>
      <c r="Y385" s="147"/>
      <c r="Z385" s="147"/>
      <c r="AA385" s="147"/>
      <c r="AB385" s="147"/>
      <c r="AC385" s="147"/>
      <c r="AD385" s="147"/>
    </row>
    <row r="386" spans="1:30" x14ac:dyDescent="0.2">
      <c r="A386" s="147"/>
      <c r="B386" s="10"/>
      <c r="C386" s="10"/>
      <c r="D386" s="10"/>
      <c r="E386" s="10"/>
      <c r="F386" s="10"/>
      <c r="G386" s="10"/>
      <c r="H386" s="10"/>
      <c r="I386" s="10"/>
      <c r="J386" s="10"/>
      <c r="K386" s="10"/>
      <c r="L386" s="10"/>
      <c r="M386" s="10"/>
      <c r="N386" s="10"/>
      <c r="O386" s="10"/>
      <c r="P386" s="10"/>
      <c r="Q386" s="10"/>
      <c r="R386" s="147"/>
      <c r="S386" s="147"/>
      <c r="T386" s="147"/>
      <c r="U386" s="147"/>
      <c r="V386" s="147"/>
      <c r="W386" s="147"/>
      <c r="X386" s="147"/>
      <c r="Y386" s="147"/>
      <c r="Z386" s="147"/>
      <c r="AA386" s="147"/>
      <c r="AB386" s="147"/>
      <c r="AC386" s="147"/>
      <c r="AD386" s="147"/>
    </row>
    <row r="387" spans="1:30" x14ac:dyDescent="0.2">
      <c r="A387" s="147"/>
      <c r="B387" s="10"/>
      <c r="C387" s="10"/>
      <c r="D387" s="10"/>
      <c r="E387" s="10"/>
      <c r="F387" s="10"/>
      <c r="G387" s="10"/>
      <c r="H387" s="10"/>
      <c r="I387" s="10"/>
      <c r="J387" s="10"/>
      <c r="K387" s="10"/>
      <c r="L387" s="10"/>
      <c r="M387" s="10"/>
      <c r="N387" s="10"/>
      <c r="O387" s="10"/>
      <c r="P387" s="10"/>
      <c r="Q387" s="10"/>
      <c r="R387" s="147"/>
      <c r="S387" s="147"/>
      <c r="T387" s="147"/>
      <c r="U387" s="147"/>
      <c r="V387" s="147"/>
      <c r="W387" s="147"/>
      <c r="X387" s="147"/>
      <c r="Y387" s="147"/>
      <c r="Z387" s="147"/>
      <c r="AA387" s="147"/>
      <c r="AB387" s="147"/>
      <c r="AC387" s="147"/>
      <c r="AD387" s="147"/>
    </row>
    <row r="388" spans="1:30" x14ac:dyDescent="0.2">
      <c r="A388" s="147"/>
      <c r="B388" s="10"/>
      <c r="C388" s="10"/>
      <c r="D388" s="10"/>
      <c r="E388" s="10"/>
      <c r="F388" s="10"/>
      <c r="G388" s="10"/>
      <c r="H388" s="10"/>
      <c r="I388" s="10"/>
      <c r="J388" s="10"/>
      <c r="K388" s="10"/>
      <c r="L388" s="10"/>
      <c r="M388" s="10"/>
      <c r="N388" s="10"/>
      <c r="O388" s="10"/>
      <c r="P388" s="10"/>
      <c r="Q388" s="10"/>
      <c r="R388" s="147"/>
      <c r="S388" s="147"/>
      <c r="T388" s="147"/>
      <c r="U388" s="147"/>
      <c r="V388" s="147"/>
      <c r="W388" s="147"/>
      <c r="X388" s="147"/>
      <c r="Y388" s="147"/>
      <c r="Z388" s="147"/>
      <c r="AA388" s="147"/>
      <c r="AB388" s="147"/>
      <c r="AC388" s="147"/>
      <c r="AD388" s="147"/>
    </row>
    <row r="389" spans="1:30" x14ac:dyDescent="0.2">
      <c r="A389" s="147"/>
      <c r="B389" s="10"/>
      <c r="C389" s="10"/>
      <c r="D389" s="10"/>
      <c r="E389" s="10"/>
      <c r="F389" s="10"/>
      <c r="G389" s="10"/>
      <c r="H389" s="10"/>
      <c r="I389" s="10"/>
      <c r="J389" s="10"/>
      <c r="K389" s="10"/>
      <c r="L389" s="10"/>
      <c r="M389" s="10"/>
      <c r="N389" s="10"/>
      <c r="O389" s="10"/>
      <c r="P389" s="10"/>
      <c r="Q389" s="10"/>
      <c r="R389" s="147"/>
      <c r="S389" s="147"/>
      <c r="T389" s="147"/>
      <c r="U389" s="147"/>
      <c r="V389" s="147"/>
      <c r="W389" s="147"/>
      <c r="X389" s="147"/>
      <c r="Y389" s="147"/>
      <c r="Z389" s="147"/>
      <c r="AA389" s="147"/>
      <c r="AB389" s="147"/>
      <c r="AC389" s="147"/>
      <c r="AD389" s="147"/>
    </row>
    <row r="390" spans="1:30" x14ac:dyDescent="0.2">
      <c r="A390" s="147"/>
      <c r="B390" s="10"/>
      <c r="C390" s="10"/>
      <c r="D390" s="10"/>
      <c r="E390" s="10"/>
      <c r="F390" s="10"/>
      <c r="G390" s="10"/>
      <c r="H390" s="10"/>
      <c r="I390" s="10"/>
      <c r="J390" s="10"/>
      <c r="K390" s="10"/>
      <c r="L390" s="10"/>
      <c r="M390" s="10"/>
      <c r="N390" s="10"/>
      <c r="O390" s="10"/>
      <c r="P390" s="10"/>
      <c r="Q390" s="10"/>
      <c r="R390" s="147"/>
      <c r="S390" s="147"/>
      <c r="T390" s="147"/>
      <c r="U390" s="147"/>
      <c r="V390" s="147"/>
      <c r="W390" s="147"/>
      <c r="X390" s="147"/>
      <c r="Y390" s="147"/>
      <c r="Z390" s="147"/>
      <c r="AA390" s="147"/>
      <c r="AB390" s="147"/>
      <c r="AC390" s="147"/>
      <c r="AD390" s="147"/>
    </row>
    <row r="391" spans="1:30" x14ac:dyDescent="0.2">
      <c r="A391" s="147"/>
      <c r="B391" s="10"/>
      <c r="C391" s="10"/>
      <c r="D391" s="10"/>
      <c r="E391" s="10"/>
      <c r="F391" s="10"/>
      <c r="G391" s="10"/>
      <c r="H391" s="10"/>
      <c r="I391" s="10"/>
      <c r="J391" s="10"/>
      <c r="K391" s="10"/>
      <c r="L391" s="10"/>
      <c r="M391" s="10"/>
      <c r="N391" s="10"/>
      <c r="O391" s="10"/>
      <c r="P391" s="10"/>
      <c r="Q391" s="10"/>
      <c r="R391" s="147"/>
      <c r="S391" s="147"/>
      <c r="T391" s="147"/>
      <c r="U391" s="147"/>
      <c r="V391" s="147"/>
      <c r="W391" s="147"/>
      <c r="X391" s="147"/>
      <c r="Y391" s="147"/>
      <c r="Z391" s="147"/>
      <c r="AA391" s="147"/>
      <c r="AB391" s="147"/>
      <c r="AC391" s="147"/>
      <c r="AD391" s="147"/>
    </row>
    <row r="392" spans="1:30" x14ac:dyDescent="0.2">
      <c r="A392" s="147"/>
      <c r="B392" s="10"/>
      <c r="C392" s="10"/>
      <c r="D392" s="10"/>
      <c r="E392" s="10"/>
      <c r="F392" s="10"/>
      <c r="G392" s="10"/>
      <c r="H392" s="10"/>
      <c r="I392" s="10"/>
      <c r="J392" s="10"/>
      <c r="K392" s="10"/>
      <c r="L392" s="10"/>
      <c r="M392" s="10"/>
      <c r="N392" s="10"/>
      <c r="O392" s="10"/>
      <c r="P392" s="10"/>
      <c r="Q392" s="10"/>
      <c r="R392" s="147"/>
      <c r="S392" s="147"/>
      <c r="T392" s="147"/>
      <c r="U392" s="147"/>
      <c r="V392" s="147"/>
      <c r="W392" s="147"/>
      <c r="X392" s="147"/>
      <c r="Y392" s="147"/>
      <c r="Z392" s="147"/>
      <c r="AA392" s="147"/>
      <c r="AB392" s="147"/>
      <c r="AC392" s="147"/>
      <c r="AD392" s="147"/>
    </row>
    <row r="393" spans="1:30" x14ac:dyDescent="0.2">
      <c r="A393" s="147"/>
      <c r="B393" s="10"/>
      <c r="C393" s="10"/>
      <c r="D393" s="10"/>
      <c r="E393" s="10"/>
      <c r="F393" s="10"/>
      <c r="G393" s="10"/>
      <c r="H393" s="10"/>
      <c r="I393" s="10"/>
      <c r="J393" s="10"/>
      <c r="K393" s="10"/>
      <c r="L393" s="10"/>
      <c r="M393" s="10"/>
      <c r="N393" s="10"/>
      <c r="O393" s="10"/>
      <c r="P393" s="10"/>
      <c r="Q393" s="10"/>
      <c r="R393" s="147"/>
      <c r="S393" s="147"/>
      <c r="T393" s="147"/>
      <c r="U393" s="147"/>
      <c r="V393" s="147"/>
      <c r="W393" s="147"/>
      <c r="X393" s="147"/>
      <c r="Y393" s="147"/>
      <c r="Z393" s="147"/>
      <c r="AA393" s="147"/>
      <c r="AB393" s="147"/>
      <c r="AC393" s="147"/>
      <c r="AD393" s="147"/>
    </row>
    <row r="394" spans="1:30" x14ac:dyDescent="0.2">
      <c r="A394" s="147"/>
      <c r="B394" s="10"/>
      <c r="C394" s="10"/>
      <c r="D394" s="10"/>
      <c r="E394" s="10"/>
      <c r="F394" s="10"/>
      <c r="G394" s="10"/>
      <c r="H394" s="10"/>
      <c r="I394" s="10"/>
      <c r="J394" s="10"/>
      <c r="K394" s="10"/>
      <c r="L394" s="10"/>
      <c r="M394" s="10"/>
      <c r="N394" s="10"/>
      <c r="O394" s="10"/>
      <c r="P394" s="10"/>
      <c r="Q394" s="10"/>
      <c r="R394" s="147"/>
      <c r="S394" s="147"/>
      <c r="T394" s="147"/>
      <c r="U394" s="147"/>
      <c r="V394" s="147"/>
      <c r="W394" s="147"/>
      <c r="X394" s="147"/>
      <c r="Y394" s="147"/>
      <c r="Z394" s="147"/>
      <c r="AA394" s="147"/>
      <c r="AB394" s="147"/>
      <c r="AC394" s="147"/>
      <c r="AD394" s="147"/>
    </row>
    <row r="395" spans="1:30" x14ac:dyDescent="0.2">
      <c r="A395" s="147"/>
      <c r="B395" s="10"/>
      <c r="C395" s="10"/>
      <c r="D395" s="10"/>
      <c r="E395" s="10"/>
      <c r="F395" s="10"/>
      <c r="G395" s="10"/>
      <c r="H395" s="10"/>
      <c r="I395" s="10"/>
      <c r="J395" s="10"/>
      <c r="K395" s="10"/>
      <c r="L395" s="10"/>
      <c r="M395" s="10"/>
      <c r="N395" s="10"/>
      <c r="O395" s="10"/>
      <c r="P395" s="10"/>
      <c r="Q395" s="10"/>
      <c r="R395" s="147"/>
      <c r="S395" s="147"/>
      <c r="T395" s="147"/>
      <c r="U395" s="147"/>
      <c r="V395" s="147"/>
      <c r="W395" s="147"/>
      <c r="X395" s="147"/>
      <c r="Y395" s="147"/>
      <c r="Z395" s="147"/>
      <c r="AA395" s="147"/>
      <c r="AB395" s="147"/>
      <c r="AC395" s="147"/>
      <c r="AD395" s="147"/>
    </row>
    <row r="396" spans="1:30" x14ac:dyDescent="0.2">
      <c r="A396" s="147"/>
      <c r="B396" s="10"/>
      <c r="C396" s="10"/>
      <c r="D396" s="10"/>
      <c r="E396" s="10"/>
      <c r="F396" s="10"/>
      <c r="G396" s="10"/>
      <c r="H396" s="10"/>
      <c r="I396" s="10"/>
      <c r="J396" s="10"/>
      <c r="K396" s="10"/>
      <c r="L396" s="10"/>
      <c r="M396" s="10"/>
      <c r="N396" s="10"/>
      <c r="O396" s="10"/>
      <c r="P396" s="10"/>
      <c r="Q396" s="10"/>
      <c r="R396" s="147"/>
      <c r="S396" s="147"/>
      <c r="T396" s="147"/>
      <c r="U396" s="147"/>
      <c r="V396" s="147"/>
      <c r="W396" s="147"/>
      <c r="X396" s="147"/>
      <c r="Y396" s="147"/>
      <c r="Z396" s="147"/>
      <c r="AA396" s="147"/>
      <c r="AB396" s="147"/>
      <c r="AC396" s="147"/>
      <c r="AD396" s="147"/>
    </row>
    <row r="397" spans="1:30" x14ac:dyDescent="0.2">
      <c r="A397" s="147"/>
      <c r="B397" s="10"/>
      <c r="C397" s="10"/>
      <c r="D397" s="10"/>
      <c r="E397" s="10"/>
      <c r="F397" s="10"/>
      <c r="G397" s="10"/>
      <c r="H397" s="10"/>
      <c r="I397" s="10"/>
      <c r="J397" s="10"/>
      <c r="K397" s="10"/>
      <c r="L397" s="10"/>
      <c r="M397" s="10"/>
      <c r="N397" s="10"/>
      <c r="O397" s="10"/>
      <c r="P397" s="10"/>
      <c r="Q397" s="10"/>
      <c r="R397" s="147"/>
      <c r="S397" s="147"/>
      <c r="T397" s="147"/>
      <c r="U397" s="147"/>
      <c r="V397" s="147"/>
      <c r="W397" s="147"/>
      <c r="X397" s="147"/>
      <c r="Y397" s="147"/>
      <c r="Z397" s="147"/>
      <c r="AA397" s="147"/>
      <c r="AB397" s="147"/>
      <c r="AC397" s="147"/>
      <c r="AD397" s="147"/>
    </row>
    <row r="398" spans="1:30" x14ac:dyDescent="0.2">
      <c r="A398" s="147"/>
      <c r="B398" s="10"/>
      <c r="C398" s="10"/>
      <c r="D398" s="10"/>
      <c r="E398" s="10"/>
      <c r="F398" s="10"/>
      <c r="G398" s="10"/>
      <c r="H398" s="10"/>
      <c r="I398" s="10"/>
      <c r="J398" s="10"/>
      <c r="K398" s="10"/>
      <c r="L398" s="10"/>
      <c r="M398" s="10"/>
      <c r="N398" s="10"/>
      <c r="O398" s="10"/>
      <c r="P398" s="10"/>
      <c r="Q398" s="10"/>
      <c r="R398" s="147"/>
      <c r="S398" s="147"/>
      <c r="T398" s="147"/>
      <c r="U398" s="147"/>
      <c r="V398" s="147"/>
      <c r="W398" s="147"/>
      <c r="X398" s="147"/>
      <c r="Y398" s="147"/>
      <c r="Z398" s="147"/>
      <c r="AA398" s="147"/>
      <c r="AB398" s="147"/>
      <c r="AC398" s="147"/>
      <c r="AD398" s="147"/>
    </row>
    <row r="399" spans="1:30" x14ac:dyDescent="0.2">
      <c r="A399" s="147"/>
      <c r="B399" s="10"/>
      <c r="C399" s="10"/>
      <c r="D399" s="10"/>
      <c r="E399" s="10"/>
      <c r="F399" s="10"/>
      <c r="G399" s="10"/>
      <c r="H399" s="10"/>
      <c r="I399" s="10"/>
      <c r="J399" s="10"/>
      <c r="K399" s="10"/>
      <c r="L399" s="10"/>
      <c r="M399" s="10"/>
      <c r="N399" s="10"/>
      <c r="O399" s="10"/>
      <c r="P399" s="10"/>
      <c r="Q399" s="10"/>
      <c r="R399" s="147"/>
      <c r="S399" s="147"/>
      <c r="T399" s="147"/>
      <c r="U399" s="147"/>
      <c r="V399" s="147"/>
      <c r="W399" s="147"/>
      <c r="X399" s="147"/>
      <c r="Y399" s="147"/>
      <c r="Z399" s="147"/>
      <c r="AA399" s="147"/>
      <c r="AB399" s="147"/>
      <c r="AC399" s="147"/>
      <c r="AD399" s="147"/>
    </row>
    <row r="400" spans="1:30" x14ac:dyDescent="0.2">
      <c r="A400" s="147"/>
      <c r="B400" s="10"/>
      <c r="C400" s="10"/>
      <c r="D400" s="10"/>
      <c r="E400" s="10"/>
      <c r="F400" s="10"/>
      <c r="G400" s="10"/>
      <c r="H400" s="10"/>
      <c r="I400" s="10"/>
      <c r="J400" s="10"/>
      <c r="K400" s="10"/>
      <c r="L400" s="10"/>
      <c r="M400" s="10"/>
      <c r="N400" s="10"/>
      <c r="O400" s="10"/>
      <c r="P400" s="10"/>
      <c r="Q400" s="10"/>
      <c r="R400" s="147"/>
      <c r="S400" s="147"/>
      <c r="T400" s="147"/>
      <c r="U400" s="147"/>
      <c r="V400" s="147"/>
      <c r="W400" s="147"/>
      <c r="X400" s="147"/>
      <c r="Y400" s="147"/>
      <c r="Z400" s="147"/>
      <c r="AA400" s="147"/>
      <c r="AB400" s="147"/>
      <c r="AC400" s="147"/>
      <c r="AD400" s="147"/>
    </row>
    <row r="401" spans="1:30" x14ac:dyDescent="0.2">
      <c r="A401" s="147"/>
      <c r="B401" s="10"/>
      <c r="C401" s="10"/>
      <c r="D401" s="10"/>
      <c r="E401" s="10"/>
      <c r="F401" s="10"/>
      <c r="G401" s="10"/>
      <c r="H401" s="10"/>
      <c r="I401" s="10"/>
      <c r="J401" s="10"/>
      <c r="K401" s="10"/>
      <c r="L401" s="10"/>
      <c r="M401" s="10"/>
      <c r="N401" s="10"/>
      <c r="O401" s="10"/>
      <c r="P401" s="10"/>
      <c r="Q401" s="10"/>
      <c r="R401" s="147"/>
      <c r="S401" s="147"/>
      <c r="T401" s="147"/>
      <c r="U401" s="147"/>
      <c r="V401" s="147"/>
      <c r="W401" s="147"/>
      <c r="X401" s="147"/>
      <c r="Y401" s="147"/>
      <c r="Z401" s="147"/>
      <c r="AA401" s="147"/>
      <c r="AB401" s="147"/>
      <c r="AC401" s="147"/>
      <c r="AD401" s="147"/>
    </row>
    <row r="402" spans="1:30" x14ac:dyDescent="0.2">
      <c r="A402" s="147"/>
      <c r="B402" s="10"/>
      <c r="C402" s="10"/>
      <c r="D402" s="10"/>
      <c r="E402" s="10"/>
      <c r="F402" s="10"/>
      <c r="G402" s="10"/>
      <c r="H402" s="10"/>
      <c r="I402" s="10"/>
      <c r="J402" s="10"/>
      <c r="K402" s="10"/>
      <c r="L402" s="10"/>
      <c r="M402" s="10"/>
      <c r="N402" s="10"/>
      <c r="O402" s="10"/>
      <c r="P402" s="10"/>
      <c r="Q402" s="10"/>
      <c r="R402" s="147"/>
      <c r="S402" s="147"/>
      <c r="T402" s="147"/>
      <c r="U402" s="147"/>
      <c r="V402" s="147"/>
      <c r="W402" s="147"/>
      <c r="X402" s="147"/>
      <c r="Y402" s="147"/>
      <c r="Z402" s="147"/>
      <c r="AA402" s="147"/>
      <c r="AB402" s="147"/>
      <c r="AC402" s="147"/>
      <c r="AD402" s="147"/>
    </row>
    <row r="403" spans="1:30" x14ac:dyDescent="0.2">
      <c r="A403" s="147"/>
      <c r="S403" s="147"/>
      <c r="T403" s="147"/>
      <c r="U403" s="147"/>
      <c r="V403" s="147"/>
      <c r="W403" s="147"/>
      <c r="X403" s="147"/>
      <c r="Y403" s="147"/>
      <c r="Z403" s="147"/>
      <c r="AA403" s="147"/>
      <c r="AB403" s="147"/>
      <c r="AC403" s="147"/>
      <c r="AD403" s="147"/>
    </row>
  </sheetData>
  <mergeCells count="226">
    <mergeCell ref="K213:L213"/>
    <mergeCell ref="H174:I174"/>
    <mergeCell ref="B2:R3"/>
    <mergeCell ref="B6:D7"/>
    <mergeCell ref="E6:E7"/>
    <mergeCell ref="N6:N7"/>
    <mergeCell ref="O6:O7"/>
    <mergeCell ref="F6:M6"/>
    <mergeCell ref="B14:D14"/>
    <mergeCell ref="B17:L17"/>
    <mergeCell ref="C18:K18"/>
    <mergeCell ref="C19:K19"/>
    <mergeCell ref="C20:I20"/>
    <mergeCell ref="J20:K20"/>
    <mergeCell ref="B8:D8"/>
    <mergeCell ref="B12:D13"/>
    <mergeCell ref="E12:E13"/>
    <mergeCell ref="J12:J13"/>
    <mergeCell ref="K12:K13"/>
    <mergeCell ref="F12:I12"/>
    <mergeCell ref="C24:I24"/>
    <mergeCell ref="J24:K24"/>
    <mergeCell ref="C25:I25"/>
    <mergeCell ref="J25:K25"/>
    <mergeCell ref="C26:I26"/>
    <mergeCell ref="J26:K26"/>
    <mergeCell ref="C21:I21"/>
    <mergeCell ref="J21:K21"/>
    <mergeCell ref="C22:I22"/>
    <mergeCell ref="J22:K22"/>
    <mergeCell ref="C23:I23"/>
    <mergeCell ref="J23:K23"/>
    <mergeCell ref="B33:G33"/>
    <mergeCell ref="H33:I33"/>
    <mergeCell ref="B34:G34"/>
    <mergeCell ref="H34:I34"/>
    <mergeCell ref="B35:G35"/>
    <mergeCell ref="H35:I35"/>
    <mergeCell ref="C27:I27"/>
    <mergeCell ref="J27:K27"/>
    <mergeCell ref="B31:G31"/>
    <mergeCell ref="H31:I31"/>
    <mergeCell ref="B32:G32"/>
    <mergeCell ref="H32:I32"/>
    <mergeCell ref="B45:D46"/>
    <mergeCell ref="E45:F45"/>
    <mergeCell ref="G45:H45"/>
    <mergeCell ref="I45:J45"/>
    <mergeCell ref="B47:D47"/>
    <mergeCell ref="B48:D48"/>
    <mergeCell ref="B36:G36"/>
    <mergeCell ref="H36:I36"/>
    <mergeCell ref="B37:G37"/>
    <mergeCell ref="H37:I37"/>
    <mergeCell ref="B38:G38"/>
    <mergeCell ref="H38:I38"/>
    <mergeCell ref="Q56:R57"/>
    <mergeCell ref="G57:H57"/>
    <mergeCell ref="I57:J57"/>
    <mergeCell ref="B49:D49"/>
    <mergeCell ref="B50:D50"/>
    <mergeCell ref="B51:D51"/>
    <mergeCell ref="B56:D58"/>
    <mergeCell ref="E56:F57"/>
    <mergeCell ref="G56:J56"/>
    <mergeCell ref="B59:D59"/>
    <mergeCell ref="B60:D60"/>
    <mergeCell ref="B61:D61"/>
    <mergeCell ref="B62:D62"/>
    <mergeCell ref="B63:D63"/>
    <mergeCell ref="B64:D64"/>
    <mergeCell ref="K56:L57"/>
    <mergeCell ref="M56:N57"/>
    <mergeCell ref="O56:P57"/>
    <mergeCell ref="B74:D74"/>
    <mergeCell ref="B75:D75"/>
    <mergeCell ref="B76:D76"/>
    <mergeCell ref="B105:C105"/>
    <mergeCell ref="B106:C106"/>
    <mergeCell ref="B107:C107"/>
    <mergeCell ref="Q68:R69"/>
    <mergeCell ref="G69:H69"/>
    <mergeCell ref="I69:J69"/>
    <mergeCell ref="B71:D71"/>
    <mergeCell ref="B72:D72"/>
    <mergeCell ref="B73:D73"/>
    <mergeCell ref="B68:D70"/>
    <mergeCell ref="E68:F69"/>
    <mergeCell ref="G68:J68"/>
    <mergeCell ref="K68:L69"/>
    <mergeCell ref="M68:N69"/>
    <mergeCell ref="O68:P69"/>
    <mergeCell ref="X136:Y136"/>
    <mergeCell ref="Z136:AA136"/>
    <mergeCell ref="B167:C167"/>
    <mergeCell ref="D167:E167"/>
    <mergeCell ref="F167:G167"/>
    <mergeCell ref="B168:C168"/>
    <mergeCell ref="D168:E168"/>
    <mergeCell ref="F168:G168"/>
    <mergeCell ref="B108:C108"/>
    <mergeCell ref="B128:B129"/>
    <mergeCell ref="C128:D128"/>
    <mergeCell ref="E128:F128"/>
    <mergeCell ref="U136:U137"/>
    <mergeCell ref="V136:W136"/>
    <mergeCell ref="B114:C114"/>
    <mergeCell ref="B115:C115"/>
    <mergeCell ref="B116:C116"/>
    <mergeCell ref="B113:C113"/>
    <mergeCell ref="G128:G129"/>
    <mergeCell ref="B171:C171"/>
    <mergeCell ref="D171:E171"/>
    <mergeCell ref="F171:G171"/>
    <mergeCell ref="B172:C172"/>
    <mergeCell ref="D172:E172"/>
    <mergeCell ref="F172:G172"/>
    <mergeCell ref="B169:C169"/>
    <mergeCell ref="D169:E169"/>
    <mergeCell ref="F169:G169"/>
    <mergeCell ref="B170:C170"/>
    <mergeCell ref="D170:E170"/>
    <mergeCell ref="F170:G170"/>
    <mergeCell ref="U187:V187"/>
    <mergeCell ref="W187:X187"/>
    <mergeCell ref="Y187:Z187"/>
    <mergeCell ref="AA187:AB187"/>
    <mergeCell ref="B207:C207"/>
    <mergeCell ref="K207:L207"/>
    <mergeCell ref="B173:C173"/>
    <mergeCell ref="D173:E173"/>
    <mergeCell ref="F173:G173"/>
    <mergeCell ref="B174:C174"/>
    <mergeCell ref="D174:E174"/>
    <mergeCell ref="F174:G174"/>
    <mergeCell ref="B211:C211"/>
    <mergeCell ref="K211:L211"/>
    <mergeCell ref="T210:T211"/>
    <mergeCell ref="U210:V210"/>
    <mergeCell ref="W210:X210"/>
    <mergeCell ref="Y210:Z210"/>
    <mergeCell ref="K212:L212"/>
    <mergeCell ref="B208:C208"/>
    <mergeCell ref="K208:L208"/>
    <mergeCell ref="B209:C209"/>
    <mergeCell ref="K209:L209"/>
    <mergeCell ref="B210:C210"/>
    <mergeCell ref="K210:L210"/>
    <mergeCell ref="B222:D222"/>
    <mergeCell ref="B223:D223"/>
    <mergeCell ref="B224:D224"/>
    <mergeCell ref="B225:D225"/>
    <mergeCell ref="B226:D226"/>
    <mergeCell ref="B227:D227"/>
    <mergeCell ref="B212:C212"/>
    <mergeCell ref="B217:D217"/>
    <mergeCell ref="B218:D218"/>
    <mergeCell ref="B219:D219"/>
    <mergeCell ref="B220:D220"/>
    <mergeCell ref="B221:D221"/>
    <mergeCell ref="B234:D234"/>
    <mergeCell ref="B235:D235"/>
    <mergeCell ref="B236:D236"/>
    <mergeCell ref="B243:D243"/>
    <mergeCell ref="B244:D244"/>
    <mergeCell ref="B245:D245"/>
    <mergeCell ref="B228:D228"/>
    <mergeCell ref="B229:D229"/>
    <mergeCell ref="B230:D230"/>
    <mergeCell ref="B231:D231"/>
    <mergeCell ref="B232:D232"/>
    <mergeCell ref="B233:D233"/>
    <mergeCell ref="B252:D252"/>
    <mergeCell ref="B253:D253"/>
    <mergeCell ref="B254:D254"/>
    <mergeCell ref="B255:D255"/>
    <mergeCell ref="B256:D256"/>
    <mergeCell ref="B257:D257"/>
    <mergeCell ref="B246:D246"/>
    <mergeCell ref="B247:D247"/>
    <mergeCell ref="B248:D248"/>
    <mergeCell ref="B249:D249"/>
    <mergeCell ref="B250:D250"/>
    <mergeCell ref="B251:D251"/>
    <mergeCell ref="B282:C283"/>
    <mergeCell ref="B284:C285"/>
    <mergeCell ref="B286:C287"/>
    <mergeCell ref="B288:C289"/>
    <mergeCell ref="B293:C293"/>
    <mergeCell ref="B294:C295"/>
    <mergeCell ref="B258:D258"/>
    <mergeCell ref="B259:D259"/>
    <mergeCell ref="B260:D260"/>
    <mergeCell ref="B261:D261"/>
    <mergeCell ref="B262:D262"/>
    <mergeCell ref="B281:C281"/>
    <mergeCell ref="E322:K322"/>
    <mergeCell ref="B323:D323"/>
    <mergeCell ref="B324:D324"/>
    <mergeCell ref="B296:C297"/>
    <mergeCell ref="B298:C299"/>
    <mergeCell ref="B300:C301"/>
    <mergeCell ref="B306:C306"/>
    <mergeCell ref="B307:C308"/>
    <mergeCell ref="B309:C310"/>
    <mergeCell ref="B325:D325"/>
    <mergeCell ref="B326:D326"/>
    <mergeCell ref="B327:D327"/>
    <mergeCell ref="B328:D328"/>
    <mergeCell ref="B329:D329"/>
    <mergeCell ref="B330:D330"/>
    <mergeCell ref="B311:C312"/>
    <mergeCell ref="B313:C314"/>
    <mergeCell ref="B322:D322"/>
    <mergeCell ref="B337:D337"/>
    <mergeCell ref="B338:D338"/>
    <mergeCell ref="B339:D339"/>
    <mergeCell ref="B340:D340"/>
    <mergeCell ref="B341:D341"/>
    <mergeCell ref="B342:D342"/>
    <mergeCell ref="B331:D331"/>
    <mergeCell ref="B332:D332"/>
    <mergeCell ref="B333:D333"/>
    <mergeCell ref="B334:D334"/>
    <mergeCell ref="B335:D335"/>
    <mergeCell ref="B336:D336"/>
  </mergeCells>
  <printOptions horizontalCentered="1"/>
  <pageMargins left="0.25" right="0.25" top="0.75" bottom="0.75" header="0.3" footer="0.3"/>
  <pageSetup paperSize="9" scale="83" fitToHeight="0" orientation="landscape" verticalDpi="300" r:id="rId1"/>
  <headerFooter alignWithMargins="0"/>
  <rowBreaks count="7" manualBreakCount="7">
    <brk id="41" min="1" max="17" man="1"/>
    <brk id="81" min="1" max="17" man="1"/>
    <brk id="123" min="1" max="17" man="1"/>
    <brk id="164" min="1" max="17" man="1"/>
    <brk id="202" min="1" max="17" man="1"/>
    <brk id="239" min="1" max="17" man="1"/>
    <brk id="276" min="1" max="17" man="1"/>
  </rowBreaks>
  <ignoredErrors>
    <ignoredError sqref="D14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A82EF-8F1B-4D20-8701-37D50003D334}">
  <sheetPr>
    <pageSetUpPr fitToPage="1"/>
  </sheetPr>
  <dimension ref="B2:X14"/>
  <sheetViews>
    <sheetView zoomScaleNormal="100" workbookViewId="0">
      <selection activeCell="B2" sqref="B2:X2"/>
    </sheetView>
  </sheetViews>
  <sheetFormatPr defaultRowHeight="12" x14ac:dyDescent="0.2"/>
  <cols>
    <col min="1" max="1" width="2.7109375" style="268" customWidth="1"/>
    <col min="2" max="2" width="12.28515625" style="268" bestFit="1" customWidth="1"/>
    <col min="3" max="3" width="50.140625" style="290" bestFit="1" customWidth="1"/>
    <col min="4" max="24" width="6.5703125" style="268" bestFit="1" customWidth="1"/>
    <col min="25" max="16384" width="9.140625" style="268"/>
  </cols>
  <sheetData>
    <row r="2" spans="2:24" ht="20.100000000000001" customHeight="1" x14ac:dyDescent="0.2">
      <c r="B2" s="490" t="s">
        <v>1463</v>
      </c>
      <c r="C2" s="491"/>
      <c r="D2" s="491"/>
      <c r="E2" s="491"/>
      <c r="F2" s="491"/>
      <c r="G2" s="491"/>
      <c r="H2" s="491"/>
      <c r="I2" s="491"/>
      <c r="J2" s="491"/>
      <c r="K2" s="491"/>
      <c r="L2" s="491"/>
      <c r="M2" s="491"/>
      <c r="N2" s="491"/>
      <c r="O2" s="491"/>
      <c r="P2" s="491"/>
      <c r="Q2" s="491"/>
      <c r="R2" s="491"/>
      <c r="S2" s="491"/>
      <c r="T2" s="491"/>
      <c r="U2" s="491"/>
      <c r="V2" s="491"/>
      <c r="W2" s="491"/>
      <c r="X2" s="492"/>
    </row>
    <row r="3" spans="2:24" ht="12.75" customHeight="1" x14ac:dyDescent="0.2">
      <c r="B3" s="493" t="s">
        <v>1464</v>
      </c>
      <c r="C3" s="494"/>
      <c r="D3" s="495" t="s">
        <v>1465</v>
      </c>
      <c r="E3" s="496"/>
      <c r="F3" s="496"/>
      <c r="G3" s="497"/>
      <c r="H3" s="498" t="s">
        <v>1466</v>
      </c>
      <c r="I3" s="499"/>
      <c r="J3" s="499"/>
      <c r="K3" s="499"/>
      <c r="L3" s="499"/>
      <c r="M3" s="499"/>
      <c r="N3" s="499"/>
      <c r="O3" s="499"/>
      <c r="P3" s="499"/>
      <c r="Q3" s="500"/>
      <c r="R3" s="501" t="s">
        <v>1467</v>
      </c>
      <c r="S3" s="501"/>
      <c r="T3" s="501"/>
      <c r="U3" s="501"/>
      <c r="V3" s="501"/>
      <c r="W3" s="501"/>
      <c r="X3" s="502"/>
    </row>
    <row r="4" spans="2:24" x14ac:dyDescent="0.2">
      <c r="B4" s="503" t="s">
        <v>1161</v>
      </c>
      <c r="C4" s="504"/>
      <c r="D4" s="269" t="s">
        <v>1098</v>
      </c>
      <c r="E4" s="270" t="s">
        <v>1099</v>
      </c>
      <c r="F4" s="270" t="s">
        <v>1100</v>
      </c>
      <c r="G4" s="271" t="s">
        <v>1101</v>
      </c>
      <c r="H4" s="269" t="s">
        <v>1102</v>
      </c>
      <c r="I4" s="270" t="s">
        <v>1103</v>
      </c>
      <c r="J4" s="270" t="s">
        <v>1104</v>
      </c>
      <c r="K4" s="270" t="s">
        <v>1270</v>
      </c>
      <c r="L4" s="270" t="s">
        <v>1468</v>
      </c>
      <c r="M4" s="270" t="s">
        <v>1469</v>
      </c>
      <c r="N4" s="270" t="s">
        <v>1470</v>
      </c>
      <c r="O4" s="270" t="s">
        <v>1471</v>
      </c>
      <c r="P4" s="270" t="s">
        <v>1472</v>
      </c>
      <c r="Q4" s="271" t="s">
        <v>1473</v>
      </c>
      <c r="R4" s="270" t="s">
        <v>1474</v>
      </c>
      <c r="S4" s="270" t="s">
        <v>1475</v>
      </c>
      <c r="T4" s="270" t="s">
        <v>1476</v>
      </c>
      <c r="U4" s="270" t="s">
        <v>1477</v>
      </c>
      <c r="V4" s="270" t="s">
        <v>1478</v>
      </c>
      <c r="W4" s="270" t="s">
        <v>1479</v>
      </c>
      <c r="X4" s="272" t="s">
        <v>1480</v>
      </c>
    </row>
    <row r="5" spans="2:24" ht="12" customHeight="1" x14ac:dyDescent="0.2">
      <c r="B5" s="484" t="s">
        <v>1481</v>
      </c>
      <c r="C5" s="485"/>
      <c r="D5" s="273">
        <v>10</v>
      </c>
      <c r="E5" s="274">
        <f>D5-1</f>
        <v>9</v>
      </c>
      <c r="F5" s="274">
        <f t="shared" ref="F5:G5" si="0">E5-1</f>
        <v>8</v>
      </c>
      <c r="G5" s="275">
        <f t="shared" si="0"/>
        <v>7</v>
      </c>
      <c r="H5" s="273">
        <v>10</v>
      </c>
      <c r="I5" s="274">
        <f>H5-1</f>
        <v>9</v>
      </c>
      <c r="J5" s="276">
        <f t="shared" ref="J5:Q5" si="1">I5-1</f>
        <v>8</v>
      </c>
      <c r="K5" s="274">
        <f t="shared" si="1"/>
        <v>7</v>
      </c>
      <c r="L5" s="274">
        <f t="shared" si="1"/>
        <v>6</v>
      </c>
      <c r="M5" s="274">
        <f t="shared" si="1"/>
        <v>5</v>
      </c>
      <c r="N5" s="274">
        <f t="shared" si="1"/>
        <v>4</v>
      </c>
      <c r="O5" s="274">
        <f t="shared" si="1"/>
        <v>3</v>
      </c>
      <c r="P5" s="274">
        <f t="shared" si="1"/>
        <v>2</v>
      </c>
      <c r="Q5" s="275">
        <f t="shared" si="1"/>
        <v>1</v>
      </c>
      <c r="R5" s="277"/>
      <c r="S5" s="277"/>
      <c r="T5" s="277"/>
      <c r="U5" s="277"/>
      <c r="V5" s="277"/>
      <c r="W5" s="277"/>
      <c r="X5" s="278"/>
    </row>
    <row r="6" spans="2:24" ht="23.1" customHeight="1" x14ac:dyDescent="0.2">
      <c r="B6" s="486" t="s">
        <v>1177</v>
      </c>
      <c r="C6" s="279" t="s">
        <v>1482</v>
      </c>
      <c r="D6" s="280">
        <v>208</v>
      </c>
      <c r="E6" s="280">
        <v>695</v>
      </c>
      <c r="F6" s="280">
        <v>235</v>
      </c>
      <c r="G6" s="280">
        <v>304</v>
      </c>
      <c r="H6" s="280">
        <v>491</v>
      </c>
      <c r="I6" s="280">
        <v>460</v>
      </c>
      <c r="J6" s="280">
        <v>382</v>
      </c>
      <c r="K6" s="280">
        <f>GETPIVOTDATA("Net Dwellings",Pivots!$B$5)</f>
        <v>419</v>
      </c>
      <c r="L6" s="282"/>
      <c r="M6" s="282"/>
      <c r="N6" s="282"/>
      <c r="O6" s="282"/>
      <c r="P6" s="283"/>
      <c r="Q6" s="283"/>
      <c r="R6" s="283"/>
      <c r="S6" s="283"/>
      <c r="T6" s="283"/>
      <c r="U6" s="283"/>
      <c r="V6" s="283"/>
      <c r="W6" s="283"/>
      <c r="X6" s="283"/>
    </row>
    <row r="7" spans="2:24" ht="23.1" customHeight="1" x14ac:dyDescent="0.2">
      <c r="B7" s="487"/>
      <c r="C7" s="279" t="s">
        <v>1483</v>
      </c>
      <c r="D7" s="282"/>
      <c r="E7" s="282"/>
      <c r="F7" s="282"/>
      <c r="G7" s="282"/>
      <c r="H7" s="284"/>
      <c r="I7" s="285"/>
      <c r="J7" s="280"/>
      <c r="K7" s="281"/>
      <c r="L7" s="286">
        <f>GETPIVOTDATA("Sum of 2019/20 (c)",Pivots!$B$465)</f>
        <v>303</v>
      </c>
      <c r="M7" s="286">
        <f>GETPIVOTDATA("Sum of 2020/21 (1)",Pivots!$B$465)</f>
        <v>310.59999999999997</v>
      </c>
      <c r="N7" s="286">
        <f>GETPIVOTDATA("Sum of 2021/22 (2)",Pivots!$B$465)</f>
        <v>247.85000000000014</v>
      </c>
      <c r="O7" s="286">
        <f>GETPIVOTDATA("Sum of 2022/23 (3)",Pivots!$B$465)</f>
        <v>235.85</v>
      </c>
      <c r="P7" s="282">
        <f>GETPIVOTDATA("Sum of 2023/24 (4)",Pivots!$B$465)</f>
        <v>375.35</v>
      </c>
      <c r="Q7" s="282">
        <f>GETPIVOTDATA("Sum of 2024/25 (5)",Pivots!$B$465)</f>
        <v>304.35000000000002</v>
      </c>
      <c r="R7" s="282">
        <f>GETPIVOTDATA("Sum of 2025/26 (6)",Pivots!$B$465)</f>
        <v>521</v>
      </c>
      <c r="S7" s="282">
        <f>GETPIVOTDATA("Sum of 2026/27 (7)",Pivots!$B$465)</f>
        <v>461</v>
      </c>
      <c r="T7" s="282">
        <f>GETPIVOTDATA("Sum of 2027/28 (8)",Pivots!$B$465)</f>
        <v>461</v>
      </c>
      <c r="U7" s="283">
        <f>GETPIVOTDATA("Sum of 2028/29 (9)",Pivots!$B$465)</f>
        <v>401</v>
      </c>
      <c r="V7" s="283">
        <f>GETPIVOTDATA("Sum of 2029/30 (10)",Pivots!$B$465)</f>
        <v>401</v>
      </c>
      <c r="W7" s="283">
        <v>315</v>
      </c>
      <c r="X7" s="283">
        <v>315</v>
      </c>
    </row>
    <row r="8" spans="2:24" ht="23.1" customHeight="1" x14ac:dyDescent="0.2">
      <c r="B8" s="488"/>
      <c r="C8" s="279" t="s">
        <v>1484</v>
      </c>
      <c r="D8" s="283">
        <f>D6</f>
        <v>208</v>
      </c>
      <c r="E8" s="283">
        <f>D8+E6</f>
        <v>903</v>
      </c>
      <c r="F8" s="283">
        <f>E8+F6</f>
        <v>1138</v>
      </c>
      <c r="G8" s="283">
        <f>F8+G6</f>
        <v>1442</v>
      </c>
      <c r="H8" s="287">
        <f>H6</f>
        <v>491</v>
      </c>
      <c r="I8" s="287">
        <f>H8+I6</f>
        <v>951</v>
      </c>
      <c r="J8" s="287">
        <f>I8+J6</f>
        <v>1333</v>
      </c>
      <c r="K8" s="287">
        <f>J8+K6</f>
        <v>1752</v>
      </c>
      <c r="L8" s="287">
        <f t="shared" ref="L8:X8" si="2">K8+L7</f>
        <v>2055</v>
      </c>
      <c r="M8" s="287">
        <f t="shared" si="2"/>
        <v>2365.6</v>
      </c>
      <c r="N8" s="287">
        <f t="shared" si="2"/>
        <v>2613.4499999999998</v>
      </c>
      <c r="O8" s="287">
        <f t="shared" si="2"/>
        <v>2849.2999999999997</v>
      </c>
      <c r="P8" s="287">
        <f t="shared" si="2"/>
        <v>3224.6499999999996</v>
      </c>
      <c r="Q8" s="287">
        <f t="shared" si="2"/>
        <v>3528.9999999999995</v>
      </c>
      <c r="R8" s="287">
        <f t="shared" si="2"/>
        <v>4049.9999999999995</v>
      </c>
      <c r="S8" s="287">
        <f t="shared" si="2"/>
        <v>4511</v>
      </c>
      <c r="T8" s="287">
        <f t="shared" si="2"/>
        <v>4972</v>
      </c>
      <c r="U8" s="287">
        <f t="shared" si="2"/>
        <v>5373</v>
      </c>
      <c r="V8" s="287">
        <f t="shared" si="2"/>
        <v>5774</v>
      </c>
      <c r="W8" s="287">
        <f t="shared" si="2"/>
        <v>6089</v>
      </c>
      <c r="X8" s="287">
        <f t="shared" si="2"/>
        <v>6404</v>
      </c>
    </row>
    <row r="9" spans="2:24" ht="23.1" customHeight="1" x14ac:dyDescent="0.2">
      <c r="B9" s="486" t="s">
        <v>1485</v>
      </c>
      <c r="C9" s="288" t="s">
        <v>1486</v>
      </c>
      <c r="D9" s="287">
        <v>245</v>
      </c>
      <c r="E9" s="287">
        <v>245</v>
      </c>
      <c r="F9" s="287">
        <v>245</v>
      </c>
      <c r="G9" s="287">
        <v>245</v>
      </c>
      <c r="H9" s="287">
        <v>315</v>
      </c>
      <c r="I9" s="287">
        <v>315</v>
      </c>
      <c r="J9" s="287">
        <v>315</v>
      </c>
      <c r="K9" s="287">
        <v>315</v>
      </c>
      <c r="L9" s="287">
        <v>315</v>
      </c>
      <c r="M9" s="287">
        <v>315</v>
      </c>
      <c r="N9" s="287">
        <v>315</v>
      </c>
      <c r="O9" s="283">
        <v>315</v>
      </c>
      <c r="P9" s="283">
        <v>315</v>
      </c>
      <c r="Q9" s="283">
        <v>315</v>
      </c>
      <c r="R9" s="283">
        <v>315</v>
      </c>
      <c r="S9" s="283">
        <v>315</v>
      </c>
      <c r="T9" s="283">
        <v>315</v>
      </c>
      <c r="U9" s="283">
        <v>315</v>
      </c>
      <c r="V9" s="283">
        <v>315</v>
      </c>
      <c r="W9" s="283">
        <v>315</v>
      </c>
      <c r="X9" s="283">
        <v>315</v>
      </c>
    </row>
    <row r="10" spans="2:24" ht="23.1" customHeight="1" x14ac:dyDescent="0.2">
      <c r="B10" s="488"/>
      <c r="C10" s="288" t="s">
        <v>1487</v>
      </c>
      <c r="D10" s="283">
        <f>D9</f>
        <v>245</v>
      </c>
      <c r="E10" s="283">
        <f>D10+E9</f>
        <v>490</v>
      </c>
      <c r="F10" s="283">
        <f>E10+F9</f>
        <v>735</v>
      </c>
      <c r="G10" s="283">
        <f>F10+G9</f>
        <v>980</v>
      </c>
      <c r="H10" s="283">
        <f>H9</f>
        <v>315</v>
      </c>
      <c r="I10" s="283">
        <f t="shared" ref="I10:X10" si="3">H10+I9</f>
        <v>630</v>
      </c>
      <c r="J10" s="283">
        <f t="shared" si="3"/>
        <v>945</v>
      </c>
      <c r="K10" s="283">
        <f t="shared" si="3"/>
        <v>1260</v>
      </c>
      <c r="L10" s="283">
        <f t="shared" si="3"/>
        <v>1575</v>
      </c>
      <c r="M10" s="283">
        <f t="shared" si="3"/>
        <v>1890</v>
      </c>
      <c r="N10" s="283">
        <f t="shared" si="3"/>
        <v>2205</v>
      </c>
      <c r="O10" s="283">
        <f t="shared" si="3"/>
        <v>2520</v>
      </c>
      <c r="P10" s="283">
        <f t="shared" si="3"/>
        <v>2835</v>
      </c>
      <c r="Q10" s="283">
        <f t="shared" si="3"/>
        <v>3150</v>
      </c>
      <c r="R10" s="283">
        <f t="shared" si="3"/>
        <v>3465</v>
      </c>
      <c r="S10" s="283">
        <f t="shared" si="3"/>
        <v>3780</v>
      </c>
      <c r="T10" s="283">
        <f t="shared" si="3"/>
        <v>4095</v>
      </c>
      <c r="U10" s="283">
        <f t="shared" si="3"/>
        <v>4410</v>
      </c>
      <c r="V10" s="283">
        <f t="shared" si="3"/>
        <v>4725</v>
      </c>
      <c r="W10" s="283">
        <f t="shared" si="3"/>
        <v>5040</v>
      </c>
      <c r="X10" s="283">
        <f t="shared" si="3"/>
        <v>5355</v>
      </c>
    </row>
    <row r="11" spans="2:24" ht="23.1" customHeight="1" x14ac:dyDescent="0.2">
      <c r="B11" s="486" t="s">
        <v>1488</v>
      </c>
      <c r="C11" s="288" t="s">
        <v>1489</v>
      </c>
      <c r="D11" s="283">
        <f t="shared" ref="D11:X11" si="4">D8-D10</f>
        <v>-37</v>
      </c>
      <c r="E11" s="283">
        <f t="shared" si="4"/>
        <v>413</v>
      </c>
      <c r="F11" s="283">
        <f t="shared" si="4"/>
        <v>403</v>
      </c>
      <c r="G11" s="283">
        <f t="shared" si="4"/>
        <v>462</v>
      </c>
      <c r="H11" s="283">
        <f t="shared" si="4"/>
        <v>176</v>
      </c>
      <c r="I11" s="283">
        <f t="shared" si="4"/>
        <v>321</v>
      </c>
      <c r="J11" s="283">
        <f t="shared" si="4"/>
        <v>388</v>
      </c>
      <c r="K11" s="283">
        <f t="shared" si="4"/>
        <v>492</v>
      </c>
      <c r="L11" s="283">
        <f t="shared" si="4"/>
        <v>480</v>
      </c>
      <c r="M11" s="283">
        <f t="shared" si="4"/>
        <v>475.59999999999991</v>
      </c>
      <c r="N11" s="283">
        <f t="shared" si="4"/>
        <v>408.44999999999982</v>
      </c>
      <c r="O11" s="283">
        <f t="shared" si="4"/>
        <v>329.29999999999973</v>
      </c>
      <c r="P11" s="283">
        <f t="shared" si="4"/>
        <v>389.64999999999964</v>
      </c>
      <c r="Q11" s="283">
        <f t="shared" si="4"/>
        <v>378.99999999999955</v>
      </c>
      <c r="R11" s="283">
        <f t="shared" si="4"/>
        <v>584.99999999999955</v>
      </c>
      <c r="S11" s="283">
        <f t="shared" si="4"/>
        <v>731</v>
      </c>
      <c r="T11" s="283">
        <f t="shared" si="4"/>
        <v>877</v>
      </c>
      <c r="U11" s="283">
        <f t="shared" si="4"/>
        <v>963</v>
      </c>
      <c r="V11" s="283">
        <f t="shared" si="4"/>
        <v>1049</v>
      </c>
      <c r="W11" s="283">
        <f t="shared" si="4"/>
        <v>1049</v>
      </c>
      <c r="X11" s="283">
        <f t="shared" si="4"/>
        <v>1049</v>
      </c>
    </row>
    <row r="12" spans="2:24" ht="23.1" customHeight="1" x14ac:dyDescent="0.2">
      <c r="B12" s="489"/>
      <c r="C12" s="288" t="s">
        <v>1490</v>
      </c>
      <c r="D12" s="283">
        <f>D9</f>
        <v>245</v>
      </c>
      <c r="E12" s="283">
        <f>IF((E9*10-D8)/E5&gt;0,(E9*10-D8)/E5,0)</f>
        <v>249.11111111111111</v>
      </c>
      <c r="F12" s="283">
        <f>IF((F9*10-E8)/F5&gt;0,(F9*10-E8)/F5,0)</f>
        <v>193.375</v>
      </c>
      <c r="G12" s="283">
        <f>IF((G9*10-F8)/G5&gt;0,(G9*10-F8)/G5,0)</f>
        <v>187.42857142857142</v>
      </c>
      <c r="H12" s="283">
        <f>H9</f>
        <v>315</v>
      </c>
      <c r="I12" s="289">
        <f t="shared" ref="I12:P12" si="5">IF((I9*10-H8)/I5&gt;0,(I9*10-H8)/I5,0)</f>
        <v>295.44444444444446</v>
      </c>
      <c r="J12" s="289">
        <f t="shared" si="5"/>
        <v>274.875</v>
      </c>
      <c r="K12" s="289">
        <f t="shared" si="5"/>
        <v>259.57142857142856</v>
      </c>
      <c r="L12" s="289">
        <f t="shared" si="5"/>
        <v>233</v>
      </c>
      <c r="M12" s="289">
        <f t="shared" si="5"/>
        <v>219</v>
      </c>
      <c r="N12" s="289">
        <f t="shared" si="5"/>
        <v>196.10000000000002</v>
      </c>
      <c r="O12" s="289">
        <f t="shared" si="5"/>
        <v>178.85000000000005</v>
      </c>
      <c r="P12" s="289">
        <f t="shared" si="5"/>
        <v>150.35000000000014</v>
      </c>
      <c r="Q12" s="289">
        <f>IF((Q9*10-P8)/Q5&gt;0,(Q9*10-P8)/Q5,0)</f>
        <v>0</v>
      </c>
      <c r="R12" s="289">
        <v>0</v>
      </c>
      <c r="S12" s="289"/>
      <c r="T12" s="289"/>
      <c r="U12" s="289"/>
      <c r="V12" s="289"/>
      <c r="W12" s="289"/>
      <c r="X12" s="289"/>
    </row>
    <row r="13" spans="2:24" x14ac:dyDescent="0.2">
      <c r="H13" s="292">
        <f>H12</f>
        <v>315</v>
      </c>
      <c r="I13" s="292">
        <f t="shared" ref="I13:R13" si="6">I12</f>
        <v>295.44444444444446</v>
      </c>
      <c r="J13" s="292">
        <f t="shared" si="6"/>
        <v>274.875</v>
      </c>
      <c r="K13" s="292">
        <f t="shared" si="6"/>
        <v>259.57142857142856</v>
      </c>
      <c r="L13" s="292">
        <f t="shared" si="6"/>
        <v>233</v>
      </c>
      <c r="M13" s="292">
        <f t="shared" si="6"/>
        <v>219</v>
      </c>
      <c r="N13" s="292">
        <f t="shared" si="6"/>
        <v>196.10000000000002</v>
      </c>
      <c r="O13" s="292">
        <f t="shared" si="6"/>
        <v>178.85000000000005</v>
      </c>
      <c r="P13" s="292">
        <f t="shared" si="6"/>
        <v>150.35000000000014</v>
      </c>
      <c r="Q13" s="292">
        <f t="shared" si="6"/>
        <v>0</v>
      </c>
      <c r="R13" s="292">
        <f t="shared" si="6"/>
        <v>0</v>
      </c>
      <c r="S13" s="291"/>
      <c r="T13" s="291"/>
      <c r="U13" s="291"/>
      <c r="V13" s="291"/>
      <c r="W13" s="291"/>
      <c r="X13" s="291"/>
    </row>
    <row r="14" spans="2:24" x14ac:dyDescent="0.2">
      <c r="H14" s="291">
        <v>315</v>
      </c>
      <c r="I14" s="291">
        <v>315</v>
      </c>
      <c r="J14" s="291">
        <v>315</v>
      </c>
      <c r="K14" s="291">
        <v>315</v>
      </c>
      <c r="L14" s="291">
        <v>315</v>
      </c>
      <c r="M14" s="291">
        <v>315</v>
      </c>
      <c r="N14" s="291">
        <v>315</v>
      </c>
      <c r="O14" s="291">
        <v>315</v>
      </c>
      <c r="P14" s="291">
        <v>315</v>
      </c>
      <c r="Q14" s="291">
        <v>315</v>
      </c>
      <c r="R14" s="291">
        <v>315</v>
      </c>
      <c r="S14" s="291">
        <v>315</v>
      </c>
      <c r="T14" s="291">
        <v>315</v>
      </c>
      <c r="U14" s="291">
        <v>315</v>
      </c>
      <c r="V14" s="291">
        <v>315</v>
      </c>
      <c r="W14" s="291">
        <v>315</v>
      </c>
      <c r="X14" s="291">
        <v>315</v>
      </c>
    </row>
  </sheetData>
  <mergeCells count="10">
    <mergeCell ref="B5:C5"/>
    <mergeCell ref="B6:B8"/>
    <mergeCell ref="B9:B10"/>
    <mergeCell ref="B11:B12"/>
    <mergeCell ref="B2:X2"/>
    <mergeCell ref="B3:C3"/>
    <mergeCell ref="D3:G3"/>
    <mergeCell ref="H3:Q3"/>
    <mergeCell ref="R3:X3"/>
    <mergeCell ref="B4:C4"/>
  </mergeCells>
  <pageMargins left="0.39370078740157483" right="0.39370078740157483" top="0.39370078740157483" bottom="0.39370078740157483" header="0.19685039370078741" footer="0.19685039370078741"/>
  <pageSetup paperSize="8" orientation="landscape" verticalDpi="1200" r:id="rId1"/>
  <headerFooter alignWithMargins="0"/>
  <ignoredErrors>
    <ignoredError sqref="H8 H10 H1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415"/>
  <sheetViews>
    <sheetView zoomScale="85" zoomScaleNormal="85" zoomScaleSheetLayoutView="100" workbookViewId="0">
      <pane ySplit="1" topLeftCell="A2" activePane="bottomLeft" state="frozen"/>
      <selection pane="bottomLeft"/>
    </sheetView>
  </sheetViews>
  <sheetFormatPr defaultColWidth="9.140625" defaultRowHeight="15" customHeight="1" x14ac:dyDescent="0.25"/>
  <cols>
    <col min="1" max="1" width="15.85546875" style="241" customWidth="1"/>
    <col min="2" max="3" width="12.5703125" style="2" customWidth="1"/>
    <col min="4" max="4" width="61.140625" style="241" customWidth="1"/>
    <col min="5" max="5" width="46.28515625" style="241" customWidth="1"/>
    <col min="6" max="6" width="10.85546875" style="359" customWidth="1"/>
    <col min="7" max="7" width="11" style="2" customWidth="1"/>
    <col min="8" max="8" width="30" style="241" customWidth="1"/>
    <col min="9" max="9" width="25.28515625" style="350" customWidth="1"/>
    <col min="10" max="19" width="9.140625" style="2" customWidth="1"/>
    <col min="20" max="20" width="9.140625" style="241" customWidth="1"/>
    <col min="21" max="21" width="9.140625" style="2" customWidth="1"/>
    <col min="22" max="28" width="9.140625" style="293" customWidth="1"/>
    <col min="29" max="29" width="9.140625" style="241" customWidth="1"/>
    <col min="30" max="30" width="9.140625" style="2" customWidth="1"/>
    <col min="31" max="37" width="9.140625" style="241" customWidth="1"/>
    <col min="38" max="38" width="9.140625" style="382" customWidth="1"/>
    <col min="39" max="39" width="11.5703125" style="2" customWidth="1"/>
    <col min="40" max="40" width="8" style="2" customWidth="1"/>
    <col min="41" max="52" width="9.140625" style="2"/>
    <col min="53" max="53" width="40" style="2" bestFit="1" customWidth="1"/>
    <col min="54" max="54" width="14.140625" style="2" bestFit="1" customWidth="1"/>
    <col min="55" max="55" width="23.85546875" style="2" bestFit="1" customWidth="1"/>
    <col min="56" max="56" width="15.5703125" style="2" bestFit="1" customWidth="1"/>
    <col min="57" max="57" width="19.140625" style="2" bestFit="1" customWidth="1"/>
    <col min="58" max="58" width="12.5703125" style="232" customWidth="1"/>
    <col min="59" max="16384" width="9.140625" style="241"/>
  </cols>
  <sheetData>
    <row r="1" spans="1:58" s="350" customFormat="1" ht="30" customHeight="1" x14ac:dyDescent="0.25">
      <c r="A1" s="312" t="s">
        <v>1028</v>
      </c>
      <c r="B1" s="312" t="s">
        <v>1029</v>
      </c>
      <c r="C1" s="312" t="s">
        <v>1036</v>
      </c>
      <c r="D1" s="313" t="s">
        <v>1032</v>
      </c>
      <c r="E1" s="313" t="s">
        <v>1033</v>
      </c>
      <c r="F1" s="314" t="s">
        <v>1030</v>
      </c>
      <c r="G1" s="315" t="s">
        <v>1031</v>
      </c>
      <c r="H1" s="315" t="s">
        <v>1091</v>
      </c>
      <c r="I1" s="312" t="s">
        <v>1046</v>
      </c>
      <c r="J1" s="312" t="s">
        <v>1273</v>
      </c>
      <c r="K1" s="312" t="s">
        <v>1274</v>
      </c>
      <c r="L1" s="312" t="s">
        <v>1289</v>
      </c>
      <c r="M1" s="312" t="s">
        <v>1275</v>
      </c>
      <c r="N1" s="312" t="s">
        <v>1276</v>
      </c>
      <c r="O1" s="312" t="s">
        <v>1277</v>
      </c>
      <c r="P1" s="312" t="s">
        <v>1278</v>
      </c>
      <c r="Q1" s="312" t="s">
        <v>1279</v>
      </c>
      <c r="R1" s="312" t="s">
        <v>1280</v>
      </c>
      <c r="S1" s="346" t="s">
        <v>1281</v>
      </c>
      <c r="T1" s="312" t="s">
        <v>1034</v>
      </c>
      <c r="U1" s="320" t="s">
        <v>1290</v>
      </c>
      <c r="V1" s="312" t="s">
        <v>1282</v>
      </c>
      <c r="W1" s="312" t="s">
        <v>1283</v>
      </c>
      <c r="X1" s="312" t="s">
        <v>1284</v>
      </c>
      <c r="Y1" s="312" t="s">
        <v>1285</v>
      </c>
      <c r="Z1" s="312" t="s">
        <v>1286</v>
      </c>
      <c r="AA1" s="312" t="s">
        <v>1287</v>
      </c>
      <c r="AB1" s="346" t="s">
        <v>1288</v>
      </c>
      <c r="AC1" s="312" t="s">
        <v>1035</v>
      </c>
      <c r="AD1" s="320" t="s">
        <v>1291</v>
      </c>
      <c r="AE1" s="312" t="s">
        <v>1038</v>
      </c>
      <c r="AF1" s="312" t="s">
        <v>1039</v>
      </c>
      <c r="AG1" s="312" t="s">
        <v>1040</v>
      </c>
      <c r="AH1" s="312" t="s">
        <v>1041</v>
      </c>
      <c r="AI1" s="312" t="s">
        <v>1042</v>
      </c>
      <c r="AJ1" s="312" t="s">
        <v>1043</v>
      </c>
      <c r="AK1" s="346" t="s">
        <v>1044</v>
      </c>
      <c r="AL1" s="351" t="s">
        <v>1045</v>
      </c>
      <c r="AM1" s="347" t="s">
        <v>1292</v>
      </c>
      <c r="AN1" s="312" t="s">
        <v>1295</v>
      </c>
      <c r="AO1" s="321" t="s">
        <v>1296</v>
      </c>
      <c r="AP1" s="316" t="s">
        <v>1297</v>
      </c>
      <c r="AQ1" s="312" t="s">
        <v>1298</v>
      </c>
      <c r="AR1" s="312" t="s">
        <v>1299</v>
      </c>
      <c r="AS1" s="312" t="s">
        <v>1300</v>
      </c>
      <c r="AT1" s="346" t="s">
        <v>1301</v>
      </c>
      <c r="AU1" s="312" t="s">
        <v>1293</v>
      </c>
      <c r="AV1" s="320" t="s">
        <v>1302</v>
      </c>
      <c r="AW1" s="312" t="s">
        <v>1303</v>
      </c>
      <c r="AX1" s="312" t="s">
        <v>1304</v>
      </c>
      <c r="AY1" s="312" t="s">
        <v>1305</v>
      </c>
      <c r="AZ1" s="312" t="s">
        <v>1306</v>
      </c>
      <c r="BA1" s="320" t="s">
        <v>1224</v>
      </c>
      <c r="BB1" s="312" t="s">
        <v>1439</v>
      </c>
      <c r="BC1" s="312" t="s">
        <v>1440</v>
      </c>
      <c r="BD1" s="312" t="s">
        <v>1441</v>
      </c>
      <c r="BE1" s="312" t="s">
        <v>1214</v>
      </c>
      <c r="BF1" s="312" t="s">
        <v>1564</v>
      </c>
    </row>
    <row r="2" spans="1:58" s="2" customFormat="1" ht="15" customHeight="1" x14ac:dyDescent="0.25">
      <c r="A2" s="2" t="s">
        <v>2</v>
      </c>
      <c r="B2" s="2" t="s">
        <v>5</v>
      </c>
      <c r="D2" s="358" t="s">
        <v>3</v>
      </c>
      <c r="E2" s="358" t="s">
        <v>4</v>
      </c>
      <c r="F2" s="319">
        <v>39644</v>
      </c>
      <c r="G2" s="319">
        <v>43278</v>
      </c>
      <c r="H2" s="358" t="s">
        <v>1027</v>
      </c>
      <c r="I2" s="367" t="s">
        <v>1048</v>
      </c>
      <c r="J2" s="2">
        <v>512461</v>
      </c>
      <c r="K2" s="2">
        <v>173391</v>
      </c>
      <c r="L2" s="293">
        <v>0</v>
      </c>
      <c r="M2" s="364">
        <v>0</v>
      </c>
      <c r="N2" s="364">
        <v>0</v>
      </c>
      <c r="O2" s="364">
        <v>1</v>
      </c>
      <c r="P2" s="364">
        <v>0</v>
      </c>
      <c r="Q2" s="364"/>
      <c r="R2" s="364"/>
      <c r="S2" s="364"/>
      <c r="T2" s="366">
        <v>1</v>
      </c>
      <c r="U2" s="364">
        <v>1</v>
      </c>
      <c r="V2" s="364">
        <v>1</v>
      </c>
      <c r="W2" s="364">
        <v>0</v>
      </c>
      <c r="X2" s="364">
        <v>1</v>
      </c>
      <c r="Y2" s="364">
        <v>0</v>
      </c>
      <c r="Z2" s="364"/>
      <c r="AA2" s="293"/>
      <c r="AB2" s="293"/>
      <c r="AC2" s="366">
        <v>3</v>
      </c>
      <c r="AD2" s="293">
        <f t="shared" ref="AD2:AL2" si="0">U2-L2</f>
        <v>1</v>
      </c>
      <c r="AE2" s="293">
        <f t="shared" si="0"/>
        <v>1</v>
      </c>
      <c r="AF2" s="293">
        <f t="shared" si="0"/>
        <v>0</v>
      </c>
      <c r="AG2" s="293">
        <f t="shared" si="0"/>
        <v>0</v>
      </c>
      <c r="AH2" s="293">
        <f t="shared" si="0"/>
        <v>0</v>
      </c>
      <c r="AI2" s="293">
        <f t="shared" si="0"/>
        <v>0</v>
      </c>
      <c r="AJ2" s="293">
        <f t="shared" si="0"/>
        <v>0</v>
      </c>
      <c r="AK2" s="293">
        <f t="shared" si="0"/>
        <v>0</v>
      </c>
      <c r="AL2" s="348">
        <f t="shared" si="0"/>
        <v>2</v>
      </c>
      <c r="AM2" s="369"/>
      <c r="AN2" s="322">
        <v>2</v>
      </c>
      <c r="AO2" s="231">
        <v>0</v>
      </c>
      <c r="AP2" s="228">
        <v>0</v>
      </c>
      <c r="AQ2" s="231">
        <v>0</v>
      </c>
      <c r="AR2" s="231">
        <v>0</v>
      </c>
      <c r="AS2" s="231">
        <v>0</v>
      </c>
      <c r="AT2" s="231">
        <v>0</v>
      </c>
      <c r="AU2" s="323">
        <v>0</v>
      </c>
      <c r="AV2" s="231">
        <v>0</v>
      </c>
      <c r="AW2" s="231">
        <v>0</v>
      </c>
      <c r="AX2" s="231">
        <v>0</v>
      </c>
      <c r="AY2" s="231">
        <v>0</v>
      </c>
      <c r="AZ2" s="230">
        <v>0</v>
      </c>
      <c r="BA2" s="2" t="s">
        <v>1231</v>
      </c>
      <c r="BF2" s="232"/>
    </row>
    <row r="3" spans="1:58" s="2" customFormat="1" ht="15" customHeight="1" x14ac:dyDescent="0.25">
      <c r="A3" s="2" t="s">
        <v>6</v>
      </c>
      <c r="B3" s="2" t="s">
        <v>9</v>
      </c>
      <c r="D3" s="358" t="s">
        <v>7</v>
      </c>
      <c r="E3" s="358" t="s">
        <v>8</v>
      </c>
      <c r="F3" s="319">
        <v>41249</v>
      </c>
      <c r="G3" s="319">
        <v>43343</v>
      </c>
      <c r="H3" s="358" t="s">
        <v>1027</v>
      </c>
      <c r="I3" s="367" t="s">
        <v>1048</v>
      </c>
      <c r="J3" s="2">
        <v>514981</v>
      </c>
      <c r="K3" s="2">
        <v>172687</v>
      </c>
      <c r="L3" s="293">
        <v>0</v>
      </c>
      <c r="M3" s="364">
        <v>0</v>
      </c>
      <c r="N3" s="364">
        <v>0</v>
      </c>
      <c r="O3" s="364">
        <v>0</v>
      </c>
      <c r="P3" s="364">
        <v>0</v>
      </c>
      <c r="Q3" s="364"/>
      <c r="R3" s="364"/>
      <c r="S3" s="364"/>
      <c r="T3" s="366">
        <v>0</v>
      </c>
      <c r="U3" s="364">
        <v>1</v>
      </c>
      <c r="V3" s="364">
        <v>2</v>
      </c>
      <c r="W3" s="364">
        <v>5</v>
      </c>
      <c r="X3" s="364">
        <v>1</v>
      </c>
      <c r="Y3" s="364">
        <v>0</v>
      </c>
      <c r="Z3" s="364"/>
      <c r="AA3" s="293"/>
      <c r="AB3" s="293"/>
      <c r="AC3" s="366">
        <v>9</v>
      </c>
      <c r="AD3" s="293">
        <v>1</v>
      </c>
      <c r="AE3" s="293">
        <f t="shared" ref="AE3:AE34" si="1">V3-M3</f>
        <v>2</v>
      </c>
      <c r="AF3" s="293">
        <f t="shared" ref="AF3:AF34" si="2">W3-N3</f>
        <v>5</v>
      </c>
      <c r="AG3" s="293">
        <f t="shared" ref="AG3:AG34" si="3">X3-O3</f>
        <v>1</v>
      </c>
      <c r="AH3" s="293">
        <f t="shared" ref="AH3:AH34" si="4">Y3-P3</f>
        <v>0</v>
      </c>
      <c r="AI3" s="293">
        <f t="shared" ref="AI3:AI34" si="5">Z3-Q3</f>
        <v>0</v>
      </c>
      <c r="AJ3" s="293">
        <f t="shared" ref="AJ3:AJ34" si="6">AA3-R3</f>
        <v>0</v>
      </c>
      <c r="AK3" s="293">
        <f t="shared" ref="AK3:AK34" si="7">AB3-S3</f>
        <v>0</v>
      </c>
      <c r="AL3" s="348">
        <f t="shared" ref="AL3:AL34" si="8">AC3-T3</f>
        <v>9</v>
      </c>
      <c r="AM3" s="369"/>
      <c r="AN3" s="322">
        <v>9</v>
      </c>
      <c r="AO3" s="231">
        <v>0</v>
      </c>
      <c r="AP3" s="228">
        <v>0</v>
      </c>
      <c r="AQ3" s="231">
        <v>0</v>
      </c>
      <c r="AR3" s="231">
        <v>0</v>
      </c>
      <c r="AS3" s="231">
        <v>0</v>
      </c>
      <c r="AT3" s="231">
        <v>0</v>
      </c>
      <c r="AU3" s="323">
        <v>0</v>
      </c>
      <c r="AV3" s="231">
        <v>0</v>
      </c>
      <c r="AW3" s="231">
        <v>0</v>
      </c>
      <c r="AX3" s="231">
        <v>0</v>
      </c>
      <c r="AY3" s="231">
        <v>0</v>
      </c>
      <c r="AZ3" s="230">
        <v>0</v>
      </c>
      <c r="BA3" s="2" t="s">
        <v>1239</v>
      </c>
      <c r="BF3" s="232"/>
    </row>
    <row r="4" spans="1:58" s="2" customFormat="1" ht="15" customHeight="1" x14ac:dyDescent="0.25">
      <c r="A4" s="2" t="s">
        <v>10</v>
      </c>
      <c r="B4" s="2" t="s">
        <v>9</v>
      </c>
      <c r="D4" s="358" t="s">
        <v>11</v>
      </c>
      <c r="E4" s="358" t="s">
        <v>12</v>
      </c>
      <c r="F4" s="370"/>
      <c r="G4" s="319">
        <v>43259</v>
      </c>
      <c r="H4" s="358" t="s">
        <v>1027</v>
      </c>
      <c r="I4" s="367" t="s">
        <v>1048</v>
      </c>
      <c r="J4" s="2">
        <v>515893</v>
      </c>
      <c r="K4" s="2">
        <v>171816</v>
      </c>
      <c r="L4" s="293">
        <v>0</v>
      </c>
      <c r="M4" s="364">
        <v>0</v>
      </c>
      <c r="N4" s="364">
        <v>0</v>
      </c>
      <c r="O4" s="364">
        <v>0</v>
      </c>
      <c r="P4" s="364">
        <v>1</v>
      </c>
      <c r="Q4" s="364"/>
      <c r="R4" s="364"/>
      <c r="S4" s="364"/>
      <c r="T4" s="366">
        <v>1</v>
      </c>
      <c r="U4" s="364">
        <v>0</v>
      </c>
      <c r="V4" s="364">
        <v>0</v>
      </c>
      <c r="W4" s="364">
        <v>0</v>
      </c>
      <c r="X4" s="364">
        <v>0</v>
      </c>
      <c r="Y4" s="364">
        <v>0</v>
      </c>
      <c r="Z4" s="364"/>
      <c r="AA4" s="293"/>
      <c r="AB4" s="293"/>
      <c r="AC4" s="366">
        <v>0</v>
      </c>
      <c r="AD4" s="293">
        <v>0</v>
      </c>
      <c r="AE4" s="293">
        <f t="shared" si="1"/>
        <v>0</v>
      </c>
      <c r="AF4" s="293">
        <f t="shared" si="2"/>
        <v>0</v>
      </c>
      <c r="AG4" s="293">
        <f t="shared" si="3"/>
        <v>0</v>
      </c>
      <c r="AH4" s="293">
        <f t="shared" si="4"/>
        <v>-1</v>
      </c>
      <c r="AI4" s="293">
        <f t="shared" si="5"/>
        <v>0</v>
      </c>
      <c r="AJ4" s="293">
        <f t="shared" si="6"/>
        <v>0</v>
      </c>
      <c r="AK4" s="293">
        <f t="shared" si="7"/>
        <v>0</v>
      </c>
      <c r="AL4" s="348">
        <f t="shared" si="8"/>
        <v>-1</v>
      </c>
      <c r="AM4" s="369"/>
      <c r="AN4" s="322">
        <v>-1</v>
      </c>
      <c r="AO4" s="231">
        <v>0</v>
      </c>
      <c r="AP4" s="228">
        <v>0</v>
      </c>
      <c r="AQ4" s="231">
        <v>0</v>
      </c>
      <c r="AR4" s="231">
        <v>0</v>
      </c>
      <c r="AS4" s="231">
        <v>0</v>
      </c>
      <c r="AT4" s="231">
        <v>0</v>
      </c>
      <c r="AU4" s="323">
        <v>0</v>
      </c>
      <c r="AV4" s="231">
        <v>0</v>
      </c>
      <c r="AW4" s="231">
        <v>0</v>
      </c>
      <c r="AX4" s="231">
        <v>0</v>
      </c>
      <c r="AY4" s="231">
        <v>0</v>
      </c>
      <c r="AZ4" s="230">
        <v>0</v>
      </c>
      <c r="BA4" s="2" t="s">
        <v>1215</v>
      </c>
      <c r="BF4" s="232"/>
    </row>
    <row r="5" spans="1:58" s="2" customFormat="1" ht="15" customHeight="1" x14ac:dyDescent="0.25">
      <c r="A5" s="2" t="s">
        <v>13</v>
      </c>
      <c r="B5" s="2" t="s">
        <v>5</v>
      </c>
      <c r="D5" s="358" t="s">
        <v>14</v>
      </c>
      <c r="E5" s="358" t="s">
        <v>15</v>
      </c>
      <c r="F5" s="319">
        <v>41438</v>
      </c>
      <c r="G5" s="319">
        <v>43326</v>
      </c>
      <c r="H5" s="358" t="s">
        <v>1027</v>
      </c>
      <c r="I5" s="367" t="s">
        <v>1048</v>
      </c>
      <c r="J5" s="2">
        <v>516929</v>
      </c>
      <c r="K5" s="2">
        <v>174807</v>
      </c>
      <c r="L5" s="293"/>
      <c r="M5" s="364">
        <v>0</v>
      </c>
      <c r="N5" s="364">
        <v>0</v>
      </c>
      <c r="O5" s="364">
        <v>3</v>
      </c>
      <c r="P5" s="364">
        <v>0</v>
      </c>
      <c r="Q5" s="364"/>
      <c r="R5" s="364"/>
      <c r="S5" s="364"/>
      <c r="T5" s="366">
        <v>3</v>
      </c>
      <c r="U5" s="364"/>
      <c r="V5" s="364">
        <v>0</v>
      </c>
      <c r="W5" s="364">
        <v>0</v>
      </c>
      <c r="X5" s="364">
        <v>0</v>
      </c>
      <c r="Y5" s="364">
        <v>1</v>
      </c>
      <c r="Z5" s="364"/>
      <c r="AA5" s="293"/>
      <c r="AB5" s="293"/>
      <c r="AC5" s="366">
        <v>1</v>
      </c>
      <c r="AD5" s="293"/>
      <c r="AE5" s="293">
        <f t="shared" si="1"/>
        <v>0</v>
      </c>
      <c r="AF5" s="293">
        <f t="shared" si="2"/>
        <v>0</v>
      </c>
      <c r="AG5" s="293">
        <f t="shared" si="3"/>
        <v>-3</v>
      </c>
      <c r="AH5" s="293">
        <f t="shared" si="4"/>
        <v>1</v>
      </c>
      <c r="AI5" s="293">
        <f t="shared" si="5"/>
        <v>0</v>
      </c>
      <c r="AJ5" s="293">
        <f t="shared" si="6"/>
        <v>0</v>
      </c>
      <c r="AK5" s="293">
        <f t="shared" si="7"/>
        <v>0</v>
      </c>
      <c r="AL5" s="348">
        <f t="shared" si="8"/>
        <v>-2</v>
      </c>
      <c r="AM5" s="369"/>
      <c r="AN5" s="322">
        <v>-2</v>
      </c>
      <c r="AO5" s="231">
        <v>0</v>
      </c>
      <c r="AP5" s="228">
        <v>0</v>
      </c>
      <c r="AQ5" s="231">
        <v>0</v>
      </c>
      <c r="AR5" s="231">
        <v>0</v>
      </c>
      <c r="AS5" s="231">
        <v>0</v>
      </c>
      <c r="AT5" s="231">
        <v>0</v>
      </c>
      <c r="AU5" s="323">
        <v>0</v>
      </c>
      <c r="AV5" s="231">
        <v>0</v>
      </c>
      <c r="AW5" s="231">
        <v>0</v>
      </c>
      <c r="AX5" s="231">
        <v>0</v>
      </c>
      <c r="AY5" s="231">
        <v>0</v>
      </c>
      <c r="AZ5" s="230">
        <v>0</v>
      </c>
      <c r="BA5" s="2" t="s">
        <v>1442</v>
      </c>
      <c r="BF5" s="232"/>
    </row>
    <row r="6" spans="1:58" s="2" customFormat="1" ht="15" customHeight="1" x14ac:dyDescent="0.25">
      <c r="A6" s="2" t="s">
        <v>16</v>
      </c>
      <c r="B6" s="2" t="s">
        <v>9</v>
      </c>
      <c r="D6" s="358" t="s">
        <v>17</v>
      </c>
      <c r="E6" s="358" t="s">
        <v>18</v>
      </c>
      <c r="F6" s="319">
        <v>42401</v>
      </c>
      <c r="G6" s="319">
        <v>43312</v>
      </c>
      <c r="H6" s="358" t="s">
        <v>1027</v>
      </c>
      <c r="I6" s="367" t="s">
        <v>1048</v>
      </c>
      <c r="J6" s="2">
        <v>515818</v>
      </c>
      <c r="K6" s="2">
        <v>173973</v>
      </c>
      <c r="L6" s="293"/>
      <c r="M6" s="364">
        <v>0</v>
      </c>
      <c r="N6" s="364">
        <v>0</v>
      </c>
      <c r="O6" s="364">
        <v>0</v>
      </c>
      <c r="P6" s="364">
        <v>0</v>
      </c>
      <c r="Q6" s="364"/>
      <c r="R6" s="364"/>
      <c r="S6" s="364"/>
      <c r="T6" s="366">
        <v>0</v>
      </c>
      <c r="U6" s="364"/>
      <c r="V6" s="364">
        <v>3</v>
      </c>
      <c r="W6" s="364">
        <v>0</v>
      </c>
      <c r="X6" s="364">
        <v>6</v>
      </c>
      <c r="Y6" s="364">
        <v>0</v>
      </c>
      <c r="Z6" s="364"/>
      <c r="AA6" s="293"/>
      <c r="AB6" s="293"/>
      <c r="AC6" s="366">
        <v>9</v>
      </c>
      <c r="AD6" s="293"/>
      <c r="AE6" s="293">
        <f t="shared" si="1"/>
        <v>3</v>
      </c>
      <c r="AF6" s="293">
        <f t="shared" si="2"/>
        <v>0</v>
      </c>
      <c r="AG6" s="293">
        <f t="shared" si="3"/>
        <v>6</v>
      </c>
      <c r="AH6" s="293">
        <f t="shared" si="4"/>
        <v>0</v>
      </c>
      <c r="AI6" s="293">
        <f t="shared" si="5"/>
        <v>0</v>
      </c>
      <c r="AJ6" s="293">
        <f t="shared" si="6"/>
        <v>0</v>
      </c>
      <c r="AK6" s="293">
        <f t="shared" si="7"/>
        <v>0</v>
      </c>
      <c r="AL6" s="348">
        <f t="shared" si="8"/>
        <v>9</v>
      </c>
      <c r="AM6" s="369"/>
      <c r="AN6" s="322">
        <v>9</v>
      </c>
      <c r="AO6" s="231">
        <v>0</v>
      </c>
      <c r="AP6" s="228">
        <v>0</v>
      </c>
      <c r="AQ6" s="231">
        <v>0</v>
      </c>
      <c r="AR6" s="231">
        <v>0</v>
      </c>
      <c r="AS6" s="231">
        <v>0</v>
      </c>
      <c r="AT6" s="231">
        <v>0</v>
      </c>
      <c r="AU6" s="323">
        <v>0</v>
      </c>
      <c r="AV6" s="231">
        <v>0</v>
      </c>
      <c r="AW6" s="231">
        <v>0</v>
      </c>
      <c r="AX6" s="231">
        <v>0</v>
      </c>
      <c r="AY6" s="231">
        <v>0</v>
      </c>
      <c r="AZ6" s="230">
        <v>0</v>
      </c>
      <c r="BA6" s="2" t="s">
        <v>1442</v>
      </c>
      <c r="BF6" s="232"/>
    </row>
    <row r="7" spans="1:58" s="2" customFormat="1" ht="15" customHeight="1" x14ac:dyDescent="0.25">
      <c r="A7" s="241" t="s">
        <v>972</v>
      </c>
      <c r="B7" s="2" t="s">
        <v>9</v>
      </c>
      <c r="D7" s="241" t="s">
        <v>973</v>
      </c>
      <c r="E7" s="241" t="s">
        <v>974</v>
      </c>
      <c r="F7" s="371">
        <v>41183</v>
      </c>
      <c r="G7" s="318">
        <v>43192</v>
      </c>
      <c r="H7" s="358" t="s">
        <v>1027</v>
      </c>
      <c r="I7" s="367" t="s">
        <v>1048</v>
      </c>
      <c r="J7" s="2">
        <v>516120</v>
      </c>
      <c r="K7" s="2">
        <v>173429</v>
      </c>
      <c r="L7" s="293"/>
      <c r="M7" s="364">
        <v>0</v>
      </c>
      <c r="N7" s="364">
        <v>0</v>
      </c>
      <c r="O7" s="364">
        <v>0</v>
      </c>
      <c r="P7" s="364">
        <v>0</v>
      </c>
      <c r="Q7" s="364"/>
      <c r="R7" s="364"/>
      <c r="S7" s="364"/>
      <c r="T7" s="366">
        <v>0</v>
      </c>
      <c r="U7" s="364"/>
      <c r="V7" s="364">
        <v>6</v>
      </c>
      <c r="W7" s="364">
        <v>1</v>
      </c>
      <c r="X7" s="364">
        <v>0</v>
      </c>
      <c r="Y7" s="364">
        <v>0</v>
      </c>
      <c r="Z7" s="364"/>
      <c r="AA7" s="293"/>
      <c r="AB7" s="293"/>
      <c r="AC7" s="365">
        <v>7</v>
      </c>
      <c r="AD7" s="293"/>
      <c r="AE7" s="293">
        <f t="shared" si="1"/>
        <v>6</v>
      </c>
      <c r="AF7" s="293">
        <f t="shared" si="2"/>
        <v>1</v>
      </c>
      <c r="AG7" s="293">
        <f t="shared" si="3"/>
        <v>0</v>
      </c>
      <c r="AH7" s="293">
        <f t="shared" si="4"/>
        <v>0</v>
      </c>
      <c r="AI7" s="293">
        <f t="shared" si="5"/>
        <v>0</v>
      </c>
      <c r="AJ7" s="293">
        <f t="shared" si="6"/>
        <v>0</v>
      </c>
      <c r="AK7" s="293">
        <f t="shared" si="7"/>
        <v>0</v>
      </c>
      <c r="AL7" s="348">
        <f t="shared" si="8"/>
        <v>7</v>
      </c>
      <c r="AM7" s="369"/>
      <c r="AN7" s="322">
        <v>7</v>
      </c>
      <c r="AO7" s="231">
        <v>0</v>
      </c>
      <c r="AP7" s="228">
        <v>0</v>
      </c>
      <c r="AQ7" s="231">
        <v>0</v>
      </c>
      <c r="AR7" s="231">
        <v>0</v>
      </c>
      <c r="AS7" s="231">
        <v>0</v>
      </c>
      <c r="AT7" s="231">
        <v>0</v>
      </c>
      <c r="AU7" s="242">
        <v>0</v>
      </c>
      <c r="AV7" s="231">
        <v>0</v>
      </c>
      <c r="AW7" s="231">
        <v>0</v>
      </c>
      <c r="AX7" s="231">
        <v>0</v>
      </c>
      <c r="AY7" s="231">
        <v>0</v>
      </c>
      <c r="AZ7" s="230">
        <v>0</v>
      </c>
      <c r="BA7" s="2" t="s">
        <v>1238</v>
      </c>
      <c r="BD7" s="2" t="s">
        <v>1217</v>
      </c>
      <c r="BF7" s="232"/>
    </row>
    <row r="8" spans="1:58" s="2" customFormat="1" ht="15" customHeight="1" x14ac:dyDescent="0.25">
      <c r="A8" s="2" t="s">
        <v>19</v>
      </c>
      <c r="B8" s="2" t="s">
        <v>22</v>
      </c>
      <c r="D8" s="358" t="s">
        <v>20</v>
      </c>
      <c r="E8" s="358" t="s">
        <v>21</v>
      </c>
      <c r="F8" s="319">
        <v>43009</v>
      </c>
      <c r="G8" s="319">
        <v>43551</v>
      </c>
      <c r="H8" s="358" t="s">
        <v>1027</v>
      </c>
      <c r="I8" s="367" t="s">
        <v>1048</v>
      </c>
      <c r="J8" s="2">
        <v>515521</v>
      </c>
      <c r="K8" s="2">
        <v>171408</v>
      </c>
      <c r="L8" s="293"/>
      <c r="M8" s="364">
        <v>0</v>
      </c>
      <c r="N8" s="364">
        <v>1</v>
      </c>
      <c r="O8" s="364">
        <v>0</v>
      </c>
      <c r="P8" s="364">
        <v>0</v>
      </c>
      <c r="Q8" s="364"/>
      <c r="R8" s="364"/>
      <c r="S8" s="364"/>
      <c r="T8" s="366">
        <v>1</v>
      </c>
      <c r="U8" s="364"/>
      <c r="V8" s="364">
        <v>2</v>
      </c>
      <c r="W8" s="364">
        <v>0</v>
      </c>
      <c r="X8" s="364">
        <v>0</v>
      </c>
      <c r="Y8" s="364">
        <v>0</v>
      </c>
      <c r="Z8" s="364"/>
      <c r="AA8" s="293"/>
      <c r="AB8" s="293"/>
      <c r="AC8" s="366">
        <v>2</v>
      </c>
      <c r="AD8" s="293"/>
      <c r="AE8" s="293">
        <f t="shared" si="1"/>
        <v>2</v>
      </c>
      <c r="AF8" s="293">
        <f t="shared" si="2"/>
        <v>-1</v>
      </c>
      <c r="AG8" s="293">
        <f t="shared" si="3"/>
        <v>0</v>
      </c>
      <c r="AH8" s="293">
        <f t="shared" si="4"/>
        <v>0</v>
      </c>
      <c r="AI8" s="293">
        <f t="shared" si="5"/>
        <v>0</v>
      </c>
      <c r="AJ8" s="293">
        <f t="shared" si="6"/>
        <v>0</v>
      </c>
      <c r="AK8" s="293">
        <f t="shared" si="7"/>
        <v>0</v>
      </c>
      <c r="AL8" s="348">
        <f t="shared" si="8"/>
        <v>1</v>
      </c>
      <c r="AM8" s="369"/>
      <c r="AN8" s="322">
        <v>1</v>
      </c>
      <c r="AO8" s="231">
        <v>0</v>
      </c>
      <c r="AP8" s="228">
        <v>0</v>
      </c>
      <c r="AQ8" s="231">
        <v>0</v>
      </c>
      <c r="AR8" s="231">
        <v>0</v>
      </c>
      <c r="AS8" s="231">
        <v>0</v>
      </c>
      <c r="AT8" s="231">
        <v>0</v>
      </c>
      <c r="AU8" s="323">
        <v>0</v>
      </c>
      <c r="AV8" s="231">
        <v>0</v>
      </c>
      <c r="AW8" s="231">
        <v>0</v>
      </c>
      <c r="AX8" s="231">
        <v>0</v>
      </c>
      <c r="AY8" s="231">
        <v>0</v>
      </c>
      <c r="AZ8" s="230">
        <v>0</v>
      </c>
      <c r="BA8" s="2" t="s">
        <v>1265</v>
      </c>
      <c r="BF8" s="232"/>
    </row>
    <row r="9" spans="1:58" s="2" customFormat="1" ht="15" customHeight="1" x14ac:dyDescent="0.25">
      <c r="A9" s="2" t="s">
        <v>23</v>
      </c>
      <c r="B9" s="2" t="s">
        <v>26</v>
      </c>
      <c r="C9" s="2" t="s">
        <v>1037</v>
      </c>
      <c r="D9" s="358" t="s">
        <v>24</v>
      </c>
      <c r="E9" s="358" t="s">
        <v>25</v>
      </c>
      <c r="F9" s="319">
        <v>42461</v>
      </c>
      <c r="G9" s="319">
        <v>43445</v>
      </c>
      <c r="H9" s="358" t="s">
        <v>1027</v>
      </c>
      <c r="I9" s="367" t="s">
        <v>1048</v>
      </c>
      <c r="J9" s="2">
        <v>520540</v>
      </c>
      <c r="K9" s="2">
        <v>175748</v>
      </c>
      <c r="L9" s="293"/>
      <c r="M9" s="364">
        <v>0</v>
      </c>
      <c r="N9" s="364">
        <v>0</v>
      </c>
      <c r="O9" s="364">
        <v>0</v>
      </c>
      <c r="P9" s="364">
        <v>0</v>
      </c>
      <c r="Q9" s="364"/>
      <c r="R9" s="364"/>
      <c r="S9" s="364"/>
      <c r="T9" s="366">
        <v>0</v>
      </c>
      <c r="U9" s="364"/>
      <c r="V9" s="364">
        <v>1</v>
      </c>
      <c r="W9" s="364">
        <v>5</v>
      </c>
      <c r="X9" s="364">
        <v>0</v>
      </c>
      <c r="Y9" s="364">
        <v>0</v>
      </c>
      <c r="Z9" s="364"/>
      <c r="AA9" s="293"/>
      <c r="AB9" s="293"/>
      <c r="AC9" s="366">
        <v>6</v>
      </c>
      <c r="AD9" s="293"/>
      <c r="AE9" s="293">
        <f t="shared" si="1"/>
        <v>1</v>
      </c>
      <c r="AF9" s="293">
        <f t="shared" si="2"/>
        <v>5</v>
      </c>
      <c r="AG9" s="293">
        <f t="shared" si="3"/>
        <v>0</v>
      </c>
      <c r="AH9" s="293">
        <f t="shared" si="4"/>
        <v>0</v>
      </c>
      <c r="AI9" s="293">
        <f t="shared" si="5"/>
        <v>0</v>
      </c>
      <c r="AJ9" s="293">
        <f t="shared" si="6"/>
        <v>0</v>
      </c>
      <c r="AK9" s="293">
        <f t="shared" si="7"/>
        <v>0</v>
      </c>
      <c r="AL9" s="348">
        <f t="shared" si="8"/>
        <v>6</v>
      </c>
      <c r="AM9" s="369"/>
      <c r="AN9" s="322">
        <v>6</v>
      </c>
      <c r="AO9" s="231">
        <v>0</v>
      </c>
      <c r="AP9" s="228">
        <v>0</v>
      </c>
      <c r="AQ9" s="231">
        <v>0</v>
      </c>
      <c r="AR9" s="231">
        <v>0</v>
      </c>
      <c r="AS9" s="231">
        <v>0</v>
      </c>
      <c r="AT9" s="231">
        <v>0</v>
      </c>
      <c r="AU9" s="323">
        <v>0</v>
      </c>
      <c r="AV9" s="231">
        <v>0</v>
      </c>
      <c r="AW9" s="231">
        <v>0</v>
      </c>
      <c r="AX9" s="231">
        <v>0</v>
      </c>
      <c r="AY9" s="231">
        <v>0</v>
      </c>
      <c r="AZ9" s="230">
        <v>0</v>
      </c>
      <c r="BA9" s="2" t="s">
        <v>1212</v>
      </c>
      <c r="BD9" s="2" t="s">
        <v>1212</v>
      </c>
      <c r="BF9" s="232"/>
    </row>
    <row r="10" spans="1:58" s="2" customFormat="1" ht="15" customHeight="1" x14ac:dyDescent="0.25">
      <c r="A10" s="2" t="s">
        <v>27</v>
      </c>
      <c r="B10" s="2" t="s">
        <v>26</v>
      </c>
      <c r="D10" s="358" t="s">
        <v>28</v>
      </c>
      <c r="E10" s="358" t="s">
        <v>29</v>
      </c>
      <c r="F10" s="319">
        <v>42040</v>
      </c>
      <c r="G10" s="319">
        <v>43290</v>
      </c>
      <c r="H10" s="358" t="s">
        <v>1027</v>
      </c>
      <c r="I10" s="367" t="s">
        <v>1048</v>
      </c>
      <c r="J10" s="2">
        <v>518424</v>
      </c>
      <c r="K10" s="2">
        <v>173759</v>
      </c>
      <c r="L10" s="293"/>
      <c r="M10" s="364">
        <v>0</v>
      </c>
      <c r="N10" s="364">
        <v>0</v>
      </c>
      <c r="O10" s="364">
        <v>0</v>
      </c>
      <c r="P10" s="364">
        <v>0</v>
      </c>
      <c r="Q10" s="364"/>
      <c r="R10" s="364"/>
      <c r="S10" s="364"/>
      <c r="T10" s="366">
        <v>0</v>
      </c>
      <c r="U10" s="364"/>
      <c r="V10" s="364">
        <v>29</v>
      </c>
      <c r="W10" s="364">
        <v>24</v>
      </c>
      <c r="X10" s="364">
        <v>30</v>
      </c>
      <c r="Y10" s="364">
        <v>3</v>
      </c>
      <c r="Z10" s="364"/>
      <c r="AA10" s="293"/>
      <c r="AB10" s="293"/>
      <c r="AC10" s="366">
        <v>86</v>
      </c>
      <c r="AD10" s="293"/>
      <c r="AE10" s="293">
        <f t="shared" si="1"/>
        <v>29</v>
      </c>
      <c r="AF10" s="293">
        <f t="shared" si="2"/>
        <v>24</v>
      </c>
      <c r="AG10" s="293">
        <f t="shared" si="3"/>
        <v>30</v>
      </c>
      <c r="AH10" s="293">
        <f t="shared" si="4"/>
        <v>3</v>
      </c>
      <c r="AI10" s="293">
        <f t="shared" si="5"/>
        <v>0</v>
      </c>
      <c r="AJ10" s="293">
        <f t="shared" si="6"/>
        <v>0</v>
      </c>
      <c r="AK10" s="293">
        <f t="shared" si="7"/>
        <v>0</v>
      </c>
      <c r="AL10" s="348">
        <f t="shared" si="8"/>
        <v>86</v>
      </c>
      <c r="AM10" s="231" t="s">
        <v>39</v>
      </c>
      <c r="AN10" s="322">
        <v>86</v>
      </c>
      <c r="AO10" s="231">
        <v>0</v>
      </c>
      <c r="AP10" s="228">
        <v>0</v>
      </c>
      <c r="AQ10" s="231">
        <v>0</v>
      </c>
      <c r="AR10" s="231">
        <v>0</v>
      </c>
      <c r="AS10" s="231">
        <v>0</v>
      </c>
      <c r="AT10" s="231">
        <v>0</v>
      </c>
      <c r="AU10" s="323">
        <v>0</v>
      </c>
      <c r="AV10" s="231">
        <v>0</v>
      </c>
      <c r="AW10" s="231">
        <v>0</v>
      </c>
      <c r="AX10" s="231">
        <v>0</v>
      </c>
      <c r="AY10" s="231">
        <v>0</v>
      </c>
      <c r="AZ10" s="230">
        <v>0</v>
      </c>
      <c r="BA10" s="2" t="s">
        <v>1443</v>
      </c>
      <c r="BE10" s="2" t="s">
        <v>1214</v>
      </c>
      <c r="BF10" s="232"/>
    </row>
    <row r="11" spans="1:58" s="2" customFormat="1" ht="15" customHeight="1" x14ac:dyDescent="0.25">
      <c r="A11" s="2" t="s">
        <v>30</v>
      </c>
      <c r="B11" s="2" t="s">
        <v>9</v>
      </c>
      <c r="D11" s="358" t="s">
        <v>31</v>
      </c>
      <c r="E11" s="358" t="s">
        <v>32</v>
      </c>
      <c r="F11" s="319">
        <v>41071</v>
      </c>
      <c r="G11" s="319">
        <v>43476</v>
      </c>
      <c r="H11" s="358" t="s">
        <v>1027</v>
      </c>
      <c r="I11" s="367" t="s">
        <v>1048</v>
      </c>
      <c r="J11" s="2">
        <v>513223</v>
      </c>
      <c r="K11" s="2">
        <v>170169</v>
      </c>
      <c r="L11" s="293"/>
      <c r="M11" s="364">
        <v>0</v>
      </c>
      <c r="N11" s="364">
        <v>0</v>
      </c>
      <c r="O11" s="364">
        <v>1</v>
      </c>
      <c r="P11" s="364">
        <v>0</v>
      </c>
      <c r="Q11" s="364"/>
      <c r="R11" s="364"/>
      <c r="S11" s="364"/>
      <c r="T11" s="366">
        <v>1</v>
      </c>
      <c r="U11" s="364"/>
      <c r="V11" s="364">
        <v>0</v>
      </c>
      <c r="W11" s="364">
        <v>0</v>
      </c>
      <c r="X11" s="364">
        <v>0</v>
      </c>
      <c r="Y11" s="364">
        <v>2</v>
      </c>
      <c r="Z11" s="364"/>
      <c r="AA11" s="293"/>
      <c r="AB11" s="293"/>
      <c r="AC11" s="366">
        <v>2</v>
      </c>
      <c r="AD11" s="293"/>
      <c r="AE11" s="293">
        <f t="shared" si="1"/>
        <v>0</v>
      </c>
      <c r="AF11" s="293">
        <f t="shared" si="2"/>
        <v>0</v>
      </c>
      <c r="AG11" s="293">
        <f t="shared" si="3"/>
        <v>-1</v>
      </c>
      <c r="AH11" s="293">
        <f t="shared" si="4"/>
        <v>2</v>
      </c>
      <c r="AI11" s="293">
        <f t="shared" si="5"/>
        <v>0</v>
      </c>
      <c r="AJ11" s="293">
        <f t="shared" si="6"/>
        <v>0</v>
      </c>
      <c r="AK11" s="293">
        <f t="shared" si="7"/>
        <v>0</v>
      </c>
      <c r="AL11" s="348">
        <f t="shared" si="8"/>
        <v>1</v>
      </c>
      <c r="AM11" s="369"/>
      <c r="AN11" s="322">
        <v>1</v>
      </c>
      <c r="AO11" s="231">
        <v>0</v>
      </c>
      <c r="AP11" s="228">
        <v>0</v>
      </c>
      <c r="AQ11" s="231">
        <v>0</v>
      </c>
      <c r="AR11" s="231">
        <v>0</v>
      </c>
      <c r="AS11" s="231">
        <v>0</v>
      </c>
      <c r="AT11" s="231">
        <v>0</v>
      </c>
      <c r="AU11" s="323">
        <v>0</v>
      </c>
      <c r="AV11" s="231">
        <v>0</v>
      </c>
      <c r="AW11" s="231">
        <v>0</v>
      </c>
      <c r="AX11" s="231">
        <v>0</v>
      </c>
      <c r="AY11" s="231">
        <v>0</v>
      </c>
      <c r="AZ11" s="230">
        <v>0</v>
      </c>
      <c r="BA11" s="2" t="s">
        <v>1229</v>
      </c>
      <c r="BF11" s="232" t="s">
        <v>39</v>
      </c>
    </row>
    <row r="12" spans="1:58" s="2" customFormat="1" ht="15" customHeight="1" x14ac:dyDescent="0.25">
      <c r="A12" s="2" t="s">
        <v>33</v>
      </c>
      <c r="B12" s="2" t="s">
        <v>26</v>
      </c>
      <c r="D12" s="358" t="s">
        <v>34</v>
      </c>
      <c r="E12" s="358" t="s">
        <v>35</v>
      </c>
      <c r="F12" s="319">
        <v>42401</v>
      </c>
      <c r="G12" s="319">
        <v>43346</v>
      </c>
      <c r="H12" s="358" t="s">
        <v>1027</v>
      </c>
      <c r="I12" s="367" t="s">
        <v>1048</v>
      </c>
      <c r="J12" s="2">
        <v>517592</v>
      </c>
      <c r="K12" s="2">
        <v>169473</v>
      </c>
      <c r="L12" s="293"/>
      <c r="M12" s="364">
        <v>0</v>
      </c>
      <c r="N12" s="364">
        <v>0</v>
      </c>
      <c r="O12" s="364">
        <v>0</v>
      </c>
      <c r="P12" s="364">
        <v>0</v>
      </c>
      <c r="Q12" s="364"/>
      <c r="R12" s="364"/>
      <c r="S12" s="364"/>
      <c r="T12" s="366">
        <v>0</v>
      </c>
      <c r="U12" s="364"/>
      <c r="V12" s="364">
        <v>0</v>
      </c>
      <c r="W12" s="364">
        <v>0</v>
      </c>
      <c r="X12" s="364">
        <v>2</v>
      </c>
      <c r="Y12" s="364">
        <v>1</v>
      </c>
      <c r="Z12" s="364"/>
      <c r="AA12" s="293"/>
      <c r="AB12" s="293"/>
      <c r="AC12" s="366">
        <v>3</v>
      </c>
      <c r="AD12" s="293"/>
      <c r="AE12" s="293">
        <f t="shared" si="1"/>
        <v>0</v>
      </c>
      <c r="AF12" s="293">
        <f t="shared" si="2"/>
        <v>0</v>
      </c>
      <c r="AG12" s="293">
        <f t="shared" si="3"/>
        <v>2</v>
      </c>
      <c r="AH12" s="293">
        <f t="shared" si="4"/>
        <v>1</v>
      </c>
      <c r="AI12" s="293">
        <f t="shared" si="5"/>
        <v>0</v>
      </c>
      <c r="AJ12" s="293">
        <f t="shared" si="6"/>
        <v>0</v>
      </c>
      <c r="AK12" s="293">
        <f t="shared" si="7"/>
        <v>0</v>
      </c>
      <c r="AL12" s="348">
        <f t="shared" si="8"/>
        <v>3</v>
      </c>
      <c r="AM12" s="369"/>
      <c r="AN12" s="322">
        <v>3</v>
      </c>
      <c r="AO12" s="231">
        <v>0</v>
      </c>
      <c r="AP12" s="228">
        <v>0</v>
      </c>
      <c r="AQ12" s="231">
        <v>0</v>
      </c>
      <c r="AR12" s="231">
        <v>0</v>
      </c>
      <c r="AS12" s="231">
        <v>0</v>
      </c>
      <c r="AT12" s="231">
        <v>0</v>
      </c>
      <c r="AU12" s="323">
        <v>0</v>
      </c>
      <c r="AV12" s="231">
        <v>0</v>
      </c>
      <c r="AW12" s="231">
        <v>0</v>
      </c>
      <c r="AX12" s="231">
        <v>0</v>
      </c>
      <c r="AY12" s="231">
        <v>0</v>
      </c>
      <c r="AZ12" s="230">
        <v>0</v>
      </c>
      <c r="BA12" s="2" t="s">
        <v>1230</v>
      </c>
      <c r="BC12" s="2" t="s">
        <v>1230</v>
      </c>
      <c r="BE12" s="2" t="s">
        <v>1214</v>
      </c>
      <c r="BF12" s="232"/>
    </row>
    <row r="13" spans="1:58" s="2" customFormat="1" ht="15" customHeight="1" x14ac:dyDescent="0.25">
      <c r="A13" s="2" t="s">
        <v>36</v>
      </c>
      <c r="B13" s="2" t="s">
        <v>9</v>
      </c>
      <c r="D13" s="358" t="s">
        <v>37</v>
      </c>
      <c r="E13" s="358" t="s">
        <v>38</v>
      </c>
      <c r="F13" s="319">
        <v>42218</v>
      </c>
      <c r="G13" s="319">
        <v>43343</v>
      </c>
      <c r="H13" s="358" t="s">
        <v>1027</v>
      </c>
      <c r="I13" s="2" t="s">
        <v>1047</v>
      </c>
      <c r="J13" s="2">
        <v>519650</v>
      </c>
      <c r="K13" s="2">
        <v>177074</v>
      </c>
      <c r="L13" s="293"/>
      <c r="M13" s="364">
        <v>0</v>
      </c>
      <c r="N13" s="364">
        <v>0</v>
      </c>
      <c r="O13" s="364">
        <v>0</v>
      </c>
      <c r="P13" s="364">
        <v>0</v>
      </c>
      <c r="Q13" s="364"/>
      <c r="R13" s="364"/>
      <c r="S13" s="364"/>
      <c r="T13" s="366">
        <v>0</v>
      </c>
      <c r="U13" s="364"/>
      <c r="V13" s="364">
        <v>4</v>
      </c>
      <c r="W13" s="364">
        <v>16</v>
      </c>
      <c r="X13" s="364">
        <v>0</v>
      </c>
      <c r="Y13" s="364">
        <v>0</v>
      </c>
      <c r="Z13" s="364"/>
      <c r="AA13" s="293"/>
      <c r="AB13" s="293"/>
      <c r="AC13" s="366">
        <v>20</v>
      </c>
      <c r="AD13" s="293"/>
      <c r="AE13" s="293">
        <f t="shared" si="1"/>
        <v>4</v>
      </c>
      <c r="AF13" s="293">
        <f t="shared" si="2"/>
        <v>16</v>
      </c>
      <c r="AG13" s="293">
        <f t="shared" si="3"/>
        <v>0</v>
      </c>
      <c r="AH13" s="293">
        <f t="shared" si="4"/>
        <v>0</v>
      </c>
      <c r="AI13" s="293">
        <f t="shared" si="5"/>
        <v>0</v>
      </c>
      <c r="AJ13" s="293">
        <f t="shared" si="6"/>
        <v>0</v>
      </c>
      <c r="AK13" s="293">
        <f t="shared" si="7"/>
        <v>0</v>
      </c>
      <c r="AL13" s="348">
        <f t="shared" si="8"/>
        <v>20</v>
      </c>
      <c r="AM13" s="231" t="s">
        <v>39</v>
      </c>
      <c r="AN13" s="322">
        <v>20</v>
      </c>
      <c r="AO13" s="231">
        <v>0</v>
      </c>
      <c r="AP13" s="228">
        <v>0</v>
      </c>
      <c r="AQ13" s="231">
        <v>0</v>
      </c>
      <c r="AR13" s="231">
        <v>0</v>
      </c>
      <c r="AS13" s="231">
        <v>0</v>
      </c>
      <c r="AT13" s="231">
        <v>0</v>
      </c>
      <c r="AU13" s="323">
        <v>0</v>
      </c>
      <c r="AV13" s="231">
        <v>0</v>
      </c>
      <c r="AW13" s="231">
        <v>0</v>
      </c>
      <c r="AX13" s="231">
        <v>0</v>
      </c>
      <c r="AY13" s="231">
        <v>0</v>
      </c>
      <c r="AZ13" s="230">
        <v>0</v>
      </c>
      <c r="BA13" s="2" t="s">
        <v>1232</v>
      </c>
      <c r="BF13" s="232"/>
    </row>
    <row r="14" spans="1:58" s="2" customFormat="1" ht="15" customHeight="1" x14ac:dyDescent="0.25">
      <c r="A14" s="2" t="s">
        <v>36</v>
      </c>
      <c r="B14" s="2" t="s">
        <v>9</v>
      </c>
      <c r="D14" s="358" t="s">
        <v>37</v>
      </c>
      <c r="E14" s="358" t="s">
        <v>38</v>
      </c>
      <c r="F14" s="319">
        <v>42218</v>
      </c>
      <c r="G14" s="319">
        <v>43343</v>
      </c>
      <c r="H14" s="358" t="s">
        <v>1027</v>
      </c>
      <c r="I14" s="2" t="s">
        <v>1048</v>
      </c>
      <c r="J14" s="2">
        <v>519650</v>
      </c>
      <c r="K14" s="2">
        <v>177074</v>
      </c>
      <c r="L14" s="293"/>
      <c r="M14" s="364">
        <v>0</v>
      </c>
      <c r="N14" s="364">
        <v>0</v>
      </c>
      <c r="O14" s="364">
        <v>0</v>
      </c>
      <c r="P14" s="364">
        <v>0</v>
      </c>
      <c r="Q14" s="364"/>
      <c r="R14" s="364"/>
      <c r="S14" s="364"/>
      <c r="T14" s="366">
        <v>0</v>
      </c>
      <c r="U14" s="364"/>
      <c r="V14" s="364">
        <v>3</v>
      </c>
      <c r="W14" s="364">
        <v>12</v>
      </c>
      <c r="X14" s="364">
        <v>0</v>
      </c>
      <c r="Y14" s="364">
        <v>0</v>
      </c>
      <c r="Z14" s="364"/>
      <c r="AA14" s="293"/>
      <c r="AB14" s="293"/>
      <c r="AC14" s="366">
        <v>15</v>
      </c>
      <c r="AD14" s="293"/>
      <c r="AE14" s="293">
        <f t="shared" si="1"/>
        <v>3</v>
      </c>
      <c r="AF14" s="293">
        <f t="shared" si="2"/>
        <v>12</v>
      </c>
      <c r="AG14" s="293">
        <f t="shared" si="3"/>
        <v>0</v>
      </c>
      <c r="AH14" s="293">
        <f t="shared" si="4"/>
        <v>0</v>
      </c>
      <c r="AI14" s="293">
        <f t="shared" si="5"/>
        <v>0</v>
      </c>
      <c r="AJ14" s="293">
        <f t="shared" si="6"/>
        <v>0</v>
      </c>
      <c r="AK14" s="293">
        <f t="shared" si="7"/>
        <v>0</v>
      </c>
      <c r="AL14" s="348">
        <f t="shared" si="8"/>
        <v>15</v>
      </c>
      <c r="AM14" s="231" t="s">
        <v>39</v>
      </c>
      <c r="AN14" s="322">
        <v>15</v>
      </c>
      <c r="AO14" s="231">
        <v>0</v>
      </c>
      <c r="AP14" s="228">
        <v>0</v>
      </c>
      <c r="AQ14" s="231">
        <v>0</v>
      </c>
      <c r="AR14" s="231">
        <v>0</v>
      </c>
      <c r="AS14" s="231">
        <v>0</v>
      </c>
      <c r="AT14" s="231">
        <v>0</v>
      </c>
      <c r="AU14" s="323">
        <v>0</v>
      </c>
      <c r="AV14" s="231">
        <v>0</v>
      </c>
      <c r="AW14" s="231">
        <v>0</v>
      </c>
      <c r="AX14" s="231">
        <v>0</v>
      </c>
      <c r="AY14" s="231">
        <v>0</v>
      </c>
      <c r="AZ14" s="230">
        <v>0</v>
      </c>
      <c r="BA14" s="2" t="s">
        <v>1232</v>
      </c>
      <c r="BF14" s="232"/>
    </row>
    <row r="15" spans="1:58" s="2" customFormat="1" ht="15" customHeight="1" x14ac:dyDescent="0.25">
      <c r="A15" s="2" t="s">
        <v>36</v>
      </c>
      <c r="B15" s="2" t="s">
        <v>9</v>
      </c>
      <c r="D15" s="358" t="s">
        <v>37</v>
      </c>
      <c r="E15" s="358" t="s">
        <v>38</v>
      </c>
      <c r="F15" s="319">
        <v>42218</v>
      </c>
      <c r="G15" s="319">
        <v>43343</v>
      </c>
      <c r="H15" s="358" t="s">
        <v>1027</v>
      </c>
      <c r="I15" s="319" t="s">
        <v>1049</v>
      </c>
      <c r="J15" s="2">
        <v>519650</v>
      </c>
      <c r="K15" s="2">
        <v>177074</v>
      </c>
      <c r="L15" s="293"/>
      <c r="M15" s="364">
        <v>0</v>
      </c>
      <c r="N15" s="364">
        <v>0</v>
      </c>
      <c r="O15" s="364">
        <v>0</v>
      </c>
      <c r="P15" s="364">
        <v>0</v>
      </c>
      <c r="Q15" s="364"/>
      <c r="R15" s="364"/>
      <c r="S15" s="364"/>
      <c r="T15" s="366">
        <v>0</v>
      </c>
      <c r="U15" s="364"/>
      <c r="V15" s="364">
        <v>1</v>
      </c>
      <c r="W15" s="364">
        <v>4</v>
      </c>
      <c r="X15" s="364">
        <v>0</v>
      </c>
      <c r="Y15" s="364">
        <v>0</v>
      </c>
      <c r="Z15" s="364"/>
      <c r="AA15" s="293"/>
      <c r="AB15" s="293"/>
      <c r="AC15" s="366">
        <v>5</v>
      </c>
      <c r="AD15" s="293"/>
      <c r="AE15" s="293">
        <f t="shared" si="1"/>
        <v>1</v>
      </c>
      <c r="AF15" s="293">
        <f t="shared" si="2"/>
        <v>4</v>
      </c>
      <c r="AG15" s="293">
        <f t="shared" si="3"/>
        <v>0</v>
      </c>
      <c r="AH15" s="293">
        <f t="shared" si="4"/>
        <v>0</v>
      </c>
      <c r="AI15" s="293">
        <f t="shared" si="5"/>
        <v>0</v>
      </c>
      <c r="AJ15" s="293">
        <f t="shared" si="6"/>
        <v>0</v>
      </c>
      <c r="AK15" s="293">
        <f t="shared" si="7"/>
        <v>0</v>
      </c>
      <c r="AL15" s="348">
        <f t="shared" si="8"/>
        <v>5</v>
      </c>
      <c r="AM15" s="231" t="s">
        <v>39</v>
      </c>
      <c r="AN15" s="322">
        <v>5</v>
      </c>
      <c r="AO15" s="231">
        <v>0</v>
      </c>
      <c r="AP15" s="228">
        <v>0</v>
      </c>
      <c r="AQ15" s="231">
        <v>0</v>
      </c>
      <c r="AR15" s="231">
        <v>0</v>
      </c>
      <c r="AS15" s="231">
        <v>0</v>
      </c>
      <c r="AT15" s="231">
        <v>0</v>
      </c>
      <c r="AU15" s="323">
        <v>0</v>
      </c>
      <c r="AV15" s="231">
        <v>0</v>
      </c>
      <c r="AW15" s="231">
        <v>0</v>
      </c>
      <c r="AX15" s="231">
        <v>0</v>
      </c>
      <c r="AY15" s="231">
        <v>0</v>
      </c>
      <c r="AZ15" s="230">
        <v>0</v>
      </c>
      <c r="BA15" s="2" t="s">
        <v>1232</v>
      </c>
      <c r="BF15" s="232"/>
    </row>
    <row r="16" spans="1:58" s="2" customFormat="1" ht="15" customHeight="1" x14ac:dyDescent="0.25">
      <c r="A16" s="2" t="s">
        <v>40</v>
      </c>
      <c r="B16" s="2" t="s">
        <v>22</v>
      </c>
      <c r="D16" s="358" t="s">
        <v>41</v>
      </c>
      <c r="E16" s="358" t="s">
        <v>42</v>
      </c>
      <c r="F16" s="319">
        <v>42795</v>
      </c>
      <c r="G16" s="319">
        <v>43252</v>
      </c>
      <c r="H16" s="358" t="s">
        <v>1027</v>
      </c>
      <c r="I16" s="367" t="s">
        <v>1048</v>
      </c>
      <c r="J16" s="2">
        <v>514566</v>
      </c>
      <c r="K16" s="2">
        <v>172678</v>
      </c>
      <c r="L16" s="293"/>
      <c r="M16" s="364">
        <v>0</v>
      </c>
      <c r="N16" s="364">
        <v>0</v>
      </c>
      <c r="O16" s="364">
        <v>0</v>
      </c>
      <c r="P16" s="364">
        <v>1</v>
      </c>
      <c r="Q16" s="364"/>
      <c r="R16" s="364"/>
      <c r="S16" s="364"/>
      <c r="T16" s="366">
        <v>1</v>
      </c>
      <c r="U16" s="364"/>
      <c r="V16" s="364">
        <v>0</v>
      </c>
      <c r="W16" s="364">
        <v>0</v>
      </c>
      <c r="X16" s="364">
        <v>2</v>
      </c>
      <c r="Y16" s="364">
        <v>0</v>
      </c>
      <c r="Z16" s="364"/>
      <c r="AA16" s="293"/>
      <c r="AB16" s="293"/>
      <c r="AC16" s="366">
        <v>2</v>
      </c>
      <c r="AD16" s="293"/>
      <c r="AE16" s="293">
        <f t="shared" si="1"/>
        <v>0</v>
      </c>
      <c r="AF16" s="293">
        <f t="shared" si="2"/>
        <v>0</v>
      </c>
      <c r="AG16" s="293">
        <f t="shared" si="3"/>
        <v>2</v>
      </c>
      <c r="AH16" s="293">
        <f t="shared" si="4"/>
        <v>-1</v>
      </c>
      <c r="AI16" s="293">
        <f t="shared" si="5"/>
        <v>0</v>
      </c>
      <c r="AJ16" s="293">
        <f t="shared" si="6"/>
        <v>0</v>
      </c>
      <c r="AK16" s="293">
        <f t="shared" si="7"/>
        <v>0</v>
      </c>
      <c r="AL16" s="348">
        <f t="shared" si="8"/>
        <v>1</v>
      </c>
      <c r="AM16" s="369"/>
      <c r="AN16" s="322">
        <v>1</v>
      </c>
      <c r="AO16" s="231">
        <v>0</v>
      </c>
      <c r="AP16" s="228">
        <v>0</v>
      </c>
      <c r="AQ16" s="231">
        <v>0</v>
      </c>
      <c r="AR16" s="231">
        <v>0</v>
      </c>
      <c r="AS16" s="231">
        <v>0</v>
      </c>
      <c r="AT16" s="231">
        <v>0</v>
      </c>
      <c r="AU16" s="323">
        <v>0</v>
      </c>
      <c r="AV16" s="231">
        <v>0</v>
      </c>
      <c r="AW16" s="231">
        <v>0</v>
      </c>
      <c r="AX16" s="231">
        <v>0</v>
      </c>
      <c r="AY16" s="231">
        <v>0</v>
      </c>
      <c r="AZ16" s="230">
        <v>0</v>
      </c>
      <c r="BA16" s="2" t="s">
        <v>1239</v>
      </c>
      <c r="BF16" s="232"/>
    </row>
    <row r="17" spans="1:58" s="2" customFormat="1" ht="15" customHeight="1" x14ac:dyDescent="0.25">
      <c r="A17" s="2" t="s">
        <v>46</v>
      </c>
      <c r="B17" s="2" t="s">
        <v>9</v>
      </c>
      <c r="D17" s="358" t="s">
        <v>47</v>
      </c>
      <c r="E17" s="358" t="s">
        <v>48</v>
      </c>
      <c r="F17" s="319">
        <v>42826</v>
      </c>
      <c r="G17" s="319">
        <v>43326</v>
      </c>
      <c r="H17" s="358" t="s">
        <v>1027</v>
      </c>
      <c r="I17" s="367" t="s">
        <v>1048</v>
      </c>
      <c r="J17" s="2">
        <v>521356</v>
      </c>
      <c r="K17" s="2">
        <v>176060</v>
      </c>
      <c r="L17" s="293"/>
      <c r="M17" s="364">
        <v>0</v>
      </c>
      <c r="N17" s="364">
        <v>0</v>
      </c>
      <c r="O17" s="364">
        <v>0</v>
      </c>
      <c r="P17" s="364">
        <v>0</v>
      </c>
      <c r="Q17" s="364"/>
      <c r="R17" s="364"/>
      <c r="S17" s="364"/>
      <c r="T17" s="366">
        <v>0</v>
      </c>
      <c r="U17" s="364"/>
      <c r="V17" s="364">
        <v>1</v>
      </c>
      <c r="W17" s="364">
        <v>3</v>
      </c>
      <c r="X17" s="364">
        <v>1</v>
      </c>
      <c r="Y17" s="364">
        <v>0</v>
      </c>
      <c r="Z17" s="364"/>
      <c r="AA17" s="293"/>
      <c r="AB17" s="293"/>
      <c r="AC17" s="366">
        <v>5</v>
      </c>
      <c r="AD17" s="293"/>
      <c r="AE17" s="293">
        <f t="shared" si="1"/>
        <v>1</v>
      </c>
      <c r="AF17" s="293">
        <f t="shared" si="2"/>
        <v>3</v>
      </c>
      <c r="AG17" s="293">
        <f t="shared" si="3"/>
        <v>1</v>
      </c>
      <c r="AH17" s="293">
        <f t="shared" si="4"/>
        <v>0</v>
      </c>
      <c r="AI17" s="293">
        <f t="shared" si="5"/>
        <v>0</v>
      </c>
      <c r="AJ17" s="293">
        <f t="shared" si="6"/>
        <v>0</v>
      </c>
      <c r="AK17" s="293">
        <f t="shared" si="7"/>
        <v>0</v>
      </c>
      <c r="AL17" s="348">
        <f t="shared" si="8"/>
        <v>5</v>
      </c>
      <c r="AM17" s="369"/>
      <c r="AN17" s="322">
        <v>5</v>
      </c>
      <c r="AO17" s="231">
        <v>0</v>
      </c>
      <c r="AP17" s="228">
        <v>0</v>
      </c>
      <c r="AQ17" s="231">
        <v>0</v>
      </c>
      <c r="AR17" s="231">
        <v>0</v>
      </c>
      <c r="AS17" s="231">
        <v>0</v>
      </c>
      <c r="AT17" s="231">
        <v>0</v>
      </c>
      <c r="AU17" s="323">
        <v>0</v>
      </c>
      <c r="AV17" s="231">
        <v>0</v>
      </c>
      <c r="AW17" s="231">
        <v>0</v>
      </c>
      <c r="AX17" s="231">
        <v>0</v>
      </c>
      <c r="AY17" s="231">
        <v>0</v>
      </c>
      <c r="AZ17" s="230">
        <v>0</v>
      </c>
      <c r="BA17" s="2" t="s">
        <v>1267</v>
      </c>
      <c r="BF17" s="232"/>
    </row>
    <row r="18" spans="1:58" s="2" customFormat="1" ht="15" customHeight="1" x14ac:dyDescent="0.25">
      <c r="A18" s="241" t="s">
        <v>566</v>
      </c>
      <c r="B18" s="2" t="s">
        <v>26</v>
      </c>
      <c r="D18" s="241" t="s">
        <v>565</v>
      </c>
      <c r="E18" s="241" t="s">
        <v>567</v>
      </c>
      <c r="F18" s="371">
        <v>42401</v>
      </c>
      <c r="G18" s="318">
        <v>43507</v>
      </c>
      <c r="H18" s="358" t="s">
        <v>1027</v>
      </c>
      <c r="I18" s="367" t="s">
        <v>1048</v>
      </c>
      <c r="J18" s="2">
        <v>519109</v>
      </c>
      <c r="K18" s="2">
        <v>176524</v>
      </c>
      <c r="L18" s="293"/>
      <c r="M18" s="364">
        <v>2</v>
      </c>
      <c r="N18" s="364">
        <v>0</v>
      </c>
      <c r="O18" s="364">
        <v>0</v>
      </c>
      <c r="P18" s="364">
        <v>0</v>
      </c>
      <c r="Q18" s="364"/>
      <c r="R18" s="364"/>
      <c r="S18" s="364"/>
      <c r="T18" s="365">
        <v>2</v>
      </c>
      <c r="U18" s="364"/>
      <c r="V18" s="364">
        <v>0</v>
      </c>
      <c r="W18" s="364">
        <v>2</v>
      </c>
      <c r="X18" s="364">
        <v>1</v>
      </c>
      <c r="Y18" s="364">
        <v>0</v>
      </c>
      <c r="Z18" s="364"/>
      <c r="AA18" s="293"/>
      <c r="AB18" s="293"/>
      <c r="AC18" s="365">
        <v>3</v>
      </c>
      <c r="AD18" s="293"/>
      <c r="AE18" s="293">
        <f t="shared" si="1"/>
        <v>-2</v>
      </c>
      <c r="AF18" s="293">
        <f t="shared" si="2"/>
        <v>2</v>
      </c>
      <c r="AG18" s="293">
        <f t="shared" si="3"/>
        <v>1</v>
      </c>
      <c r="AH18" s="293">
        <f t="shared" si="4"/>
        <v>0</v>
      </c>
      <c r="AI18" s="293">
        <f t="shared" si="5"/>
        <v>0</v>
      </c>
      <c r="AJ18" s="293">
        <f t="shared" si="6"/>
        <v>0</v>
      </c>
      <c r="AK18" s="293">
        <f t="shared" si="7"/>
        <v>0</v>
      </c>
      <c r="AL18" s="348">
        <f t="shared" si="8"/>
        <v>1</v>
      </c>
      <c r="AM18" s="369"/>
      <c r="AN18" s="322">
        <v>2</v>
      </c>
      <c r="AO18" s="231">
        <v>0</v>
      </c>
      <c r="AP18" s="228">
        <v>0</v>
      </c>
      <c r="AQ18" s="231">
        <v>0</v>
      </c>
      <c r="AR18" s="231">
        <v>0</v>
      </c>
      <c r="AS18" s="231">
        <v>0</v>
      </c>
      <c r="AT18" s="231">
        <v>0</v>
      </c>
      <c r="AU18" s="323">
        <v>0</v>
      </c>
      <c r="AV18" s="231">
        <v>0</v>
      </c>
      <c r="AW18" s="231">
        <v>0</v>
      </c>
      <c r="AX18" s="231">
        <v>0</v>
      </c>
      <c r="AY18" s="231">
        <v>0</v>
      </c>
      <c r="AZ18" s="230">
        <v>0</v>
      </c>
      <c r="BA18" s="2" t="s">
        <v>1232</v>
      </c>
      <c r="BF18" s="232"/>
    </row>
    <row r="19" spans="1:58" s="2" customFormat="1" ht="15" customHeight="1" x14ac:dyDescent="0.25">
      <c r="A19" s="2" t="s">
        <v>49</v>
      </c>
      <c r="B19" s="2" t="s">
        <v>5</v>
      </c>
      <c r="D19" s="358" t="s">
        <v>50</v>
      </c>
      <c r="E19" s="358" t="s">
        <v>51</v>
      </c>
      <c r="F19" s="370"/>
      <c r="G19" s="319">
        <v>43312</v>
      </c>
      <c r="H19" s="358" t="s">
        <v>1027</v>
      </c>
      <c r="I19" s="367" t="s">
        <v>1048</v>
      </c>
      <c r="J19" s="2">
        <v>518693</v>
      </c>
      <c r="K19" s="2">
        <v>174117</v>
      </c>
      <c r="L19" s="293"/>
      <c r="M19" s="364">
        <v>1</v>
      </c>
      <c r="N19" s="364">
        <v>1</v>
      </c>
      <c r="O19" s="364">
        <v>0</v>
      </c>
      <c r="P19" s="364">
        <v>0</v>
      </c>
      <c r="Q19" s="364"/>
      <c r="R19" s="364"/>
      <c r="S19" s="364"/>
      <c r="T19" s="366">
        <v>2</v>
      </c>
      <c r="U19" s="364"/>
      <c r="V19" s="364">
        <v>0</v>
      </c>
      <c r="W19" s="364">
        <v>0</v>
      </c>
      <c r="X19" s="364">
        <v>0</v>
      </c>
      <c r="Y19" s="364">
        <v>1</v>
      </c>
      <c r="Z19" s="364"/>
      <c r="AA19" s="293"/>
      <c r="AB19" s="293"/>
      <c r="AC19" s="366">
        <v>1</v>
      </c>
      <c r="AD19" s="293"/>
      <c r="AE19" s="293">
        <f t="shared" si="1"/>
        <v>-1</v>
      </c>
      <c r="AF19" s="293">
        <f t="shared" si="2"/>
        <v>-1</v>
      </c>
      <c r="AG19" s="293">
        <f t="shared" si="3"/>
        <v>0</v>
      </c>
      <c r="AH19" s="293">
        <f t="shared" si="4"/>
        <v>1</v>
      </c>
      <c r="AI19" s="293">
        <f t="shared" si="5"/>
        <v>0</v>
      </c>
      <c r="AJ19" s="293">
        <f t="shared" si="6"/>
        <v>0</v>
      </c>
      <c r="AK19" s="293">
        <f t="shared" si="7"/>
        <v>0</v>
      </c>
      <c r="AL19" s="348">
        <f t="shared" si="8"/>
        <v>-1</v>
      </c>
      <c r="AM19" s="369"/>
      <c r="AN19" s="322">
        <v>-1</v>
      </c>
      <c r="AO19" s="231">
        <v>0</v>
      </c>
      <c r="AP19" s="228">
        <v>0</v>
      </c>
      <c r="AQ19" s="231">
        <v>0</v>
      </c>
      <c r="AR19" s="231">
        <v>0</v>
      </c>
      <c r="AS19" s="231">
        <v>0</v>
      </c>
      <c r="AT19" s="231">
        <v>0</v>
      </c>
      <c r="AU19" s="323">
        <v>0</v>
      </c>
      <c r="AV19" s="231">
        <v>0</v>
      </c>
      <c r="AW19" s="231">
        <v>0</v>
      </c>
      <c r="AX19" s="231">
        <v>0</v>
      </c>
      <c r="AY19" s="231">
        <v>0</v>
      </c>
      <c r="AZ19" s="230">
        <v>0</v>
      </c>
      <c r="BA19" s="2" t="s">
        <v>1235</v>
      </c>
      <c r="BF19" s="232"/>
    </row>
    <row r="20" spans="1:58" s="2" customFormat="1" ht="15" customHeight="1" x14ac:dyDescent="0.25">
      <c r="A20" s="2" t="s">
        <v>52</v>
      </c>
      <c r="B20" s="2" t="s">
        <v>9</v>
      </c>
      <c r="D20" s="358" t="s">
        <v>1554</v>
      </c>
      <c r="E20" s="358" t="s">
        <v>53</v>
      </c>
      <c r="F20" s="319">
        <v>42736</v>
      </c>
      <c r="G20" s="319">
        <v>43343</v>
      </c>
      <c r="H20" s="358" t="s">
        <v>1027</v>
      </c>
      <c r="I20" s="367" t="s">
        <v>1048</v>
      </c>
      <c r="J20" s="2">
        <v>514662</v>
      </c>
      <c r="K20" s="2">
        <v>171639</v>
      </c>
      <c r="L20" s="293"/>
      <c r="M20" s="364">
        <v>0</v>
      </c>
      <c r="N20" s="364">
        <v>0</v>
      </c>
      <c r="O20" s="364">
        <v>1</v>
      </c>
      <c r="P20" s="364">
        <v>0</v>
      </c>
      <c r="Q20" s="364"/>
      <c r="R20" s="364"/>
      <c r="S20" s="364"/>
      <c r="T20" s="366">
        <v>1</v>
      </c>
      <c r="U20" s="364"/>
      <c r="V20" s="364">
        <v>0</v>
      </c>
      <c r="W20" s="364">
        <v>0</v>
      </c>
      <c r="X20" s="364">
        <v>0</v>
      </c>
      <c r="Y20" s="364">
        <v>1</v>
      </c>
      <c r="Z20" s="364"/>
      <c r="AA20" s="293"/>
      <c r="AB20" s="293"/>
      <c r="AC20" s="366">
        <v>1</v>
      </c>
      <c r="AD20" s="293"/>
      <c r="AE20" s="293">
        <f t="shared" si="1"/>
        <v>0</v>
      </c>
      <c r="AF20" s="293">
        <f t="shared" si="2"/>
        <v>0</v>
      </c>
      <c r="AG20" s="293">
        <f t="shared" si="3"/>
        <v>-1</v>
      </c>
      <c r="AH20" s="293">
        <f t="shared" si="4"/>
        <v>1</v>
      </c>
      <c r="AI20" s="293">
        <f t="shared" si="5"/>
        <v>0</v>
      </c>
      <c r="AJ20" s="293">
        <f t="shared" si="6"/>
        <v>0</v>
      </c>
      <c r="AK20" s="293">
        <f t="shared" si="7"/>
        <v>0</v>
      </c>
      <c r="AL20" s="348">
        <f t="shared" si="8"/>
        <v>0</v>
      </c>
      <c r="AM20" s="369"/>
      <c r="AN20" s="322">
        <v>0</v>
      </c>
      <c r="AO20" s="231">
        <v>0</v>
      </c>
      <c r="AP20" s="228">
        <v>0</v>
      </c>
      <c r="AQ20" s="231">
        <v>0</v>
      </c>
      <c r="AR20" s="231">
        <v>0</v>
      </c>
      <c r="AS20" s="231">
        <v>0</v>
      </c>
      <c r="AT20" s="231">
        <v>0</v>
      </c>
      <c r="AU20" s="323">
        <v>0</v>
      </c>
      <c r="AV20" s="231">
        <v>0</v>
      </c>
      <c r="AW20" s="231">
        <v>0</v>
      </c>
      <c r="AX20" s="231">
        <v>0</v>
      </c>
      <c r="AY20" s="231">
        <v>0</v>
      </c>
      <c r="AZ20" s="230">
        <v>0</v>
      </c>
      <c r="BA20" s="2" t="s">
        <v>1265</v>
      </c>
      <c r="BF20" s="232"/>
    </row>
    <row r="21" spans="1:58" s="2" customFormat="1" ht="15" customHeight="1" x14ac:dyDescent="0.25">
      <c r="A21" s="241" t="s">
        <v>981</v>
      </c>
      <c r="B21" s="2" t="s">
        <v>26</v>
      </c>
      <c r="C21" s="2" t="s">
        <v>1037</v>
      </c>
      <c r="D21" s="241" t="s">
        <v>982</v>
      </c>
      <c r="E21" s="241" t="s">
        <v>983</v>
      </c>
      <c r="G21" s="359">
        <v>43191</v>
      </c>
      <c r="H21" s="358" t="s">
        <v>1027</v>
      </c>
      <c r="I21" s="367" t="s">
        <v>1048</v>
      </c>
      <c r="J21" s="2">
        <v>516358</v>
      </c>
      <c r="K21" s="2">
        <v>173374</v>
      </c>
      <c r="L21" s="293"/>
      <c r="M21" s="364">
        <v>0</v>
      </c>
      <c r="N21" s="364">
        <v>0</v>
      </c>
      <c r="O21" s="364">
        <v>0</v>
      </c>
      <c r="P21" s="364">
        <v>0</v>
      </c>
      <c r="Q21" s="364"/>
      <c r="R21" s="364"/>
      <c r="S21" s="364"/>
      <c r="T21" s="365">
        <v>0</v>
      </c>
      <c r="U21" s="364"/>
      <c r="V21" s="364">
        <v>1</v>
      </c>
      <c r="W21" s="364">
        <v>0</v>
      </c>
      <c r="X21" s="364">
        <v>0</v>
      </c>
      <c r="Y21" s="364">
        <v>0</v>
      </c>
      <c r="Z21" s="364"/>
      <c r="AA21" s="364"/>
      <c r="AB21" s="364"/>
      <c r="AC21" s="366">
        <v>1</v>
      </c>
      <c r="AD21" s="364"/>
      <c r="AE21" s="364">
        <f t="shared" si="1"/>
        <v>1</v>
      </c>
      <c r="AF21" s="364">
        <f t="shared" si="2"/>
        <v>0</v>
      </c>
      <c r="AG21" s="364">
        <f t="shared" si="3"/>
        <v>0</v>
      </c>
      <c r="AH21" s="364">
        <f t="shared" si="4"/>
        <v>0</v>
      </c>
      <c r="AI21" s="364">
        <f t="shared" si="5"/>
        <v>0</v>
      </c>
      <c r="AJ21" s="364">
        <f t="shared" si="6"/>
        <v>0</v>
      </c>
      <c r="AK21" s="364">
        <f t="shared" si="7"/>
        <v>0</v>
      </c>
      <c r="AL21" s="348">
        <f t="shared" si="8"/>
        <v>1</v>
      </c>
      <c r="AN21" s="322">
        <v>1</v>
      </c>
      <c r="AO21" s="231">
        <v>0</v>
      </c>
      <c r="AP21" s="228">
        <v>0</v>
      </c>
      <c r="AQ21" s="231">
        <v>0</v>
      </c>
      <c r="AR21" s="231">
        <v>0</v>
      </c>
      <c r="AS21" s="231">
        <v>0</v>
      </c>
      <c r="AT21" s="231">
        <v>0</v>
      </c>
      <c r="AU21" s="242">
        <v>0</v>
      </c>
      <c r="AV21" s="231">
        <v>0</v>
      </c>
      <c r="AW21" s="231">
        <v>0</v>
      </c>
      <c r="AX21" s="231">
        <v>0</v>
      </c>
      <c r="AY21" s="231">
        <v>0</v>
      </c>
      <c r="AZ21" s="230">
        <v>0</v>
      </c>
      <c r="BA21" s="2" t="s">
        <v>1238</v>
      </c>
      <c r="BD21" s="2" t="s">
        <v>1217</v>
      </c>
      <c r="BF21" s="232"/>
    </row>
    <row r="22" spans="1:58" s="2" customFormat="1" ht="15" customHeight="1" x14ac:dyDescent="0.25">
      <c r="A22" s="2" t="s">
        <v>54</v>
      </c>
      <c r="B22" s="2" t="s">
        <v>26</v>
      </c>
      <c r="C22" s="2" t="s">
        <v>1037</v>
      </c>
      <c r="D22" s="358" t="s">
        <v>55</v>
      </c>
      <c r="E22" s="358" t="s">
        <v>56</v>
      </c>
      <c r="F22" s="319">
        <v>42430</v>
      </c>
      <c r="G22" s="319">
        <v>43405</v>
      </c>
      <c r="H22" s="358" t="s">
        <v>1027</v>
      </c>
      <c r="I22" s="367" t="s">
        <v>1048</v>
      </c>
      <c r="J22" s="2">
        <v>521980</v>
      </c>
      <c r="K22" s="2">
        <v>176064</v>
      </c>
      <c r="L22" s="293"/>
      <c r="M22" s="364">
        <v>0</v>
      </c>
      <c r="N22" s="364">
        <v>0</v>
      </c>
      <c r="O22" s="364">
        <v>0</v>
      </c>
      <c r="P22" s="364">
        <v>0</v>
      </c>
      <c r="Q22" s="364"/>
      <c r="R22" s="364"/>
      <c r="S22" s="364"/>
      <c r="T22" s="366">
        <v>0</v>
      </c>
      <c r="U22" s="364"/>
      <c r="V22" s="364">
        <v>0</v>
      </c>
      <c r="W22" s="364">
        <v>0</v>
      </c>
      <c r="X22" s="364">
        <v>0</v>
      </c>
      <c r="Y22" s="364">
        <v>0</v>
      </c>
      <c r="Z22" s="372">
        <v>7</v>
      </c>
      <c r="AA22" s="293"/>
      <c r="AB22" s="293"/>
      <c r="AC22" s="366">
        <v>7</v>
      </c>
      <c r="AD22" s="293"/>
      <c r="AE22" s="293">
        <f t="shared" si="1"/>
        <v>0</v>
      </c>
      <c r="AF22" s="293">
        <f t="shared" si="2"/>
        <v>0</v>
      </c>
      <c r="AG22" s="293">
        <f t="shared" si="3"/>
        <v>0</v>
      </c>
      <c r="AH22" s="293">
        <f t="shared" si="4"/>
        <v>0</v>
      </c>
      <c r="AI22" s="293">
        <f t="shared" si="5"/>
        <v>7</v>
      </c>
      <c r="AJ22" s="293">
        <f t="shared" si="6"/>
        <v>0</v>
      </c>
      <c r="AK22" s="293">
        <f t="shared" si="7"/>
        <v>0</v>
      </c>
      <c r="AL22" s="348">
        <f t="shared" si="8"/>
        <v>7</v>
      </c>
      <c r="AM22" s="369"/>
      <c r="AN22" s="322">
        <v>7</v>
      </c>
      <c r="AO22" s="231">
        <v>0</v>
      </c>
      <c r="AP22" s="228">
        <v>0</v>
      </c>
      <c r="AQ22" s="231">
        <v>0</v>
      </c>
      <c r="AR22" s="231">
        <v>0</v>
      </c>
      <c r="AS22" s="231">
        <v>0</v>
      </c>
      <c r="AT22" s="231">
        <v>0</v>
      </c>
      <c r="AU22" s="323">
        <v>0</v>
      </c>
      <c r="AV22" s="231">
        <v>0</v>
      </c>
      <c r="AW22" s="231">
        <v>0</v>
      </c>
      <c r="AX22" s="231">
        <v>0</v>
      </c>
      <c r="AY22" s="231">
        <v>0</v>
      </c>
      <c r="AZ22" s="230">
        <v>0</v>
      </c>
      <c r="BA22" s="2" t="s">
        <v>1267</v>
      </c>
      <c r="BF22" s="232"/>
    </row>
    <row r="23" spans="1:58" s="2" customFormat="1" ht="15" customHeight="1" x14ac:dyDescent="0.25">
      <c r="A23" s="2" t="s">
        <v>61</v>
      </c>
      <c r="B23" s="2" t="s">
        <v>9</v>
      </c>
      <c r="D23" s="358" t="s">
        <v>62</v>
      </c>
      <c r="E23" s="358" t="s">
        <v>63</v>
      </c>
      <c r="F23" s="319">
        <v>42908</v>
      </c>
      <c r="G23" s="319">
        <v>43264</v>
      </c>
      <c r="H23" s="358" t="s">
        <v>1027</v>
      </c>
      <c r="I23" s="367" t="s">
        <v>1048</v>
      </c>
      <c r="J23" s="2">
        <v>514252</v>
      </c>
      <c r="K23" s="2">
        <v>171505</v>
      </c>
      <c r="L23" s="293"/>
      <c r="M23" s="364">
        <v>0</v>
      </c>
      <c r="N23" s="364">
        <v>0</v>
      </c>
      <c r="O23" s="364">
        <v>0</v>
      </c>
      <c r="P23" s="364">
        <v>0</v>
      </c>
      <c r="Q23" s="364"/>
      <c r="R23" s="364"/>
      <c r="S23" s="364"/>
      <c r="T23" s="366">
        <v>0</v>
      </c>
      <c r="U23" s="364"/>
      <c r="V23" s="364">
        <v>0</v>
      </c>
      <c r="W23" s="364">
        <v>1</v>
      </c>
      <c r="X23" s="364">
        <v>0</v>
      </c>
      <c r="Y23" s="364">
        <v>0</v>
      </c>
      <c r="Z23" s="364"/>
      <c r="AA23" s="293"/>
      <c r="AB23" s="293"/>
      <c r="AC23" s="366">
        <v>1</v>
      </c>
      <c r="AD23" s="293"/>
      <c r="AE23" s="293">
        <f t="shared" si="1"/>
        <v>0</v>
      </c>
      <c r="AF23" s="293">
        <f t="shared" si="2"/>
        <v>1</v>
      </c>
      <c r="AG23" s="293">
        <f t="shared" si="3"/>
        <v>0</v>
      </c>
      <c r="AH23" s="293">
        <f t="shared" si="4"/>
        <v>0</v>
      </c>
      <c r="AI23" s="293">
        <f t="shared" si="5"/>
        <v>0</v>
      </c>
      <c r="AJ23" s="293">
        <f t="shared" si="6"/>
        <v>0</v>
      </c>
      <c r="AK23" s="293">
        <f t="shared" si="7"/>
        <v>0</v>
      </c>
      <c r="AL23" s="348">
        <f t="shared" si="8"/>
        <v>1</v>
      </c>
      <c r="AM23" s="369"/>
      <c r="AN23" s="322">
        <v>1</v>
      </c>
      <c r="AO23" s="231">
        <v>0</v>
      </c>
      <c r="AP23" s="228">
        <v>0</v>
      </c>
      <c r="AQ23" s="231">
        <v>0</v>
      </c>
      <c r="AR23" s="231">
        <v>0</v>
      </c>
      <c r="AS23" s="231">
        <v>0</v>
      </c>
      <c r="AT23" s="231">
        <v>0</v>
      </c>
      <c r="AU23" s="323">
        <v>0</v>
      </c>
      <c r="AV23" s="231">
        <v>0</v>
      </c>
      <c r="AW23" s="231">
        <v>0</v>
      </c>
      <c r="AX23" s="231">
        <v>0</v>
      </c>
      <c r="AY23" s="231">
        <v>0</v>
      </c>
      <c r="AZ23" s="230">
        <v>0</v>
      </c>
      <c r="BA23" s="2" t="s">
        <v>1265</v>
      </c>
      <c r="BF23" s="232" t="s">
        <v>39</v>
      </c>
    </row>
    <row r="24" spans="1:58" s="2" customFormat="1" ht="15" customHeight="1" x14ac:dyDescent="0.25">
      <c r="A24" s="2" t="s">
        <v>64</v>
      </c>
      <c r="B24" s="2" t="s">
        <v>9</v>
      </c>
      <c r="D24" s="358" t="s">
        <v>65</v>
      </c>
      <c r="E24" s="358" t="s">
        <v>66</v>
      </c>
      <c r="F24" s="319">
        <v>42639</v>
      </c>
      <c r="G24" s="319">
        <v>43343</v>
      </c>
      <c r="H24" s="358" t="s">
        <v>1027</v>
      </c>
      <c r="I24" s="367" t="s">
        <v>1048</v>
      </c>
      <c r="J24" s="2">
        <v>512996</v>
      </c>
      <c r="K24" s="2">
        <v>173588</v>
      </c>
      <c r="L24" s="293"/>
      <c r="M24" s="364">
        <v>0</v>
      </c>
      <c r="N24" s="364">
        <v>0</v>
      </c>
      <c r="O24" s="364">
        <v>0</v>
      </c>
      <c r="P24" s="364">
        <v>0</v>
      </c>
      <c r="Q24" s="364"/>
      <c r="R24" s="364"/>
      <c r="S24" s="364"/>
      <c r="T24" s="366">
        <v>0</v>
      </c>
      <c r="U24" s="364"/>
      <c r="V24" s="364">
        <v>0</v>
      </c>
      <c r="W24" s="364">
        <v>0</v>
      </c>
      <c r="X24" s="364">
        <v>1</v>
      </c>
      <c r="Y24" s="364">
        <v>0</v>
      </c>
      <c r="Z24" s="364"/>
      <c r="AA24" s="293"/>
      <c r="AB24" s="293"/>
      <c r="AC24" s="366">
        <v>1</v>
      </c>
      <c r="AD24" s="293"/>
      <c r="AE24" s="293">
        <f t="shared" si="1"/>
        <v>0</v>
      </c>
      <c r="AF24" s="293">
        <f t="shared" si="2"/>
        <v>0</v>
      </c>
      <c r="AG24" s="293">
        <f t="shared" si="3"/>
        <v>1</v>
      </c>
      <c r="AH24" s="293">
        <f t="shared" si="4"/>
        <v>0</v>
      </c>
      <c r="AI24" s="293">
        <f t="shared" si="5"/>
        <v>0</v>
      </c>
      <c r="AJ24" s="293">
        <f t="shared" si="6"/>
        <v>0</v>
      </c>
      <c r="AK24" s="293">
        <f t="shared" si="7"/>
        <v>0</v>
      </c>
      <c r="AL24" s="348">
        <f t="shared" si="8"/>
        <v>1</v>
      </c>
      <c r="AM24" s="369"/>
      <c r="AN24" s="322">
        <v>1</v>
      </c>
      <c r="AO24" s="231">
        <v>0</v>
      </c>
      <c r="AP24" s="228">
        <v>0</v>
      </c>
      <c r="AQ24" s="231">
        <v>0</v>
      </c>
      <c r="AR24" s="231">
        <v>0</v>
      </c>
      <c r="AS24" s="231">
        <v>0</v>
      </c>
      <c r="AT24" s="231">
        <v>0</v>
      </c>
      <c r="AU24" s="323">
        <v>0</v>
      </c>
      <c r="AV24" s="231">
        <v>0</v>
      </c>
      <c r="AW24" s="231">
        <v>0</v>
      </c>
      <c r="AX24" s="231">
        <v>0</v>
      </c>
      <c r="AY24" s="231">
        <v>0</v>
      </c>
      <c r="AZ24" s="230">
        <v>0</v>
      </c>
      <c r="BA24" s="2" t="s">
        <v>1231</v>
      </c>
      <c r="BF24" s="232" t="s">
        <v>39</v>
      </c>
    </row>
    <row r="25" spans="1:58" s="2" customFormat="1" ht="15" customHeight="1" x14ac:dyDescent="0.25">
      <c r="A25" s="2" t="s">
        <v>67</v>
      </c>
      <c r="B25" s="2" t="s">
        <v>26</v>
      </c>
      <c r="D25" s="358" t="s">
        <v>68</v>
      </c>
      <c r="E25" s="358" t="s">
        <v>69</v>
      </c>
      <c r="F25" s="319">
        <v>42527</v>
      </c>
      <c r="G25" s="319">
        <v>43347</v>
      </c>
      <c r="H25" s="358" t="s">
        <v>1027</v>
      </c>
      <c r="I25" s="319" t="s">
        <v>1049</v>
      </c>
      <c r="J25" s="2">
        <v>516146</v>
      </c>
      <c r="K25" s="2">
        <v>173335</v>
      </c>
      <c r="L25" s="293"/>
      <c r="M25" s="364">
        <v>0</v>
      </c>
      <c r="N25" s="364">
        <v>0</v>
      </c>
      <c r="O25" s="364">
        <v>0</v>
      </c>
      <c r="P25" s="364">
        <v>0</v>
      </c>
      <c r="Q25" s="364"/>
      <c r="R25" s="364"/>
      <c r="S25" s="364"/>
      <c r="T25" s="366">
        <v>0</v>
      </c>
      <c r="U25" s="364"/>
      <c r="V25" s="364">
        <v>11</v>
      </c>
      <c r="W25" s="364">
        <v>18</v>
      </c>
      <c r="X25" s="364">
        <v>0</v>
      </c>
      <c r="Y25" s="364">
        <v>0</v>
      </c>
      <c r="Z25" s="364"/>
      <c r="AA25" s="293"/>
      <c r="AB25" s="293"/>
      <c r="AC25" s="366">
        <v>29</v>
      </c>
      <c r="AD25" s="293"/>
      <c r="AE25" s="293">
        <f t="shared" si="1"/>
        <v>11</v>
      </c>
      <c r="AF25" s="293">
        <f t="shared" si="2"/>
        <v>18</v>
      </c>
      <c r="AG25" s="293">
        <f t="shared" si="3"/>
        <v>0</v>
      </c>
      <c r="AH25" s="293">
        <f t="shared" si="4"/>
        <v>0</v>
      </c>
      <c r="AI25" s="293">
        <f t="shared" si="5"/>
        <v>0</v>
      </c>
      <c r="AJ25" s="293">
        <f t="shared" si="6"/>
        <v>0</v>
      </c>
      <c r="AK25" s="293">
        <f t="shared" si="7"/>
        <v>0</v>
      </c>
      <c r="AL25" s="348">
        <f t="shared" si="8"/>
        <v>29</v>
      </c>
      <c r="AM25" s="231" t="s">
        <v>39</v>
      </c>
      <c r="AN25" s="322">
        <v>29</v>
      </c>
      <c r="AO25" s="231">
        <v>0</v>
      </c>
      <c r="AP25" s="228">
        <v>0</v>
      </c>
      <c r="AQ25" s="231">
        <v>0</v>
      </c>
      <c r="AR25" s="231">
        <v>0</v>
      </c>
      <c r="AS25" s="231">
        <v>0</v>
      </c>
      <c r="AT25" s="231">
        <v>0</v>
      </c>
      <c r="AU25" s="323">
        <v>0</v>
      </c>
      <c r="AV25" s="231">
        <v>0</v>
      </c>
      <c r="AW25" s="231">
        <v>0</v>
      </c>
      <c r="AX25" s="231">
        <v>0</v>
      </c>
      <c r="AY25" s="231">
        <v>0</v>
      </c>
      <c r="AZ25" s="230">
        <v>0</v>
      </c>
      <c r="BA25" s="2" t="s">
        <v>1238</v>
      </c>
      <c r="BD25" s="2" t="s">
        <v>1217</v>
      </c>
      <c r="BF25" s="232"/>
    </row>
    <row r="26" spans="1:58" s="2" customFormat="1" ht="15" customHeight="1" x14ac:dyDescent="0.25">
      <c r="A26" s="2" t="s">
        <v>67</v>
      </c>
      <c r="B26" s="2" t="s">
        <v>26</v>
      </c>
      <c r="D26" s="358" t="s">
        <v>68</v>
      </c>
      <c r="E26" s="358" t="s">
        <v>69</v>
      </c>
      <c r="F26" s="319">
        <v>42527</v>
      </c>
      <c r="G26" s="319">
        <v>43347</v>
      </c>
      <c r="H26" s="358" t="s">
        <v>1027</v>
      </c>
      <c r="I26" s="2" t="s">
        <v>1047</v>
      </c>
      <c r="J26" s="2">
        <v>516146</v>
      </c>
      <c r="K26" s="2">
        <v>173335</v>
      </c>
      <c r="L26" s="293"/>
      <c r="M26" s="364">
        <v>0</v>
      </c>
      <c r="N26" s="364">
        <v>0</v>
      </c>
      <c r="O26" s="364">
        <v>0</v>
      </c>
      <c r="P26" s="364">
        <v>0</v>
      </c>
      <c r="Q26" s="364"/>
      <c r="R26" s="364"/>
      <c r="S26" s="364"/>
      <c r="T26" s="366">
        <v>0</v>
      </c>
      <c r="U26" s="364"/>
      <c r="V26" s="364">
        <v>3</v>
      </c>
      <c r="W26" s="364">
        <v>13</v>
      </c>
      <c r="X26" s="364">
        <v>0</v>
      </c>
      <c r="Y26" s="364">
        <v>0</v>
      </c>
      <c r="Z26" s="364"/>
      <c r="AA26" s="293"/>
      <c r="AB26" s="293"/>
      <c r="AC26" s="366">
        <v>16</v>
      </c>
      <c r="AD26" s="293"/>
      <c r="AE26" s="293">
        <f t="shared" si="1"/>
        <v>3</v>
      </c>
      <c r="AF26" s="293">
        <f t="shared" si="2"/>
        <v>13</v>
      </c>
      <c r="AG26" s="293">
        <f t="shared" si="3"/>
        <v>0</v>
      </c>
      <c r="AH26" s="293">
        <f t="shared" si="4"/>
        <v>0</v>
      </c>
      <c r="AI26" s="293">
        <f t="shared" si="5"/>
        <v>0</v>
      </c>
      <c r="AJ26" s="293">
        <f t="shared" si="6"/>
        <v>0</v>
      </c>
      <c r="AK26" s="293">
        <f t="shared" si="7"/>
        <v>0</v>
      </c>
      <c r="AL26" s="348">
        <f t="shared" si="8"/>
        <v>16</v>
      </c>
      <c r="AM26" s="231" t="s">
        <v>39</v>
      </c>
      <c r="AN26" s="322">
        <v>16</v>
      </c>
      <c r="AO26" s="231">
        <v>0</v>
      </c>
      <c r="AP26" s="228">
        <v>0</v>
      </c>
      <c r="AQ26" s="231">
        <v>0</v>
      </c>
      <c r="AR26" s="231">
        <v>0</v>
      </c>
      <c r="AS26" s="231">
        <v>0</v>
      </c>
      <c r="AT26" s="231">
        <v>0</v>
      </c>
      <c r="AU26" s="323">
        <v>0</v>
      </c>
      <c r="AV26" s="231">
        <v>0</v>
      </c>
      <c r="AW26" s="231">
        <v>0</v>
      </c>
      <c r="AX26" s="231">
        <v>0</v>
      </c>
      <c r="AY26" s="231">
        <v>0</v>
      </c>
      <c r="AZ26" s="230">
        <v>0</v>
      </c>
      <c r="BA26" s="2" t="s">
        <v>1238</v>
      </c>
      <c r="BD26" s="2" t="s">
        <v>1217</v>
      </c>
      <c r="BF26" s="232"/>
    </row>
    <row r="27" spans="1:58" s="2" customFormat="1" ht="15" customHeight="1" x14ac:dyDescent="0.25">
      <c r="A27" s="241" t="s">
        <v>495</v>
      </c>
      <c r="B27" s="2" t="s">
        <v>9</v>
      </c>
      <c r="D27" s="241" t="s">
        <v>496</v>
      </c>
      <c r="E27" s="241" t="s">
        <v>497</v>
      </c>
      <c r="F27" s="371">
        <v>42795</v>
      </c>
      <c r="G27" s="318">
        <v>43554</v>
      </c>
      <c r="H27" s="358" t="s">
        <v>1027</v>
      </c>
      <c r="I27" s="367" t="s">
        <v>1048</v>
      </c>
      <c r="J27" s="2">
        <v>518835</v>
      </c>
      <c r="K27" s="2">
        <v>174669</v>
      </c>
      <c r="L27" s="293"/>
      <c r="M27" s="364">
        <v>0</v>
      </c>
      <c r="N27" s="364">
        <v>0</v>
      </c>
      <c r="O27" s="364">
        <v>0</v>
      </c>
      <c r="P27" s="364">
        <v>1</v>
      </c>
      <c r="Q27" s="364"/>
      <c r="R27" s="364"/>
      <c r="S27" s="364"/>
      <c r="T27" s="365">
        <v>1</v>
      </c>
      <c r="U27" s="364"/>
      <c r="V27" s="364">
        <v>0</v>
      </c>
      <c r="W27" s="364">
        <v>0</v>
      </c>
      <c r="X27" s="364">
        <v>0</v>
      </c>
      <c r="Y27" s="364">
        <v>1</v>
      </c>
      <c r="Z27" s="364"/>
      <c r="AA27" s="293"/>
      <c r="AB27" s="293"/>
      <c r="AC27" s="365">
        <v>1</v>
      </c>
      <c r="AD27" s="293"/>
      <c r="AE27" s="293">
        <f t="shared" si="1"/>
        <v>0</v>
      </c>
      <c r="AF27" s="293">
        <f t="shared" si="2"/>
        <v>0</v>
      </c>
      <c r="AG27" s="293">
        <f t="shared" si="3"/>
        <v>0</v>
      </c>
      <c r="AH27" s="293">
        <f t="shared" si="4"/>
        <v>0</v>
      </c>
      <c r="AI27" s="293">
        <f t="shared" si="5"/>
        <v>0</v>
      </c>
      <c r="AJ27" s="293">
        <f t="shared" si="6"/>
        <v>0</v>
      </c>
      <c r="AK27" s="293">
        <f t="shared" si="7"/>
        <v>0</v>
      </c>
      <c r="AL27" s="348">
        <f t="shared" si="8"/>
        <v>0</v>
      </c>
      <c r="AM27" s="369"/>
      <c r="AN27" s="322">
        <v>0</v>
      </c>
      <c r="AO27" s="231">
        <v>0</v>
      </c>
      <c r="AP27" s="228">
        <v>0</v>
      </c>
      <c r="AQ27" s="231">
        <v>0</v>
      </c>
      <c r="AR27" s="231">
        <v>0</v>
      </c>
      <c r="AS27" s="231">
        <v>0</v>
      </c>
      <c r="AT27" s="231">
        <v>0</v>
      </c>
      <c r="AU27" s="323">
        <v>0</v>
      </c>
      <c r="AV27" s="231">
        <v>0</v>
      </c>
      <c r="AW27" s="231">
        <v>0</v>
      </c>
      <c r="AX27" s="231">
        <v>0</v>
      </c>
      <c r="AY27" s="231">
        <v>0</v>
      </c>
      <c r="AZ27" s="230">
        <v>0</v>
      </c>
      <c r="BA27" s="2" t="s">
        <v>1235</v>
      </c>
      <c r="BF27" s="232"/>
    </row>
    <row r="28" spans="1:58" s="2" customFormat="1" ht="15" customHeight="1" x14ac:dyDescent="0.25">
      <c r="A28" s="2" t="s">
        <v>70</v>
      </c>
      <c r="B28" s="2" t="s">
        <v>9</v>
      </c>
      <c r="D28" s="358" t="s">
        <v>71</v>
      </c>
      <c r="E28" s="358" t="s">
        <v>72</v>
      </c>
      <c r="F28" s="319">
        <v>42443</v>
      </c>
      <c r="G28" s="319">
        <v>43230</v>
      </c>
      <c r="H28" s="358" t="s">
        <v>1027</v>
      </c>
      <c r="I28" s="367" t="s">
        <v>1048</v>
      </c>
      <c r="J28" s="2">
        <v>513256</v>
      </c>
      <c r="K28" s="2">
        <v>171788</v>
      </c>
      <c r="L28" s="293"/>
      <c r="M28" s="364">
        <v>0</v>
      </c>
      <c r="N28" s="364">
        <v>0</v>
      </c>
      <c r="O28" s="364">
        <v>0</v>
      </c>
      <c r="P28" s="364">
        <v>0</v>
      </c>
      <c r="Q28" s="364"/>
      <c r="R28" s="364"/>
      <c r="S28" s="364"/>
      <c r="T28" s="366">
        <v>0</v>
      </c>
      <c r="U28" s="364"/>
      <c r="V28" s="364">
        <v>0</v>
      </c>
      <c r="W28" s="364">
        <v>1</v>
      </c>
      <c r="X28" s="364">
        <v>0</v>
      </c>
      <c r="Y28" s="364">
        <v>0</v>
      </c>
      <c r="Z28" s="364"/>
      <c r="AA28" s="293"/>
      <c r="AB28" s="293"/>
      <c r="AC28" s="366">
        <v>1</v>
      </c>
      <c r="AD28" s="293"/>
      <c r="AE28" s="293">
        <f t="shared" si="1"/>
        <v>0</v>
      </c>
      <c r="AF28" s="293">
        <f t="shared" si="2"/>
        <v>1</v>
      </c>
      <c r="AG28" s="293">
        <f t="shared" si="3"/>
        <v>0</v>
      </c>
      <c r="AH28" s="293">
        <f t="shared" si="4"/>
        <v>0</v>
      </c>
      <c r="AI28" s="293">
        <f t="shared" si="5"/>
        <v>0</v>
      </c>
      <c r="AJ28" s="293">
        <f t="shared" si="6"/>
        <v>0</v>
      </c>
      <c r="AK28" s="293">
        <f t="shared" si="7"/>
        <v>0</v>
      </c>
      <c r="AL28" s="348">
        <f t="shared" si="8"/>
        <v>1</v>
      </c>
      <c r="AM28" s="369"/>
      <c r="AN28" s="322">
        <v>1</v>
      </c>
      <c r="AO28" s="231">
        <v>0</v>
      </c>
      <c r="AP28" s="228">
        <v>0</v>
      </c>
      <c r="AQ28" s="231">
        <v>0</v>
      </c>
      <c r="AR28" s="231">
        <v>0</v>
      </c>
      <c r="AS28" s="231">
        <v>0</v>
      </c>
      <c r="AT28" s="231">
        <v>0</v>
      </c>
      <c r="AU28" s="323">
        <v>0</v>
      </c>
      <c r="AV28" s="231">
        <v>0</v>
      </c>
      <c r="AW28" s="231">
        <v>0</v>
      </c>
      <c r="AX28" s="231">
        <v>0</v>
      </c>
      <c r="AY28" s="231">
        <v>0</v>
      </c>
      <c r="AZ28" s="230">
        <v>0</v>
      </c>
      <c r="BA28" s="2" t="s">
        <v>1228</v>
      </c>
      <c r="BF28" s="232"/>
    </row>
    <row r="29" spans="1:58" s="2" customFormat="1" ht="15" customHeight="1" x14ac:dyDescent="0.25">
      <c r="A29" s="2" t="s">
        <v>73</v>
      </c>
      <c r="B29" s="2" t="s">
        <v>22</v>
      </c>
      <c r="D29" s="358" t="s">
        <v>74</v>
      </c>
      <c r="E29" s="358" t="s">
        <v>75</v>
      </c>
      <c r="F29" s="370"/>
      <c r="G29" s="319">
        <v>43348</v>
      </c>
      <c r="H29" s="358" t="s">
        <v>1027</v>
      </c>
      <c r="I29" s="367" t="s">
        <v>1048</v>
      </c>
      <c r="J29" s="2">
        <v>517863</v>
      </c>
      <c r="K29" s="2">
        <v>171889</v>
      </c>
      <c r="L29" s="293"/>
      <c r="M29" s="364">
        <v>0</v>
      </c>
      <c r="N29" s="364">
        <v>0</v>
      </c>
      <c r="O29" s="364">
        <v>0</v>
      </c>
      <c r="P29" s="364">
        <v>0</v>
      </c>
      <c r="Q29" s="364"/>
      <c r="R29" s="364"/>
      <c r="S29" s="364"/>
      <c r="T29" s="366">
        <v>0</v>
      </c>
      <c r="U29" s="364"/>
      <c r="V29" s="364">
        <v>0</v>
      </c>
      <c r="W29" s="364">
        <v>0</v>
      </c>
      <c r="X29" s="364">
        <v>1</v>
      </c>
      <c r="Y29" s="364">
        <v>0</v>
      </c>
      <c r="Z29" s="364"/>
      <c r="AA29" s="293"/>
      <c r="AB29" s="293"/>
      <c r="AC29" s="366">
        <v>1</v>
      </c>
      <c r="AD29" s="293"/>
      <c r="AE29" s="293">
        <f t="shared" si="1"/>
        <v>0</v>
      </c>
      <c r="AF29" s="293">
        <f t="shared" si="2"/>
        <v>0</v>
      </c>
      <c r="AG29" s="293">
        <f t="shared" si="3"/>
        <v>1</v>
      </c>
      <c r="AH29" s="293">
        <f t="shared" si="4"/>
        <v>0</v>
      </c>
      <c r="AI29" s="293">
        <f t="shared" si="5"/>
        <v>0</v>
      </c>
      <c r="AJ29" s="293">
        <f t="shared" si="6"/>
        <v>0</v>
      </c>
      <c r="AK29" s="293">
        <f t="shared" si="7"/>
        <v>0</v>
      </c>
      <c r="AL29" s="348">
        <f t="shared" si="8"/>
        <v>1</v>
      </c>
      <c r="AM29" s="369"/>
      <c r="AN29" s="322">
        <v>1</v>
      </c>
      <c r="AO29" s="231">
        <v>0</v>
      </c>
      <c r="AP29" s="228">
        <v>0</v>
      </c>
      <c r="AQ29" s="231">
        <v>0</v>
      </c>
      <c r="AR29" s="231">
        <v>0</v>
      </c>
      <c r="AS29" s="231">
        <v>0</v>
      </c>
      <c r="AT29" s="231">
        <v>0</v>
      </c>
      <c r="AU29" s="323">
        <v>0</v>
      </c>
      <c r="AV29" s="231">
        <v>0</v>
      </c>
      <c r="AW29" s="231">
        <v>0</v>
      </c>
      <c r="AX29" s="231">
        <v>0</v>
      </c>
      <c r="AY29" s="231">
        <v>0</v>
      </c>
      <c r="AZ29" s="230">
        <v>0</v>
      </c>
      <c r="BA29" s="2" t="s">
        <v>1443</v>
      </c>
      <c r="BF29" s="232"/>
    </row>
    <row r="30" spans="1:58" s="2" customFormat="1" ht="15" customHeight="1" x14ac:dyDescent="0.25">
      <c r="A30" s="241" t="s">
        <v>1017</v>
      </c>
      <c r="B30" s="2" t="s">
        <v>5</v>
      </c>
      <c r="D30" s="241" t="s">
        <v>1018</v>
      </c>
      <c r="E30" s="241" t="s">
        <v>1019</v>
      </c>
      <c r="F30" s="371">
        <v>43188</v>
      </c>
      <c r="G30" s="318">
        <v>43554</v>
      </c>
      <c r="H30" s="358" t="s">
        <v>1027</v>
      </c>
      <c r="I30" s="367" t="s">
        <v>1048</v>
      </c>
      <c r="J30" s="2">
        <v>517868</v>
      </c>
      <c r="K30" s="2">
        <v>174750</v>
      </c>
      <c r="L30" s="293"/>
      <c r="M30" s="364">
        <v>0</v>
      </c>
      <c r="N30" s="364">
        <v>1</v>
      </c>
      <c r="O30" s="364">
        <v>0</v>
      </c>
      <c r="P30" s="364">
        <v>0</v>
      </c>
      <c r="Q30" s="364"/>
      <c r="R30" s="364"/>
      <c r="S30" s="364"/>
      <c r="T30" s="365">
        <v>1</v>
      </c>
      <c r="U30" s="364"/>
      <c r="V30" s="364">
        <v>2</v>
      </c>
      <c r="W30" s="364">
        <v>0</v>
      </c>
      <c r="X30" s="364">
        <v>0</v>
      </c>
      <c r="Y30" s="364">
        <v>0</v>
      </c>
      <c r="Z30" s="364"/>
      <c r="AA30" s="293"/>
      <c r="AB30" s="293"/>
      <c r="AC30" s="365">
        <v>2</v>
      </c>
      <c r="AD30" s="293"/>
      <c r="AE30" s="293">
        <f t="shared" si="1"/>
        <v>2</v>
      </c>
      <c r="AF30" s="293">
        <f t="shared" si="2"/>
        <v>-1</v>
      </c>
      <c r="AG30" s="293">
        <f t="shared" si="3"/>
        <v>0</v>
      </c>
      <c r="AH30" s="293">
        <f t="shared" si="4"/>
        <v>0</v>
      </c>
      <c r="AI30" s="293">
        <f t="shared" si="5"/>
        <v>0</v>
      </c>
      <c r="AJ30" s="293">
        <f t="shared" si="6"/>
        <v>0</v>
      </c>
      <c r="AK30" s="293">
        <f t="shared" si="7"/>
        <v>0</v>
      </c>
      <c r="AL30" s="348">
        <f t="shared" si="8"/>
        <v>1</v>
      </c>
      <c r="AM30" s="369"/>
      <c r="AN30" s="322">
        <v>1</v>
      </c>
      <c r="AO30" s="231">
        <v>0</v>
      </c>
      <c r="AP30" s="228">
        <v>0</v>
      </c>
      <c r="AQ30" s="231">
        <v>0</v>
      </c>
      <c r="AR30" s="231">
        <v>0</v>
      </c>
      <c r="AS30" s="231">
        <v>0</v>
      </c>
      <c r="AT30" s="231">
        <v>0</v>
      </c>
      <c r="AU30" s="242">
        <v>0</v>
      </c>
      <c r="AV30" s="231">
        <v>0</v>
      </c>
      <c r="AW30" s="231">
        <v>0</v>
      </c>
      <c r="AX30" s="231">
        <v>0</v>
      </c>
      <c r="AY30" s="231">
        <v>0</v>
      </c>
      <c r="AZ30" s="230">
        <v>0</v>
      </c>
      <c r="BA30" s="2" t="s">
        <v>1235</v>
      </c>
      <c r="BD30" s="2" t="s">
        <v>1213</v>
      </c>
      <c r="BF30" s="232"/>
    </row>
    <row r="31" spans="1:58" s="2" customFormat="1" ht="15" customHeight="1" x14ac:dyDescent="0.25">
      <c r="A31" s="2" t="s">
        <v>76</v>
      </c>
      <c r="B31" s="2" t="s">
        <v>26</v>
      </c>
      <c r="D31" s="358" t="s">
        <v>77</v>
      </c>
      <c r="E31" s="358" t="s">
        <v>1051</v>
      </c>
      <c r="F31" s="370"/>
      <c r="G31" s="319">
        <v>43312</v>
      </c>
      <c r="H31" s="358" t="s">
        <v>1027</v>
      </c>
      <c r="I31" s="367" t="s">
        <v>1048</v>
      </c>
      <c r="J31" s="2">
        <v>517679</v>
      </c>
      <c r="K31" s="2">
        <v>174711</v>
      </c>
      <c r="L31" s="293"/>
      <c r="M31" s="364">
        <v>0</v>
      </c>
      <c r="N31" s="364">
        <v>0</v>
      </c>
      <c r="O31" s="364">
        <v>0</v>
      </c>
      <c r="P31" s="364">
        <v>0</v>
      </c>
      <c r="Q31" s="364"/>
      <c r="R31" s="364"/>
      <c r="S31" s="364"/>
      <c r="T31" s="366">
        <v>0</v>
      </c>
      <c r="U31" s="364"/>
      <c r="V31" s="364">
        <v>1</v>
      </c>
      <c r="W31" s="364">
        <v>0</v>
      </c>
      <c r="X31" s="364">
        <v>0</v>
      </c>
      <c r="Y31" s="364">
        <v>0</v>
      </c>
      <c r="Z31" s="364"/>
      <c r="AA31" s="293"/>
      <c r="AB31" s="293"/>
      <c r="AC31" s="366">
        <v>1</v>
      </c>
      <c r="AD31" s="293"/>
      <c r="AE31" s="293">
        <f t="shared" si="1"/>
        <v>1</v>
      </c>
      <c r="AF31" s="293">
        <f t="shared" si="2"/>
        <v>0</v>
      </c>
      <c r="AG31" s="293">
        <f t="shared" si="3"/>
        <v>0</v>
      </c>
      <c r="AH31" s="293">
        <f t="shared" si="4"/>
        <v>0</v>
      </c>
      <c r="AI31" s="293">
        <f t="shared" si="5"/>
        <v>0</v>
      </c>
      <c r="AJ31" s="293">
        <f t="shared" si="6"/>
        <v>0</v>
      </c>
      <c r="AK31" s="293">
        <f t="shared" si="7"/>
        <v>0</v>
      </c>
      <c r="AL31" s="348">
        <f t="shared" si="8"/>
        <v>1</v>
      </c>
      <c r="AM31" s="369"/>
      <c r="AN31" s="322">
        <v>1</v>
      </c>
      <c r="AO31" s="231">
        <v>0</v>
      </c>
      <c r="AP31" s="228">
        <v>0</v>
      </c>
      <c r="AQ31" s="231">
        <v>0</v>
      </c>
      <c r="AR31" s="231">
        <v>0</v>
      </c>
      <c r="AS31" s="231">
        <v>0</v>
      </c>
      <c r="AT31" s="231">
        <v>0</v>
      </c>
      <c r="AU31" s="323">
        <v>0</v>
      </c>
      <c r="AV31" s="231">
        <v>0</v>
      </c>
      <c r="AW31" s="231">
        <v>0</v>
      </c>
      <c r="AX31" s="231">
        <v>0</v>
      </c>
      <c r="AY31" s="231">
        <v>0</v>
      </c>
      <c r="AZ31" s="230">
        <v>0</v>
      </c>
      <c r="BA31" s="2" t="s">
        <v>1235</v>
      </c>
      <c r="BD31" s="2" t="s">
        <v>1213</v>
      </c>
      <c r="BE31" s="2" t="s">
        <v>1214</v>
      </c>
      <c r="BF31" s="232"/>
    </row>
    <row r="32" spans="1:58" s="2" customFormat="1" ht="15" customHeight="1" x14ac:dyDescent="0.25">
      <c r="A32" s="2" t="s">
        <v>78</v>
      </c>
      <c r="B32" s="2" t="s">
        <v>26</v>
      </c>
      <c r="C32" s="2" t="s">
        <v>1037</v>
      </c>
      <c r="D32" s="358" t="s">
        <v>79</v>
      </c>
      <c r="E32" s="358" t="s">
        <v>80</v>
      </c>
      <c r="F32" s="319">
        <v>43010</v>
      </c>
      <c r="G32" s="319">
        <v>43245</v>
      </c>
      <c r="H32" s="358" t="s">
        <v>1027</v>
      </c>
      <c r="I32" s="367" t="s">
        <v>1048</v>
      </c>
      <c r="J32" s="2">
        <v>515085</v>
      </c>
      <c r="K32" s="2">
        <v>171148</v>
      </c>
      <c r="L32" s="293"/>
      <c r="M32" s="364">
        <v>0</v>
      </c>
      <c r="N32" s="364">
        <v>0</v>
      </c>
      <c r="O32" s="364">
        <v>0</v>
      </c>
      <c r="P32" s="364">
        <v>0</v>
      </c>
      <c r="Q32" s="364"/>
      <c r="R32" s="364"/>
      <c r="S32" s="364"/>
      <c r="T32" s="366">
        <v>0</v>
      </c>
      <c r="U32" s="364"/>
      <c r="V32" s="364">
        <v>17</v>
      </c>
      <c r="W32" s="364">
        <v>18</v>
      </c>
      <c r="X32" s="364">
        <v>0</v>
      </c>
      <c r="Y32" s="364">
        <v>0</v>
      </c>
      <c r="Z32" s="364"/>
      <c r="AA32" s="293"/>
      <c r="AB32" s="293"/>
      <c r="AC32" s="366">
        <v>35</v>
      </c>
      <c r="AD32" s="293"/>
      <c r="AE32" s="293">
        <f t="shared" si="1"/>
        <v>17</v>
      </c>
      <c r="AF32" s="293">
        <f t="shared" si="2"/>
        <v>18</v>
      </c>
      <c r="AG32" s="293">
        <f t="shared" si="3"/>
        <v>0</v>
      </c>
      <c r="AH32" s="293">
        <f t="shared" si="4"/>
        <v>0</v>
      </c>
      <c r="AI32" s="293">
        <f t="shared" si="5"/>
        <v>0</v>
      </c>
      <c r="AJ32" s="293">
        <f t="shared" si="6"/>
        <v>0</v>
      </c>
      <c r="AK32" s="293">
        <f t="shared" si="7"/>
        <v>0</v>
      </c>
      <c r="AL32" s="348">
        <f t="shared" si="8"/>
        <v>35</v>
      </c>
      <c r="AM32" s="231" t="s">
        <v>39</v>
      </c>
      <c r="AN32" s="322">
        <v>35</v>
      </c>
      <c r="AO32" s="231">
        <v>0</v>
      </c>
      <c r="AP32" s="228">
        <v>0</v>
      </c>
      <c r="AQ32" s="231">
        <v>0</v>
      </c>
      <c r="AR32" s="231">
        <v>0</v>
      </c>
      <c r="AS32" s="231">
        <v>0</v>
      </c>
      <c r="AT32" s="231">
        <v>0</v>
      </c>
      <c r="AU32" s="323">
        <v>0</v>
      </c>
      <c r="AV32" s="231">
        <v>0</v>
      </c>
      <c r="AW32" s="231">
        <v>0</v>
      </c>
      <c r="AX32" s="231">
        <v>0</v>
      </c>
      <c r="AY32" s="231">
        <v>0</v>
      </c>
      <c r="AZ32" s="230">
        <v>0</v>
      </c>
      <c r="BA32" s="2" t="s">
        <v>1265</v>
      </c>
      <c r="BF32" s="232"/>
    </row>
    <row r="33" spans="1:58" s="2" customFormat="1" ht="15" customHeight="1" x14ac:dyDescent="0.25">
      <c r="A33" s="241" t="s">
        <v>531</v>
      </c>
      <c r="B33" s="2" t="s">
        <v>26</v>
      </c>
      <c r="D33" s="241" t="s">
        <v>532</v>
      </c>
      <c r="E33" s="241" t="s">
        <v>533</v>
      </c>
      <c r="F33" s="371">
        <v>41974</v>
      </c>
      <c r="G33" s="318">
        <v>43192</v>
      </c>
      <c r="H33" s="358" t="s">
        <v>1027</v>
      </c>
      <c r="I33" s="367" t="s">
        <v>1048</v>
      </c>
      <c r="J33" s="2">
        <v>517973</v>
      </c>
      <c r="K33" s="2">
        <v>174455</v>
      </c>
      <c r="L33" s="293"/>
      <c r="M33" s="364">
        <v>0</v>
      </c>
      <c r="N33" s="364">
        <v>0</v>
      </c>
      <c r="O33" s="364">
        <v>0</v>
      </c>
      <c r="P33" s="364">
        <v>0</v>
      </c>
      <c r="Q33" s="364"/>
      <c r="R33" s="364"/>
      <c r="S33" s="364"/>
      <c r="T33" s="365">
        <v>0</v>
      </c>
      <c r="U33" s="364"/>
      <c r="V33" s="364">
        <v>0</v>
      </c>
      <c r="W33" s="364">
        <v>0</v>
      </c>
      <c r="X33" s="364">
        <v>0</v>
      </c>
      <c r="Y33" s="364">
        <v>1</v>
      </c>
      <c r="Z33" s="364"/>
      <c r="AA33" s="293"/>
      <c r="AB33" s="293"/>
      <c r="AC33" s="365">
        <v>1</v>
      </c>
      <c r="AD33" s="293"/>
      <c r="AE33" s="293">
        <f t="shared" si="1"/>
        <v>0</v>
      </c>
      <c r="AF33" s="293">
        <f t="shared" si="2"/>
        <v>0</v>
      </c>
      <c r="AG33" s="293">
        <f t="shared" si="3"/>
        <v>0</v>
      </c>
      <c r="AH33" s="293">
        <f t="shared" si="4"/>
        <v>1</v>
      </c>
      <c r="AI33" s="293">
        <f t="shared" si="5"/>
        <v>0</v>
      </c>
      <c r="AJ33" s="293">
        <f t="shared" si="6"/>
        <v>0</v>
      </c>
      <c r="AK33" s="293">
        <f t="shared" si="7"/>
        <v>0</v>
      </c>
      <c r="AL33" s="348">
        <f t="shared" si="8"/>
        <v>1</v>
      </c>
      <c r="AM33" s="369"/>
      <c r="AN33" s="322">
        <v>1</v>
      </c>
      <c r="AO33" s="231">
        <v>0</v>
      </c>
      <c r="AP33" s="228">
        <v>0</v>
      </c>
      <c r="AQ33" s="231">
        <v>0</v>
      </c>
      <c r="AR33" s="231">
        <v>0</v>
      </c>
      <c r="AS33" s="231">
        <v>0</v>
      </c>
      <c r="AT33" s="231">
        <v>0</v>
      </c>
      <c r="AU33" s="323">
        <v>0</v>
      </c>
      <c r="AV33" s="231">
        <v>0</v>
      </c>
      <c r="AW33" s="231">
        <v>0</v>
      </c>
      <c r="AX33" s="231">
        <v>0</v>
      </c>
      <c r="AY33" s="231">
        <v>0</v>
      </c>
      <c r="AZ33" s="230">
        <v>0</v>
      </c>
      <c r="BA33" s="2" t="s">
        <v>1443</v>
      </c>
      <c r="BD33" s="2" t="s">
        <v>1213</v>
      </c>
      <c r="BF33" s="232"/>
    </row>
    <row r="34" spans="1:58" s="2" customFormat="1" ht="15" customHeight="1" x14ac:dyDescent="0.25">
      <c r="A34" s="2" t="s">
        <v>81</v>
      </c>
      <c r="B34" s="2" t="s">
        <v>26</v>
      </c>
      <c r="D34" s="358" t="s">
        <v>82</v>
      </c>
      <c r="E34" s="358" t="s">
        <v>83</v>
      </c>
      <c r="F34" s="370"/>
      <c r="G34" s="319">
        <v>43424</v>
      </c>
      <c r="H34" s="358" t="s">
        <v>1027</v>
      </c>
      <c r="I34" s="367" t="s">
        <v>1048</v>
      </c>
      <c r="J34" s="2">
        <v>522786</v>
      </c>
      <c r="K34" s="2">
        <v>177761</v>
      </c>
      <c r="L34" s="293"/>
      <c r="M34" s="364">
        <v>0</v>
      </c>
      <c r="N34" s="364">
        <v>0</v>
      </c>
      <c r="O34" s="364">
        <v>0</v>
      </c>
      <c r="P34" s="364">
        <v>0</v>
      </c>
      <c r="Q34" s="364"/>
      <c r="R34" s="364"/>
      <c r="S34" s="364"/>
      <c r="T34" s="366">
        <v>0</v>
      </c>
      <c r="U34" s="364"/>
      <c r="V34" s="364">
        <v>1</v>
      </c>
      <c r="W34" s="364">
        <v>0</v>
      </c>
      <c r="X34" s="364">
        <v>0</v>
      </c>
      <c r="Y34" s="364">
        <v>0</v>
      </c>
      <c r="Z34" s="364"/>
      <c r="AA34" s="293"/>
      <c r="AB34" s="293"/>
      <c r="AC34" s="366">
        <v>1</v>
      </c>
      <c r="AD34" s="293"/>
      <c r="AE34" s="293">
        <f t="shared" si="1"/>
        <v>1</v>
      </c>
      <c r="AF34" s="293">
        <f t="shared" si="2"/>
        <v>0</v>
      </c>
      <c r="AG34" s="293">
        <f t="shared" si="3"/>
        <v>0</v>
      </c>
      <c r="AH34" s="293">
        <f t="shared" si="4"/>
        <v>0</v>
      </c>
      <c r="AI34" s="293">
        <f t="shared" si="5"/>
        <v>0</v>
      </c>
      <c r="AJ34" s="293">
        <f t="shared" si="6"/>
        <v>0</v>
      </c>
      <c r="AK34" s="293">
        <f t="shared" si="7"/>
        <v>0</v>
      </c>
      <c r="AL34" s="348">
        <f t="shared" si="8"/>
        <v>1</v>
      </c>
      <c r="AM34" s="369"/>
      <c r="AN34" s="322">
        <v>1</v>
      </c>
      <c r="AO34" s="231">
        <v>0</v>
      </c>
      <c r="AP34" s="228">
        <v>0</v>
      </c>
      <c r="AQ34" s="231">
        <v>0</v>
      </c>
      <c r="AR34" s="231">
        <v>0</v>
      </c>
      <c r="AS34" s="231">
        <v>0</v>
      </c>
      <c r="AT34" s="231">
        <v>0</v>
      </c>
      <c r="AU34" s="323">
        <v>0</v>
      </c>
      <c r="AV34" s="231">
        <v>0</v>
      </c>
      <c r="AW34" s="231">
        <v>0</v>
      </c>
      <c r="AX34" s="231">
        <v>0</v>
      </c>
      <c r="AY34" s="231">
        <v>0</v>
      </c>
      <c r="AZ34" s="230">
        <v>0</v>
      </c>
      <c r="BA34" s="2" t="s">
        <v>1225</v>
      </c>
      <c r="BC34" s="2" t="s">
        <v>1444</v>
      </c>
      <c r="BF34" s="232"/>
    </row>
    <row r="35" spans="1:58" s="2" customFormat="1" ht="15" customHeight="1" x14ac:dyDescent="0.25">
      <c r="A35" s="241" t="s">
        <v>378</v>
      </c>
      <c r="B35" s="2" t="s">
        <v>9</v>
      </c>
      <c r="D35" s="241" t="s">
        <v>379</v>
      </c>
      <c r="E35" s="241" t="s">
        <v>380</v>
      </c>
      <c r="F35" s="371">
        <v>43160</v>
      </c>
      <c r="G35" s="318">
        <v>43434</v>
      </c>
      <c r="H35" s="358" t="s">
        <v>1027</v>
      </c>
      <c r="I35" s="367" t="s">
        <v>1048</v>
      </c>
      <c r="J35" s="2">
        <v>520254</v>
      </c>
      <c r="K35" s="2">
        <v>175724</v>
      </c>
      <c r="L35" s="293"/>
      <c r="M35" s="364">
        <v>0</v>
      </c>
      <c r="N35" s="364">
        <v>0</v>
      </c>
      <c r="O35" s="364">
        <v>0</v>
      </c>
      <c r="P35" s="364">
        <v>0</v>
      </c>
      <c r="Q35" s="364"/>
      <c r="R35" s="364"/>
      <c r="S35" s="364"/>
      <c r="T35" s="365">
        <v>0</v>
      </c>
      <c r="U35" s="364"/>
      <c r="V35" s="364">
        <v>0</v>
      </c>
      <c r="W35" s="364">
        <v>1</v>
      </c>
      <c r="X35" s="364">
        <v>0</v>
      </c>
      <c r="Y35" s="364">
        <v>0</v>
      </c>
      <c r="Z35" s="364"/>
      <c r="AA35" s="293"/>
      <c r="AB35" s="293"/>
      <c r="AC35" s="365">
        <v>1</v>
      </c>
      <c r="AD35" s="293"/>
      <c r="AE35" s="293">
        <f t="shared" ref="AE35:AE66" si="9">V35-M35</f>
        <v>0</v>
      </c>
      <c r="AF35" s="293">
        <f t="shared" ref="AF35:AF66" si="10">W35-N35</f>
        <v>1</v>
      </c>
      <c r="AG35" s="293">
        <f t="shared" ref="AG35:AG66" si="11">X35-O35</f>
        <v>0</v>
      </c>
      <c r="AH35" s="293">
        <f t="shared" ref="AH35:AH66" si="12">Y35-P35</f>
        <v>0</v>
      </c>
      <c r="AI35" s="293">
        <f t="shared" ref="AI35:AI66" si="13">Z35-Q35</f>
        <v>0</v>
      </c>
      <c r="AJ35" s="293">
        <f t="shared" ref="AJ35:AJ66" si="14">AA35-R35</f>
        <v>0</v>
      </c>
      <c r="AK35" s="293">
        <f t="shared" ref="AK35:AK66" si="15">AB35-S35</f>
        <v>0</v>
      </c>
      <c r="AL35" s="348">
        <f t="shared" ref="AL35:AL66" si="16">AC35-T35</f>
        <v>1</v>
      </c>
      <c r="AM35" s="369"/>
      <c r="AN35" s="322">
        <v>1</v>
      </c>
      <c r="AO35" s="231">
        <v>0</v>
      </c>
      <c r="AP35" s="228">
        <v>0</v>
      </c>
      <c r="AQ35" s="231">
        <v>0</v>
      </c>
      <c r="AR35" s="231">
        <v>0</v>
      </c>
      <c r="AS35" s="231">
        <v>0</v>
      </c>
      <c r="AT35" s="231">
        <v>0</v>
      </c>
      <c r="AU35" s="323">
        <v>0</v>
      </c>
      <c r="AV35" s="231">
        <v>0</v>
      </c>
      <c r="AW35" s="231">
        <v>0</v>
      </c>
      <c r="AX35" s="231">
        <v>0</v>
      </c>
      <c r="AY35" s="231">
        <v>0</v>
      </c>
      <c r="AZ35" s="230">
        <v>0</v>
      </c>
      <c r="BA35" s="2" t="s">
        <v>1212</v>
      </c>
      <c r="BF35" s="232"/>
    </row>
    <row r="36" spans="1:58" s="2" customFormat="1" ht="15" customHeight="1" x14ac:dyDescent="0.25">
      <c r="A36" s="2" t="s">
        <v>84</v>
      </c>
      <c r="B36" s="2" t="s">
        <v>26</v>
      </c>
      <c r="C36" s="2" t="s">
        <v>1037</v>
      </c>
      <c r="D36" s="358" t="s">
        <v>85</v>
      </c>
      <c r="E36" s="358" t="s">
        <v>86</v>
      </c>
      <c r="F36" s="319">
        <v>43204</v>
      </c>
      <c r="G36" s="319">
        <v>43367</v>
      </c>
      <c r="H36" s="358" t="s">
        <v>1027</v>
      </c>
      <c r="I36" s="367" t="s">
        <v>1048</v>
      </c>
      <c r="J36" s="2">
        <v>517622</v>
      </c>
      <c r="K36" s="2">
        <v>169605</v>
      </c>
      <c r="L36" s="293"/>
      <c r="M36" s="364">
        <v>0</v>
      </c>
      <c r="N36" s="364">
        <v>0</v>
      </c>
      <c r="O36" s="364">
        <v>0</v>
      </c>
      <c r="P36" s="364">
        <v>0</v>
      </c>
      <c r="Q36" s="364"/>
      <c r="R36" s="364"/>
      <c r="S36" s="364"/>
      <c r="T36" s="366">
        <v>0</v>
      </c>
      <c r="U36" s="364"/>
      <c r="V36" s="364">
        <v>3</v>
      </c>
      <c r="W36" s="364">
        <v>0</v>
      </c>
      <c r="X36" s="364">
        <v>0</v>
      </c>
      <c r="Y36" s="364">
        <v>0</v>
      </c>
      <c r="Z36" s="364"/>
      <c r="AA36" s="293"/>
      <c r="AB36" s="293"/>
      <c r="AC36" s="366">
        <v>3</v>
      </c>
      <c r="AD36" s="293"/>
      <c r="AE36" s="293">
        <f t="shared" si="9"/>
        <v>3</v>
      </c>
      <c r="AF36" s="293">
        <f t="shared" si="10"/>
        <v>0</v>
      </c>
      <c r="AG36" s="293">
        <f t="shared" si="11"/>
        <v>0</v>
      </c>
      <c r="AH36" s="293">
        <f t="shared" si="12"/>
        <v>0</v>
      </c>
      <c r="AI36" s="293">
        <f t="shared" si="13"/>
        <v>0</v>
      </c>
      <c r="AJ36" s="293">
        <f t="shared" si="14"/>
        <v>0</v>
      </c>
      <c r="AK36" s="293">
        <f t="shared" si="15"/>
        <v>0</v>
      </c>
      <c r="AL36" s="348">
        <f t="shared" si="16"/>
        <v>3</v>
      </c>
      <c r="AM36" s="369"/>
      <c r="AN36" s="322">
        <v>3</v>
      </c>
      <c r="AO36" s="231">
        <v>0</v>
      </c>
      <c r="AP36" s="228">
        <v>0</v>
      </c>
      <c r="AQ36" s="231">
        <v>0</v>
      </c>
      <c r="AR36" s="231">
        <v>0</v>
      </c>
      <c r="AS36" s="231">
        <v>0</v>
      </c>
      <c r="AT36" s="231">
        <v>0</v>
      </c>
      <c r="AU36" s="323">
        <v>0</v>
      </c>
      <c r="AV36" s="231">
        <v>0</v>
      </c>
      <c r="AW36" s="231">
        <v>0</v>
      </c>
      <c r="AX36" s="231">
        <v>0</v>
      </c>
      <c r="AY36" s="231">
        <v>0</v>
      </c>
      <c r="AZ36" s="230">
        <v>0</v>
      </c>
      <c r="BA36" s="2" t="s">
        <v>1230</v>
      </c>
      <c r="BC36" s="2" t="s">
        <v>1230</v>
      </c>
      <c r="BE36" s="2" t="s">
        <v>1214</v>
      </c>
      <c r="BF36" s="232"/>
    </row>
    <row r="37" spans="1:58" s="2" customFormat="1" ht="15" customHeight="1" x14ac:dyDescent="0.25">
      <c r="A37" s="2" t="s">
        <v>87</v>
      </c>
      <c r="B37" s="2" t="s">
        <v>5</v>
      </c>
      <c r="D37" s="358" t="s">
        <v>88</v>
      </c>
      <c r="E37" s="358" t="s">
        <v>89</v>
      </c>
      <c r="F37" s="319">
        <v>42418</v>
      </c>
      <c r="G37" s="319">
        <v>43441</v>
      </c>
      <c r="H37" s="358" t="s">
        <v>1027</v>
      </c>
      <c r="I37" s="367" t="s">
        <v>1048</v>
      </c>
      <c r="J37" s="2">
        <v>522332</v>
      </c>
      <c r="K37" s="2">
        <v>176284</v>
      </c>
      <c r="L37" s="293"/>
      <c r="M37" s="364">
        <v>1</v>
      </c>
      <c r="N37" s="364">
        <v>0</v>
      </c>
      <c r="O37" s="364">
        <v>1</v>
      </c>
      <c r="P37" s="364">
        <v>0</v>
      </c>
      <c r="Q37" s="364"/>
      <c r="R37" s="364"/>
      <c r="S37" s="364"/>
      <c r="T37" s="366">
        <v>2</v>
      </c>
      <c r="U37" s="364"/>
      <c r="V37" s="364">
        <v>0</v>
      </c>
      <c r="W37" s="364">
        <v>0</v>
      </c>
      <c r="X37" s="364">
        <v>0</v>
      </c>
      <c r="Y37" s="364">
        <v>1</v>
      </c>
      <c r="Z37" s="364"/>
      <c r="AA37" s="293"/>
      <c r="AB37" s="293"/>
      <c r="AC37" s="366">
        <v>1</v>
      </c>
      <c r="AD37" s="293"/>
      <c r="AE37" s="293">
        <f t="shared" si="9"/>
        <v>-1</v>
      </c>
      <c r="AF37" s="293">
        <f t="shared" si="10"/>
        <v>0</v>
      </c>
      <c r="AG37" s="293">
        <f t="shared" si="11"/>
        <v>-1</v>
      </c>
      <c r="AH37" s="293">
        <f t="shared" si="12"/>
        <v>1</v>
      </c>
      <c r="AI37" s="293">
        <f t="shared" si="13"/>
        <v>0</v>
      </c>
      <c r="AJ37" s="293">
        <f t="shared" si="14"/>
        <v>0</v>
      </c>
      <c r="AK37" s="293">
        <f t="shared" si="15"/>
        <v>0</v>
      </c>
      <c r="AL37" s="348">
        <f t="shared" si="16"/>
        <v>-1</v>
      </c>
      <c r="AM37" s="369"/>
      <c r="AN37" s="322">
        <v>-1</v>
      </c>
      <c r="AO37" s="231">
        <v>0</v>
      </c>
      <c r="AP37" s="228">
        <v>0</v>
      </c>
      <c r="AQ37" s="231">
        <v>0</v>
      </c>
      <c r="AR37" s="231">
        <v>0</v>
      </c>
      <c r="AS37" s="231">
        <v>0</v>
      </c>
      <c r="AT37" s="231">
        <v>0</v>
      </c>
      <c r="AU37" s="323">
        <v>0</v>
      </c>
      <c r="AV37" s="231">
        <v>0</v>
      </c>
      <c r="AW37" s="231">
        <v>0</v>
      </c>
      <c r="AX37" s="231">
        <v>0</v>
      </c>
      <c r="AY37" s="231">
        <v>0</v>
      </c>
      <c r="AZ37" s="230">
        <v>0</v>
      </c>
      <c r="BA37" s="2" t="s">
        <v>1225</v>
      </c>
      <c r="BF37" s="232"/>
    </row>
    <row r="38" spans="1:58" s="2" customFormat="1" ht="15" customHeight="1" x14ac:dyDescent="0.25">
      <c r="A38" s="2" t="s">
        <v>90</v>
      </c>
      <c r="B38" s="2" t="s">
        <v>9</v>
      </c>
      <c r="D38" s="358" t="s">
        <v>91</v>
      </c>
      <c r="E38" s="358" t="s">
        <v>92</v>
      </c>
      <c r="F38" s="370"/>
      <c r="G38" s="319">
        <v>43343</v>
      </c>
      <c r="H38" s="358" t="s">
        <v>1027</v>
      </c>
      <c r="I38" s="367" t="s">
        <v>1048</v>
      </c>
      <c r="J38" s="2">
        <v>516231</v>
      </c>
      <c r="K38" s="2">
        <v>171721</v>
      </c>
      <c r="L38" s="293"/>
      <c r="M38" s="364">
        <v>0</v>
      </c>
      <c r="N38" s="364">
        <v>0</v>
      </c>
      <c r="O38" s="364">
        <v>0</v>
      </c>
      <c r="P38" s="364">
        <v>0</v>
      </c>
      <c r="Q38" s="364"/>
      <c r="R38" s="364"/>
      <c r="S38" s="364"/>
      <c r="T38" s="366">
        <v>0</v>
      </c>
      <c r="U38" s="364"/>
      <c r="V38" s="364">
        <v>1</v>
      </c>
      <c r="W38" s="364">
        <v>0</v>
      </c>
      <c r="X38" s="364">
        <v>0</v>
      </c>
      <c r="Y38" s="364">
        <v>0</v>
      </c>
      <c r="Z38" s="364"/>
      <c r="AA38" s="293"/>
      <c r="AB38" s="293"/>
      <c r="AC38" s="366">
        <v>1</v>
      </c>
      <c r="AD38" s="293"/>
      <c r="AE38" s="293">
        <f t="shared" si="9"/>
        <v>1</v>
      </c>
      <c r="AF38" s="293">
        <f t="shared" si="10"/>
        <v>0</v>
      </c>
      <c r="AG38" s="293">
        <f t="shared" si="11"/>
        <v>0</v>
      </c>
      <c r="AH38" s="293">
        <f t="shared" si="12"/>
        <v>0</v>
      </c>
      <c r="AI38" s="293">
        <f t="shared" si="13"/>
        <v>0</v>
      </c>
      <c r="AJ38" s="293">
        <f t="shared" si="14"/>
        <v>0</v>
      </c>
      <c r="AK38" s="293">
        <f t="shared" si="15"/>
        <v>0</v>
      </c>
      <c r="AL38" s="348">
        <f t="shared" si="16"/>
        <v>1</v>
      </c>
      <c r="AM38" s="369"/>
      <c r="AN38" s="322">
        <v>1</v>
      </c>
      <c r="AO38" s="231">
        <v>0</v>
      </c>
      <c r="AP38" s="228">
        <v>0</v>
      </c>
      <c r="AQ38" s="231">
        <v>0</v>
      </c>
      <c r="AR38" s="231">
        <v>0</v>
      </c>
      <c r="AS38" s="231">
        <v>0</v>
      </c>
      <c r="AT38" s="231">
        <v>0</v>
      </c>
      <c r="AU38" s="323">
        <v>0</v>
      </c>
      <c r="AV38" s="231">
        <v>0</v>
      </c>
      <c r="AW38" s="231">
        <v>0</v>
      </c>
      <c r="AX38" s="231">
        <v>0</v>
      </c>
      <c r="AY38" s="231">
        <v>0</v>
      </c>
      <c r="AZ38" s="230">
        <v>0</v>
      </c>
      <c r="BA38" s="2" t="s">
        <v>1215</v>
      </c>
      <c r="BF38" s="232" t="s">
        <v>39</v>
      </c>
    </row>
    <row r="39" spans="1:58" s="2" customFormat="1" ht="15" customHeight="1" x14ac:dyDescent="0.25">
      <c r="A39" s="2" t="s">
        <v>93</v>
      </c>
      <c r="B39" s="2" t="s">
        <v>9</v>
      </c>
      <c r="D39" s="358" t="s">
        <v>94</v>
      </c>
      <c r="E39" s="358" t="s">
        <v>95</v>
      </c>
      <c r="F39" s="319">
        <v>42781</v>
      </c>
      <c r="G39" s="319">
        <v>43215</v>
      </c>
      <c r="H39" s="358" t="s">
        <v>1027</v>
      </c>
      <c r="I39" s="367" t="s">
        <v>1048</v>
      </c>
      <c r="J39" s="2">
        <v>513852</v>
      </c>
      <c r="K39" s="2">
        <v>174314</v>
      </c>
      <c r="L39" s="293"/>
      <c r="M39" s="364">
        <v>0</v>
      </c>
      <c r="N39" s="364">
        <v>0</v>
      </c>
      <c r="O39" s="364">
        <v>0</v>
      </c>
      <c r="P39" s="364">
        <v>1</v>
      </c>
      <c r="Q39" s="364"/>
      <c r="R39" s="364"/>
      <c r="S39" s="364"/>
      <c r="T39" s="366">
        <v>1</v>
      </c>
      <c r="U39" s="364"/>
      <c r="V39" s="364">
        <v>0</v>
      </c>
      <c r="W39" s="364">
        <v>0</v>
      </c>
      <c r="X39" s="364">
        <v>0</v>
      </c>
      <c r="Y39" s="364">
        <v>3</v>
      </c>
      <c r="Z39" s="364"/>
      <c r="AA39" s="293"/>
      <c r="AB39" s="293"/>
      <c r="AC39" s="366">
        <v>3</v>
      </c>
      <c r="AD39" s="293"/>
      <c r="AE39" s="293">
        <f t="shared" si="9"/>
        <v>0</v>
      </c>
      <c r="AF39" s="293">
        <f t="shared" si="10"/>
        <v>0</v>
      </c>
      <c r="AG39" s="293">
        <f t="shared" si="11"/>
        <v>0</v>
      </c>
      <c r="AH39" s="293">
        <f t="shared" si="12"/>
        <v>2</v>
      </c>
      <c r="AI39" s="293">
        <f t="shared" si="13"/>
        <v>0</v>
      </c>
      <c r="AJ39" s="293">
        <f t="shared" si="14"/>
        <v>0</v>
      </c>
      <c r="AK39" s="293">
        <f t="shared" si="15"/>
        <v>0</v>
      </c>
      <c r="AL39" s="348">
        <f t="shared" si="16"/>
        <v>2</v>
      </c>
      <c r="AM39" s="369"/>
      <c r="AN39" s="322">
        <v>2</v>
      </c>
      <c r="AO39" s="231">
        <v>0</v>
      </c>
      <c r="AP39" s="228">
        <v>0</v>
      </c>
      <c r="AQ39" s="231">
        <v>0</v>
      </c>
      <c r="AR39" s="231">
        <v>0</v>
      </c>
      <c r="AS39" s="231">
        <v>0</v>
      </c>
      <c r="AT39" s="231">
        <v>0</v>
      </c>
      <c r="AU39" s="323">
        <v>0</v>
      </c>
      <c r="AV39" s="231">
        <v>0</v>
      </c>
      <c r="AW39" s="231">
        <v>0</v>
      </c>
      <c r="AX39" s="231">
        <v>0</v>
      </c>
      <c r="AY39" s="231">
        <v>0</v>
      </c>
      <c r="AZ39" s="230">
        <v>0</v>
      </c>
      <c r="BA39" s="2" t="s">
        <v>1219</v>
      </c>
      <c r="BF39" s="232" t="s">
        <v>39</v>
      </c>
    </row>
    <row r="40" spans="1:58" s="2" customFormat="1" ht="15" customHeight="1" x14ac:dyDescent="0.25">
      <c r="A40" s="241" t="s">
        <v>296</v>
      </c>
      <c r="B40" s="2" t="s">
        <v>5</v>
      </c>
      <c r="D40" s="241" t="s">
        <v>297</v>
      </c>
      <c r="E40" s="241" t="s">
        <v>298</v>
      </c>
      <c r="F40" s="371">
        <v>43160</v>
      </c>
      <c r="G40" s="318">
        <v>43435</v>
      </c>
      <c r="H40" s="358" t="s">
        <v>1027</v>
      </c>
      <c r="I40" s="367" t="s">
        <v>1048</v>
      </c>
      <c r="J40" s="2">
        <v>522318</v>
      </c>
      <c r="K40" s="2">
        <v>176582</v>
      </c>
      <c r="L40" s="293"/>
      <c r="M40" s="364">
        <v>0</v>
      </c>
      <c r="N40" s="364">
        <v>0</v>
      </c>
      <c r="O40" s="364">
        <v>1</v>
      </c>
      <c r="P40" s="364">
        <v>0</v>
      </c>
      <c r="Q40" s="364"/>
      <c r="R40" s="364"/>
      <c r="S40" s="364"/>
      <c r="T40" s="365">
        <v>1</v>
      </c>
      <c r="U40" s="364"/>
      <c r="V40" s="364">
        <v>0</v>
      </c>
      <c r="W40" s="364">
        <v>2</v>
      </c>
      <c r="X40" s="364">
        <v>0</v>
      </c>
      <c r="Y40" s="364">
        <v>0</v>
      </c>
      <c r="Z40" s="364"/>
      <c r="AA40" s="293"/>
      <c r="AB40" s="293"/>
      <c r="AC40" s="365">
        <v>2</v>
      </c>
      <c r="AD40" s="293"/>
      <c r="AE40" s="293">
        <f t="shared" si="9"/>
        <v>0</v>
      </c>
      <c r="AF40" s="293">
        <f t="shared" si="10"/>
        <v>2</v>
      </c>
      <c r="AG40" s="293">
        <f t="shared" si="11"/>
        <v>-1</v>
      </c>
      <c r="AH40" s="293">
        <f t="shared" si="12"/>
        <v>0</v>
      </c>
      <c r="AI40" s="293">
        <f t="shared" si="13"/>
        <v>0</v>
      </c>
      <c r="AJ40" s="293">
        <f t="shared" si="14"/>
        <v>0</v>
      </c>
      <c r="AK40" s="293">
        <f t="shared" si="15"/>
        <v>0</v>
      </c>
      <c r="AL40" s="348">
        <f t="shared" si="16"/>
        <v>1</v>
      </c>
      <c r="AM40" s="369"/>
      <c r="AN40" s="322">
        <v>1</v>
      </c>
      <c r="AO40" s="231">
        <v>0</v>
      </c>
      <c r="AP40" s="228">
        <v>0</v>
      </c>
      <c r="AQ40" s="231">
        <v>0</v>
      </c>
      <c r="AR40" s="231">
        <v>0</v>
      </c>
      <c r="AS40" s="231">
        <v>0</v>
      </c>
      <c r="AT40" s="231">
        <v>0</v>
      </c>
      <c r="AU40" s="323">
        <v>0</v>
      </c>
      <c r="AV40" s="231">
        <v>0</v>
      </c>
      <c r="AW40" s="231">
        <v>0</v>
      </c>
      <c r="AX40" s="231">
        <v>0</v>
      </c>
      <c r="AY40" s="231">
        <v>0</v>
      </c>
      <c r="AZ40" s="230">
        <v>0</v>
      </c>
      <c r="BA40" s="2" t="s">
        <v>1225</v>
      </c>
      <c r="BC40" s="2" t="s">
        <v>1446</v>
      </c>
      <c r="BF40" s="232"/>
    </row>
    <row r="41" spans="1:58" s="2" customFormat="1" ht="15" customHeight="1" x14ac:dyDescent="0.25">
      <c r="A41" s="241" t="s">
        <v>435</v>
      </c>
      <c r="B41" s="2" t="s">
        <v>9</v>
      </c>
      <c r="D41" s="241" t="s">
        <v>436</v>
      </c>
      <c r="E41" s="241" t="s">
        <v>437</v>
      </c>
      <c r="F41" s="373">
        <v>42877</v>
      </c>
      <c r="G41" s="318">
        <v>43238</v>
      </c>
      <c r="H41" s="358" t="s">
        <v>1027</v>
      </c>
      <c r="I41" s="367" t="s">
        <v>1048</v>
      </c>
      <c r="J41" s="2">
        <v>518127</v>
      </c>
      <c r="K41" s="2">
        <v>171610</v>
      </c>
      <c r="L41" s="293"/>
      <c r="M41" s="364">
        <v>0</v>
      </c>
      <c r="N41" s="364">
        <v>0</v>
      </c>
      <c r="O41" s="364">
        <v>0</v>
      </c>
      <c r="P41" s="364">
        <v>1</v>
      </c>
      <c r="Q41" s="364"/>
      <c r="R41" s="364"/>
      <c r="S41" s="364"/>
      <c r="T41" s="365">
        <v>1</v>
      </c>
      <c r="U41" s="364"/>
      <c r="V41" s="364">
        <v>0</v>
      </c>
      <c r="W41" s="364">
        <v>0</v>
      </c>
      <c r="X41" s="364">
        <v>0</v>
      </c>
      <c r="Y41" s="364">
        <v>1</v>
      </c>
      <c r="Z41" s="364"/>
      <c r="AA41" s="293"/>
      <c r="AB41" s="293"/>
      <c r="AC41" s="365">
        <v>1</v>
      </c>
      <c r="AD41" s="293"/>
      <c r="AE41" s="293">
        <f t="shared" si="9"/>
        <v>0</v>
      </c>
      <c r="AF41" s="293">
        <f t="shared" si="10"/>
        <v>0</v>
      </c>
      <c r="AG41" s="293">
        <f t="shared" si="11"/>
        <v>0</v>
      </c>
      <c r="AH41" s="293">
        <f t="shared" si="12"/>
        <v>0</v>
      </c>
      <c r="AI41" s="293">
        <f t="shared" si="13"/>
        <v>0</v>
      </c>
      <c r="AJ41" s="293">
        <f t="shared" si="14"/>
        <v>0</v>
      </c>
      <c r="AK41" s="293">
        <f t="shared" si="15"/>
        <v>0</v>
      </c>
      <c r="AL41" s="348">
        <f t="shared" si="16"/>
        <v>0</v>
      </c>
      <c r="AM41" s="369"/>
      <c r="AN41" s="322">
        <v>0</v>
      </c>
      <c r="AO41" s="231">
        <v>0</v>
      </c>
      <c r="AP41" s="228">
        <v>0</v>
      </c>
      <c r="AQ41" s="231">
        <v>0</v>
      </c>
      <c r="AR41" s="231">
        <v>0</v>
      </c>
      <c r="AS41" s="231">
        <v>0</v>
      </c>
      <c r="AT41" s="231">
        <v>0</v>
      </c>
      <c r="AU41" s="323">
        <v>0</v>
      </c>
      <c r="AV41" s="231">
        <v>0</v>
      </c>
      <c r="AW41" s="231">
        <v>0</v>
      </c>
      <c r="AX41" s="231">
        <v>0</v>
      </c>
      <c r="AY41" s="231">
        <v>0</v>
      </c>
      <c r="AZ41" s="230">
        <v>0</v>
      </c>
      <c r="BA41" s="2" t="s">
        <v>1443</v>
      </c>
      <c r="BF41" s="232"/>
    </row>
    <row r="42" spans="1:58" s="2" customFormat="1" ht="15" customHeight="1" x14ac:dyDescent="0.25">
      <c r="A42" s="2" t="s">
        <v>98</v>
      </c>
      <c r="B42" s="2" t="s">
        <v>9</v>
      </c>
      <c r="D42" s="358" t="s">
        <v>99</v>
      </c>
      <c r="E42" s="358" t="s">
        <v>100</v>
      </c>
      <c r="F42" s="319">
        <v>42826</v>
      </c>
      <c r="G42" s="319">
        <v>43515</v>
      </c>
      <c r="H42" s="358" t="s">
        <v>1027</v>
      </c>
      <c r="I42" s="367" t="s">
        <v>1048</v>
      </c>
      <c r="J42" s="2">
        <v>521655</v>
      </c>
      <c r="K42" s="2">
        <v>176613</v>
      </c>
      <c r="L42" s="293"/>
      <c r="M42" s="364">
        <v>0</v>
      </c>
      <c r="N42" s="364">
        <v>0</v>
      </c>
      <c r="O42" s="364">
        <v>1</v>
      </c>
      <c r="P42" s="364">
        <v>0</v>
      </c>
      <c r="Q42" s="364"/>
      <c r="R42" s="364"/>
      <c r="S42" s="364"/>
      <c r="T42" s="366">
        <v>1</v>
      </c>
      <c r="U42" s="364"/>
      <c r="V42" s="364">
        <v>0</v>
      </c>
      <c r="W42" s="364">
        <v>3</v>
      </c>
      <c r="X42" s="364">
        <v>0</v>
      </c>
      <c r="Y42" s="364">
        <v>0</v>
      </c>
      <c r="Z42" s="364"/>
      <c r="AA42" s="293"/>
      <c r="AB42" s="293"/>
      <c r="AC42" s="366">
        <v>3</v>
      </c>
      <c r="AD42" s="293"/>
      <c r="AE42" s="293">
        <f t="shared" si="9"/>
        <v>0</v>
      </c>
      <c r="AF42" s="293">
        <f t="shared" si="10"/>
        <v>3</v>
      </c>
      <c r="AG42" s="293">
        <f t="shared" si="11"/>
        <v>-1</v>
      </c>
      <c r="AH42" s="293">
        <f t="shared" si="12"/>
        <v>0</v>
      </c>
      <c r="AI42" s="293">
        <f t="shared" si="13"/>
        <v>0</v>
      </c>
      <c r="AJ42" s="293">
        <f t="shared" si="14"/>
        <v>0</v>
      </c>
      <c r="AK42" s="293">
        <f t="shared" si="15"/>
        <v>0</v>
      </c>
      <c r="AL42" s="348">
        <f t="shared" si="16"/>
        <v>2</v>
      </c>
      <c r="AM42" s="369"/>
      <c r="AN42" s="322">
        <v>2</v>
      </c>
      <c r="AO42" s="231">
        <v>0</v>
      </c>
      <c r="AP42" s="228">
        <v>0</v>
      </c>
      <c r="AQ42" s="231">
        <v>0</v>
      </c>
      <c r="AR42" s="231">
        <v>0</v>
      </c>
      <c r="AS42" s="231">
        <v>0</v>
      </c>
      <c r="AT42" s="231">
        <v>0</v>
      </c>
      <c r="AU42" s="323">
        <v>0</v>
      </c>
      <c r="AV42" s="231">
        <v>0</v>
      </c>
      <c r="AW42" s="231">
        <v>0</v>
      </c>
      <c r="AX42" s="231">
        <v>0</v>
      </c>
      <c r="AY42" s="231">
        <v>0</v>
      </c>
      <c r="AZ42" s="230">
        <v>0</v>
      </c>
      <c r="BA42" s="2" t="s">
        <v>1225</v>
      </c>
      <c r="BE42" s="2" t="s">
        <v>1214</v>
      </c>
      <c r="BF42" s="232"/>
    </row>
    <row r="43" spans="1:58" s="2" customFormat="1" ht="15" customHeight="1" x14ac:dyDescent="0.25">
      <c r="A43" s="241" t="s">
        <v>987</v>
      </c>
      <c r="B43" s="2" t="s">
        <v>9</v>
      </c>
      <c r="D43" s="241" t="s">
        <v>988</v>
      </c>
      <c r="E43" s="241" t="s">
        <v>989</v>
      </c>
      <c r="F43" s="371">
        <v>42917</v>
      </c>
      <c r="G43" s="318">
        <v>43525</v>
      </c>
      <c r="H43" s="358" t="s">
        <v>1027</v>
      </c>
      <c r="I43" s="367" t="s">
        <v>1048</v>
      </c>
      <c r="J43" s="2">
        <v>516367</v>
      </c>
      <c r="K43" s="2">
        <v>173082</v>
      </c>
      <c r="L43" s="293"/>
      <c r="M43" s="364">
        <v>1</v>
      </c>
      <c r="N43" s="364">
        <v>0</v>
      </c>
      <c r="O43" s="364">
        <v>0</v>
      </c>
      <c r="P43" s="364">
        <v>0</v>
      </c>
      <c r="Q43" s="364"/>
      <c r="R43" s="364"/>
      <c r="S43" s="364"/>
      <c r="T43" s="365">
        <v>1</v>
      </c>
      <c r="U43" s="364"/>
      <c r="V43" s="364">
        <v>0</v>
      </c>
      <c r="W43" s="364">
        <v>0</v>
      </c>
      <c r="X43" s="364">
        <v>1</v>
      </c>
      <c r="Y43" s="364">
        <v>0</v>
      </c>
      <c r="Z43" s="364"/>
      <c r="AA43" s="293"/>
      <c r="AB43" s="293"/>
      <c r="AC43" s="365">
        <v>1</v>
      </c>
      <c r="AD43" s="293"/>
      <c r="AE43" s="293">
        <f t="shared" si="9"/>
        <v>-1</v>
      </c>
      <c r="AF43" s="293">
        <f t="shared" si="10"/>
        <v>0</v>
      </c>
      <c r="AG43" s="293">
        <f t="shared" si="11"/>
        <v>1</v>
      </c>
      <c r="AH43" s="293">
        <f t="shared" si="12"/>
        <v>0</v>
      </c>
      <c r="AI43" s="293">
        <f t="shared" si="13"/>
        <v>0</v>
      </c>
      <c r="AJ43" s="293">
        <f t="shared" si="14"/>
        <v>0</v>
      </c>
      <c r="AK43" s="293">
        <f t="shared" si="15"/>
        <v>0</v>
      </c>
      <c r="AL43" s="348">
        <f t="shared" si="16"/>
        <v>0</v>
      </c>
      <c r="AM43" s="369"/>
      <c r="AN43" s="322">
        <v>0</v>
      </c>
      <c r="AO43" s="231">
        <v>0</v>
      </c>
      <c r="AP43" s="228">
        <v>0</v>
      </c>
      <c r="AQ43" s="231">
        <v>0</v>
      </c>
      <c r="AR43" s="231">
        <v>0</v>
      </c>
      <c r="AS43" s="231">
        <v>0</v>
      </c>
      <c r="AT43" s="231">
        <v>0</v>
      </c>
      <c r="AU43" s="242">
        <v>0</v>
      </c>
      <c r="AV43" s="231">
        <v>0</v>
      </c>
      <c r="AW43" s="231">
        <v>0</v>
      </c>
      <c r="AX43" s="231">
        <v>0</v>
      </c>
      <c r="AY43" s="231">
        <v>0</v>
      </c>
      <c r="AZ43" s="230">
        <v>0</v>
      </c>
      <c r="BA43" s="2" t="s">
        <v>1238</v>
      </c>
      <c r="BE43" s="2" t="s">
        <v>1214</v>
      </c>
      <c r="BF43" s="232"/>
    </row>
    <row r="44" spans="1:58" s="2" customFormat="1" ht="15" customHeight="1" x14ac:dyDescent="0.25">
      <c r="A44" s="2" t="s">
        <v>101</v>
      </c>
      <c r="B44" s="2" t="s">
        <v>5</v>
      </c>
      <c r="D44" s="358" t="s">
        <v>102</v>
      </c>
      <c r="E44" s="358" t="s">
        <v>103</v>
      </c>
      <c r="F44" s="319">
        <v>42754</v>
      </c>
      <c r="G44" s="319">
        <v>43280</v>
      </c>
      <c r="H44" s="358" t="s">
        <v>1027</v>
      </c>
      <c r="I44" s="367" t="s">
        <v>1048</v>
      </c>
      <c r="J44" s="2">
        <v>517884</v>
      </c>
      <c r="K44" s="2">
        <v>174754</v>
      </c>
      <c r="L44" s="293"/>
      <c r="M44" s="364">
        <v>0</v>
      </c>
      <c r="N44" s="364">
        <v>0</v>
      </c>
      <c r="O44" s="364">
        <v>1</v>
      </c>
      <c r="P44" s="364">
        <v>0</v>
      </c>
      <c r="Q44" s="364"/>
      <c r="R44" s="364"/>
      <c r="S44" s="364"/>
      <c r="T44" s="366">
        <v>1</v>
      </c>
      <c r="U44" s="364"/>
      <c r="V44" s="364">
        <v>2</v>
      </c>
      <c r="W44" s="364">
        <v>0</v>
      </c>
      <c r="X44" s="364">
        <v>0</v>
      </c>
      <c r="Y44" s="364">
        <v>0</v>
      </c>
      <c r="Z44" s="364"/>
      <c r="AA44" s="293"/>
      <c r="AB44" s="293"/>
      <c r="AC44" s="366">
        <v>2</v>
      </c>
      <c r="AD44" s="293"/>
      <c r="AE44" s="293">
        <f t="shared" si="9"/>
        <v>2</v>
      </c>
      <c r="AF44" s="293">
        <f t="shared" si="10"/>
        <v>0</v>
      </c>
      <c r="AG44" s="293">
        <f t="shared" si="11"/>
        <v>-1</v>
      </c>
      <c r="AH44" s="293">
        <f t="shared" si="12"/>
        <v>0</v>
      </c>
      <c r="AI44" s="293">
        <f t="shared" si="13"/>
        <v>0</v>
      </c>
      <c r="AJ44" s="293">
        <f t="shared" si="14"/>
        <v>0</v>
      </c>
      <c r="AK44" s="293">
        <f t="shared" si="15"/>
        <v>0</v>
      </c>
      <c r="AL44" s="348">
        <f t="shared" si="16"/>
        <v>1</v>
      </c>
      <c r="AM44" s="369"/>
      <c r="AN44" s="322">
        <v>1</v>
      </c>
      <c r="AO44" s="231">
        <v>0</v>
      </c>
      <c r="AP44" s="228">
        <v>0</v>
      </c>
      <c r="AQ44" s="231">
        <v>0</v>
      </c>
      <c r="AR44" s="231">
        <v>0</v>
      </c>
      <c r="AS44" s="231">
        <v>0</v>
      </c>
      <c r="AT44" s="231">
        <v>0</v>
      </c>
      <c r="AU44" s="323">
        <v>0</v>
      </c>
      <c r="AV44" s="231">
        <v>0</v>
      </c>
      <c r="AW44" s="231">
        <v>0</v>
      </c>
      <c r="AX44" s="231">
        <v>0</v>
      </c>
      <c r="AY44" s="231">
        <v>0</v>
      </c>
      <c r="AZ44" s="230">
        <v>0</v>
      </c>
      <c r="BA44" s="2" t="s">
        <v>1235</v>
      </c>
      <c r="BD44" s="2" t="s">
        <v>1213</v>
      </c>
      <c r="BF44" s="232"/>
    </row>
    <row r="45" spans="1:58" s="2" customFormat="1" ht="15" customHeight="1" x14ac:dyDescent="0.25">
      <c r="A45" s="2" t="s">
        <v>104</v>
      </c>
      <c r="B45" s="2" t="s">
        <v>5</v>
      </c>
      <c r="D45" s="358" t="s">
        <v>105</v>
      </c>
      <c r="E45" s="358" t="s">
        <v>106</v>
      </c>
      <c r="F45" s="319">
        <v>42754</v>
      </c>
      <c r="G45" s="319">
        <v>43280</v>
      </c>
      <c r="H45" s="358" t="s">
        <v>1027</v>
      </c>
      <c r="I45" s="367" t="s">
        <v>1048</v>
      </c>
      <c r="J45" s="2">
        <v>517889</v>
      </c>
      <c r="K45" s="2">
        <v>174757</v>
      </c>
      <c r="L45" s="293"/>
      <c r="M45" s="364">
        <v>0</v>
      </c>
      <c r="N45" s="364">
        <v>0</v>
      </c>
      <c r="O45" s="364">
        <v>1</v>
      </c>
      <c r="P45" s="364">
        <v>0</v>
      </c>
      <c r="Q45" s="364"/>
      <c r="R45" s="364"/>
      <c r="S45" s="364"/>
      <c r="T45" s="366">
        <v>1</v>
      </c>
      <c r="U45" s="364"/>
      <c r="V45" s="364">
        <v>2</v>
      </c>
      <c r="W45" s="364">
        <v>0</v>
      </c>
      <c r="X45" s="364">
        <v>0</v>
      </c>
      <c r="Y45" s="364">
        <v>0</v>
      </c>
      <c r="Z45" s="364"/>
      <c r="AA45" s="293"/>
      <c r="AB45" s="293"/>
      <c r="AC45" s="366">
        <v>2</v>
      </c>
      <c r="AD45" s="293"/>
      <c r="AE45" s="293">
        <f t="shared" si="9"/>
        <v>2</v>
      </c>
      <c r="AF45" s="293">
        <f t="shared" si="10"/>
        <v>0</v>
      </c>
      <c r="AG45" s="293">
        <f t="shared" si="11"/>
        <v>-1</v>
      </c>
      <c r="AH45" s="293">
        <f t="shared" si="12"/>
        <v>0</v>
      </c>
      <c r="AI45" s="293">
        <f t="shared" si="13"/>
        <v>0</v>
      </c>
      <c r="AJ45" s="293">
        <f t="shared" si="14"/>
        <v>0</v>
      </c>
      <c r="AK45" s="293">
        <f t="shared" si="15"/>
        <v>0</v>
      </c>
      <c r="AL45" s="348">
        <f t="shared" si="16"/>
        <v>1</v>
      </c>
      <c r="AM45" s="369"/>
      <c r="AN45" s="322">
        <v>1</v>
      </c>
      <c r="AO45" s="231">
        <v>0</v>
      </c>
      <c r="AP45" s="228">
        <v>0</v>
      </c>
      <c r="AQ45" s="231">
        <v>0</v>
      </c>
      <c r="AR45" s="231">
        <v>0</v>
      </c>
      <c r="AS45" s="231">
        <v>0</v>
      </c>
      <c r="AT45" s="231">
        <v>0</v>
      </c>
      <c r="AU45" s="323">
        <v>0</v>
      </c>
      <c r="AV45" s="231">
        <v>0</v>
      </c>
      <c r="AW45" s="231">
        <v>0</v>
      </c>
      <c r="AX45" s="231">
        <v>0</v>
      </c>
      <c r="AY45" s="231">
        <v>0</v>
      </c>
      <c r="AZ45" s="230">
        <v>0</v>
      </c>
      <c r="BA45" s="2" t="s">
        <v>1235</v>
      </c>
      <c r="BD45" s="2" t="s">
        <v>1213</v>
      </c>
      <c r="BF45" s="232"/>
    </row>
    <row r="46" spans="1:58" s="2" customFormat="1" ht="15" customHeight="1" x14ac:dyDescent="0.25">
      <c r="A46" s="2" t="s">
        <v>107</v>
      </c>
      <c r="B46" s="2" t="s">
        <v>9</v>
      </c>
      <c r="D46" s="358" t="s">
        <v>108</v>
      </c>
      <c r="E46" s="358" t="s">
        <v>109</v>
      </c>
      <c r="F46" s="370"/>
      <c r="G46" s="319">
        <v>43343</v>
      </c>
      <c r="H46" s="358" t="s">
        <v>1027</v>
      </c>
      <c r="I46" s="367" t="s">
        <v>1048</v>
      </c>
      <c r="J46" s="2">
        <v>514973</v>
      </c>
      <c r="K46" s="2">
        <v>172813</v>
      </c>
      <c r="L46" s="293"/>
      <c r="M46" s="364">
        <v>1</v>
      </c>
      <c r="N46" s="364">
        <v>0</v>
      </c>
      <c r="O46" s="364">
        <v>0</v>
      </c>
      <c r="P46" s="364">
        <v>0</v>
      </c>
      <c r="Q46" s="364"/>
      <c r="R46" s="364"/>
      <c r="S46" s="364"/>
      <c r="T46" s="366">
        <v>1</v>
      </c>
      <c r="U46" s="364"/>
      <c r="V46" s="364">
        <v>1</v>
      </c>
      <c r="W46" s="364">
        <v>0</v>
      </c>
      <c r="X46" s="364">
        <v>0</v>
      </c>
      <c r="Y46" s="364">
        <v>0</v>
      </c>
      <c r="Z46" s="364"/>
      <c r="AA46" s="293"/>
      <c r="AB46" s="293"/>
      <c r="AC46" s="366">
        <v>1</v>
      </c>
      <c r="AD46" s="293"/>
      <c r="AE46" s="293">
        <f t="shared" si="9"/>
        <v>0</v>
      </c>
      <c r="AF46" s="293">
        <f t="shared" si="10"/>
        <v>0</v>
      </c>
      <c r="AG46" s="293">
        <f t="shared" si="11"/>
        <v>0</v>
      </c>
      <c r="AH46" s="293">
        <f t="shared" si="12"/>
        <v>0</v>
      </c>
      <c r="AI46" s="293">
        <f t="shared" si="13"/>
        <v>0</v>
      </c>
      <c r="AJ46" s="293">
        <f t="shared" si="14"/>
        <v>0</v>
      </c>
      <c r="AK46" s="293">
        <f t="shared" si="15"/>
        <v>0</v>
      </c>
      <c r="AL46" s="348">
        <f t="shared" si="16"/>
        <v>0</v>
      </c>
      <c r="AM46" s="369"/>
      <c r="AN46" s="322">
        <v>0</v>
      </c>
      <c r="AO46" s="231">
        <v>0</v>
      </c>
      <c r="AP46" s="228">
        <v>0</v>
      </c>
      <c r="AQ46" s="231">
        <v>0</v>
      </c>
      <c r="AR46" s="231">
        <v>0</v>
      </c>
      <c r="AS46" s="231">
        <v>0</v>
      </c>
      <c r="AT46" s="231">
        <v>0</v>
      </c>
      <c r="AU46" s="323">
        <v>0</v>
      </c>
      <c r="AV46" s="231">
        <v>0</v>
      </c>
      <c r="AW46" s="231">
        <v>0</v>
      </c>
      <c r="AX46" s="231">
        <v>0</v>
      </c>
      <c r="AY46" s="231">
        <v>0</v>
      </c>
      <c r="AZ46" s="230">
        <v>0</v>
      </c>
      <c r="BA46" s="2" t="s">
        <v>1239</v>
      </c>
      <c r="BF46" s="232"/>
    </row>
    <row r="47" spans="1:58" s="2" customFormat="1" ht="15" customHeight="1" x14ac:dyDescent="0.25">
      <c r="A47" s="241" t="s">
        <v>731</v>
      </c>
      <c r="B47" s="2" t="s">
        <v>5</v>
      </c>
      <c r="D47" s="241" t="s">
        <v>732</v>
      </c>
      <c r="E47" s="241" t="s">
        <v>733</v>
      </c>
      <c r="F47" s="359"/>
      <c r="G47" s="318">
        <v>43435</v>
      </c>
      <c r="H47" s="358" t="s">
        <v>1027</v>
      </c>
      <c r="I47" s="367" t="s">
        <v>1048</v>
      </c>
      <c r="J47" s="2">
        <v>514372</v>
      </c>
      <c r="K47" s="2">
        <v>170959</v>
      </c>
      <c r="L47" s="293"/>
      <c r="M47" s="364">
        <v>0</v>
      </c>
      <c r="N47" s="364">
        <v>0</v>
      </c>
      <c r="O47" s="364">
        <v>0</v>
      </c>
      <c r="P47" s="364">
        <v>1</v>
      </c>
      <c r="Q47" s="364"/>
      <c r="R47" s="364"/>
      <c r="S47" s="364"/>
      <c r="T47" s="365">
        <v>1</v>
      </c>
      <c r="U47" s="364"/>
      <c r="V47" s="364">
        <v>0</v>
      </c>
      <c r="W47" s="364">
        <v>2</v>
      </c>
      <c r="X47" s="364">
        <v>0</v>
      </c>
      <c r="Y47" s="364">
        <v>0</v>
      </c>
      <c r="Z47" s="364"/>
      <c r="AA47" s="293"/>
      <c r="AB47" s="293"/>
      <c r="AC47" s="365">
        <v>2</v>
      </c>
      <c r="AD47" s="293"/>
      <c r="AE47" s="293">
        <f t="shared" si="9"/>
        <v>0</v>
      </c>
      <c r="AF47" s="293">
        <f t="shared" si="10"/>
        <v>2</v>
      </c>
      <c r="AG47" s="293">
        <f t="shared" si="11"/>
        <v>0</v>
      </c>
      <c r="AH47" s="293">
        <f t="shared" si="12"/>
        <v>-1</v>
      </c>
      <c r="AI47" s="293">
        <f t="shared" si="13"/>
        <v>0</v>
      </c>
      <c r="AJ47" s="293">
        <f t="shared" si="14"/>
        <v>0</v>
      </c>
      <c r="AK47" s="293">
        <f t="shared" si="15"/>
        <v>0</v>
      </c>
      <c r="AL47" s="348">
        <f t="shared" si="16"/>
        <v>1</v>
      </c>
      <c r="AM47" s="369"/>
      <c r="AN47" s="322">
        <v>1</v>
      </c>
      <c r="AO47" s="231">
        <v>0</v>
      </c>
      <c r="AP47" s="228">
        <v>0</v>
      </c>
      <c r="AQ47" s="231">
        <v>0</v>
      </c>
      <c r="AR47" s="231">
        <v>0</v>
      </c>
      <c r="AS47" s="231">
        <v>0</v>
      </c>
      <c r="AT47" s="231">
        <v>0</v>
      </c>
      <c r="AU47" s="323">
        <v>0</v>
      </c>
      <c r="AV47" s="231">
        <v>0</v>
      </c>
      <c r="AW47" s="231">
        <v>0</v>
      </c>
      <c r="AX47" s="231">
        <v>0</v>
      </c>
      <c r="AY47" s="231">
        <v>0</v>
      </c>
      <c r="AZ47" s="230">
        <v>0</v>
      </c>
      <c r="BA47" s="2" t="s">
        <v>1265</v>
      </c>
      <c r="BC47" s="2" t="s">
        <v>1432</v>
      </c>
      <c r="BF47" s="232"/>
    </row>
    <row r="48" spans="1:58" s="2" customFormat="1" ht="15" customHeight="1" x14ac:dyDescent="0.25">
      <c r="A48" s="2" t="s">
        <v>110</v>
      </c>
      <c r="B48" s="2" t="s">
        <v>26</v>
      </c>
      <c r="D48" s="358" t="s">
        <v>111</v>
      </c>
      <c r="E48" s="358" t="s">
        <v>112</v>
      </c>
      <c r="F48" s="319">
        <v>42870</v>
      </c>
      <c r="G48" s="319">
        <v>43251</v>
      </c>
      <c r="H48" s="358" t="s">
        <v>1027</v>
      </c>
      <c r="I48" s="367" t="s">
        <v>1048</v>
      </c>
      <c r="J48" s="2">
        <v>521683</v>
      </c>
      <c r="K48" s="2">
        <v>175950</v>
      </c>
      <c r="L48" s="293"/>
      <c r="M48" s="364">
        <v>0</v>
      </c>
      <c r="N48" s="364">
        <v>0</v>
      </c>
      <c r="O48" s="364">
        <v>1</v>
      </c>
      <c r="P48" s="364">
        <v>0</v>
      </c>
      <c r="Q48" s="364"/>
      <c r="R48" s="364"/>
      <c r="S48" s="364"/>
      <c r="T48" s="366">
        <v>1</v>
      </c>
      <c r="U48" s="364"/>
      <c r="V48" s="364">
        <v>0</v>
      </c>
      <c r="W48" s="364">
        <v>3</v>
      </c>
      <c r="X48" s="364">
        <v>0</v>
      </c>
      <c r="Y48" s="364">
        <v>0</v>
      </c>
      <c r="Z48" s="364"/>
      <c r="AA48" s="293"/>
      <c r="AB48" s="293"/>
      <c r="AC48" s="366">
        <v>3</v>
      </c>
      <c r="AD48" s="293"/>
      <c r="AE48" s="293">
        <f t="shared" si="9"/>
        <v>0</v>
      </c>
      <c r="AF48" s="293">
        <f t="shared" si="10"/>
        <v>3</v>
      </c>
      <c r="AG48" s="293">
        <f t="shared" si="11"/>
        <v>-1</v>
      </c>
      <c r="AH48" s="293">
        <f t="shared" si="12"/>
        <v>0</v>
      </c>
      <c r="AI48" s="293">
        <f t="shared" si="13"/>
        <v>0</v>
      </c>
      <c r="AJ48" s="293">
        <f t="shared" si="14"/>
        <v>0</v>
      </c>
      <c r="AK48" s="293">
        <f t="shared" si="15"/>
        <v>0</v>
      </c>
      <c r="AL48" s="348">
        <f t="shared" si="16"/>
        <v>2</v>
      </c>
      <c r="AM48" s="369"/>
      <c r="AN48" s="322">
        <v>2</v>
      </c>
      <c r="AO48" s="231">
        <v>0</v>
      </c>
      <c r="AP48" s="228">
        <v>0</v>
      </c>
      <c r="AQ48" s="231">
        <v>0</v>
      </c>
      <c r="AR48" s="231">
        <v>0</v>
      </c>
      <c r="AS48" s="231">
        <v>0</v>
      </c>
      <c r="AT48" s="231">
        <v>0</v>
      </c>
      <c r="AU48" s="323">
        <v>0</v>
      </c>
      <c r="AV48" s="231">
        <v>0</v>
      </c>
      <c r="AW48" s="231">
        <v>0</v>
      </c>
      <c r="AX48" s="231">
        <v>0</v>
      </c>
      <c r="AY48" s="231">
        <v>0</v>
      </c>
      <c r="AZ48" s="230">
        <v>0</v>
      </c>
      <c r="BA48" s="2" t="s">
        <v>1267</v>
      </c>
      <c r="BF48" s="232"/>
    </row>
    <row r="49" spans="1:58" s="2" customFormat="1" ht="15" customHeight="1" x14ac:dyDescent="0.25">
      <c r="A49" s="2" t="s">
        <v>113</v>
      </c>
      <c r="B49" s="2" t="s">
        <v>5</v>
      </c>
      <c r="D49" s="358" t="s">
        <v>114</v>
      </c>
      <c r="E49" s="358" t="s">
        <v>115</v>
      </c>
      <c r="F49" s="370"/>
      <c r="G49" s="319">
        <v>43208</v>
      </c>
      <c r="H49" s="358" t="s">
        <v>1027</v>
      </c>
      <c r="I49" s="367" t="s">
        <v>1048</v>
      </c>
      <c r="J49" s="2">
        <v>517058</v>
      </c>
      <c r="K49" s="2">
        <v>170060</v>
      </c>
      <c r="L49" s="293"/>
      <c r="M49" s="364">
        <v>0</v>
      </c>
      <c r="N49" s="364">
        <v>0</v>
      </c>
      <c r="O49" s="364">
        <v>0</v>
      </c>
      <c r="P49" s="364">
        <v>1</v>
      </c>
      <c r="Q49" s="364"/>
      <c r="R49" s="364"/>
      <c r="S49" s="364"/>
      <c r="T49" s="366">
        <v>1</v>
      </c>
      <c r="U49" s="364"/>
      <c r="V49" s="364">
        <v>0</v>
      </c>
      <c r="W49" s="364">
        <v>2</v>
      </c>
      <c r="X49" s="364">
        <v>0</v>
      </c>
      <c r="Y49" s="364">
        <v>0</v>
      </c>
      <c r="Z49" s="364"/>
      <c r="AA49" s="293"/>
      <c r="AB49" s="293"/>
      <c r="AC49" s="366">
        <v>2</v>
      </c>
      <c r="AD49" s="293"/>
      <c r="AE49" s="293">
        <f t="shared" si="9"/>
        <v>0</v>
      </c>
      <c r="AF49" s="293">
        <f t="shared" si="10"/>
        <v>2</v>
      </c>
      <c r="AG49" s="293">
        <f t="shared" si="11"/>
        <v>0</v>
      </c>
      <c r="AH49" s="293">
        <f t="shared" si="12"/>
        <v>-1</v>
      </c>
      <c r="AI49" s="293">
        <f t="shared" si="13"/>
        <v>0</v>
      </c>
      <c r="AJ49" s="293">
        <f t="shared" si="14"/>
        <v>0</v>
      </c>
      <c r="AK49" s="293">
        <f t="shared" si="15"/>
        <v>0</v>
      </c>
      <c r="AL49" s="348">
        <f t="shared" si="16"/>
        <v>1</v>
      </c>
      <c r="AM49" s="369"/>
      <c r="AN49" s="322">
        <v>1</v>
      </c>
      <c r="AO49" s="231">
        <v>0</v>
      </c>
      <c r="AP49" s="228">
        <v>0</v>
      </c>
      <c r="AQ49" s="231">
        <v>0</v>
      </c>
      <c r="AR49" s="231">
        <v>0</v>
      </c>
      <c r="AS49" s="231">
        <v>0</v>
      </c>
      <c r="AT49" s="231">
        <v>0</v>
      </c>
      <c r="AU49" s="323">
        <v>0</v>
      </c>
      <c r="AV49" s="231">
        <v>0</v>
      </c>
      <c r="AW49" s="231">
        <v>0</v>
      </c>
      <c r="AX49" s="231">
        <v>0</v>
      </c>
      <c r="AY49" s="231">
        <v>0</v>
      </c>
      <c r="AZ49" s="230">
        <v>0</v>
      </c>
      <c r="BA49" s="2" t="s">
        <v>1230</v>
      </c>
      <c r="BF49" s="232"/>
    </row>
    <row r="50" spans="1:58" s="2" customFormat="1" ht="15" customHeight="1" x14ac:dyDescent="0.25">
      <c r="A50" s="2" t="s">
        <v>116</v>
      </c>
      <c r="B50" s="2" t="s">
        <v>5</v>
      </c>
      <c r="D50" s="358" t="s">
        <v>117</v>
      </c>
      <c r="E50" s="358" t="s">
        <v>118</v>
      </c>
      <c r="F50" s="370"/>
      <c r="G50" s="319">
        <v>43281</v>
      </c>
      <c r="H50" s="358" t="s">
        <v>1027</v>
      </c>
      <c r="I50" s="367" t="s">
        <v>1048</v>
      </c>
      <c r="J50" s="2">
        <v>518202</v>
      </c>
      <c r="K50" s="2">
        <v>175297</v>
      </c>
      <c r="L50" s="293"/>
      <c r="M50" s="364">
        <v>1</v>
      </c>
      <c r="N50" s="364">
        <v>0</v>
      </c>
      <c r="O50" s="364">
        <v>0</v>
      </c>
      <c r="P50" s="364">
        <v>1</v>
      </c>
      <c r="Q50" s="364"/>
      <c r="R50" s="364"/>
      <c r="S50" s="364"/>
      <c r="T50" s="366">
        <v>2</v>
      </c>
      <c r="U50" s="364"/>
      <c r="V50" s="364">
        <v>0</v>
      </c>
      <c r="W50" s="364">
        <v>0</v>
      </c>
      <c r="X50" s="364">
        <v>0</v>
      </c>
      <c r="Y50" s="364">
        <v>1</v>
      </c>
      <c r="Z50" s="364"/>
      <c r="AA50" s="293"/>
      <c r="AB50" s="293"/>
      <c r="AC50" s="366">
        <v>1</v>
      </c>
      <c r="AD50" s="293"/>
      <c r="AE50" s="293">
        <f t="shared" si="9"/>
        <v>-1</v>
      </c>
      <c r="AF50" s="293">
        <f t="shared" si="10"/>
        <v>0</v>
      </c>
      <c r="AG50" s="293">
        <f t="shared" si="11"/>
        <v>0</v>
      </c>
      <c r="AH50" s="293">
        <f t="shared" si="12"/>
        <v>0</v>
      </c>
      <c r="AI50" s="293">
        <f t="shared" si="13"/>
        <v>0</v>
      </c>
      <c r="AJ50" s="293">
        <f t="shared" si="14"/>
        <v>0</v>
      </c>
      <c r="AK50" s="293">
        <f t="shared" si="15"/>
        <v>0</v>
      </c>
      <c r="AL50" s="348">
        <f t="shared" si="16"/>
        <v>-1</v>
      </c>
      <c r="AM50" s="369"/>
      <c r="AN50" s="322">
        <v>-1</v>
      </c>
      <c r="AO50" s="231">
        <v>0</v>
      </c>
      <c r="AP50" s="228">
        <v>0</v>
      </c>
      <c r="AQ50" s="231">
        <v>0</v>
      </c>
      <c r="AR50" s="231">
        <v>0</v>
      </c>
      <c r="AS50" s="231">
        <v>0</v>
      </c>
      <c r="AT50" s="231">
        <v>0</v>
      </c>
      <c r="AU50" s="323">
        <v>0</v>
      </c>
      <c r="AV50" s="231">
        <v>0</v>
      </c>
      <c r="AW50" s="231">
        <v>0</v>
      </c>
      <c r="AX50" s="231">
        <v>0</v>
      </c>
      <c r="AY50" s="231">
        <v>0</v>
      </c>
      <c r="AZ50" s="230">
        <v>0</v>
      </c>
      <c r="BA50" s="2" t="s">
        <v>1234</v>
      </c>
      <c r="BD50" s="2" t="s">
        <v>1213</v>
      </c>
      <c r="BF50" s="232"/>
    </row>
    <row r="51" spans="1:58" s="2" customFormat="1" ht="15" customHeight="1" x14ac:dyDescent="0.25">
      <c r="A51" s="241" t="s">
        <v>504</v>
      </c>
      <c r="B51" s="2" t="s">
        <v>5</v>
      </c>
      <c r="D51" s="241" t="s">
        <v>505</v>
      </c>
      <c r="E51" s="241" t="s">
        <v>506</v>
      </c>
      <c r="F51" s="359"/>
      <c r="G51" s="318">
        <v>43191</v>
      </c>
      <c r="H51" s="358" t="s">
        <v>1027</v>
      </c>
      <c r="I51" s="367" t="s">
        <v>1048</v>
      </c>
      <c r="J51" s="2">
        <v>518893</v>
      </c>
      <c r="K51" s="2">
        <v>175056</v>
      </c>
      <c r="L51" s="293"/>
      <c r="M51" s="364">
        <v>0</v>
      </c>
      <c r="N51" s="364">
        <v>0</v>
      </c>
      <c r="O51" s="364">
        <v>0</v>
      </c>
      <c r="P51" s="364">
        <v>1</v>
      </c>
      <c r="Q51" s="364"/>
      <c r="R51" s="364"/>
      <c r="S51" s="364"/>
      <c r="T51" s="365">
        <v>1</v>
      </c>
      <c r="U51" s="364"/>
      <c r="V51" s="364">
        <v>1</v>
      </c>
      <c r="W51" s="364">
        <v>0</v>
      </c>
      <c r="X51" s="364">
        <v>1</v>
      </c>
      <c r="Y51" s="364">
        <v>0</v>
      </c>
      <c r="Z51" s="364"/>
      <c r="AA51" s="293"/>
      <c r="AB51" s="293"/>
      <c r="AC51" s="365">
        <v>2</v>
      </c>
      <c r="AD51" s="293"/>
      <c r="AE51" s="293">
        <f t="shared" si="9"/>
        <v>1</v>
      </c>
      <c r="AF51" s="293">
        <f t="shared" si="10"/>
        <v>0</v>
      </c>
      <c r="AG51" s="293">
        <f t="shared" si="11"/>
        <v>1</v>
      </c>
      <c r="AH51" s="293">
        <f t="shared" si="12"/>
        <v>-1</v>
      </c>
      <c r="AI51" s="293">
        <f t="shared" si="13"/>
        <v>0</v>
      </c>
      <c r="AJ51" s="293">
        <f t="shared" si="14"/>
        <v>0</v>
      </c>
      <c r="AK51" s="293">
        <f t="shared" si="15"/>
        <v>0</v>
      </c>
      <c r="AL51" s="348">
        <f t="shared" si="16"/>
        <v>1</v>
      </c>
      <c r="AM51" s="369"/>
      <c r="AN51" s="322">
        <v>1</v>
      </c>
      <c r="AO51" s="231">
        <v>0</v>
      </c>
      <c r="AP51" s="228">
        <v>0</v>
      </c>
      <c r="AQ51" s="231">
        <v>0</v>
      </c>
      <c r="AR51" s="231">
        <v>0</v>
      </c>
      <c r="AS51" s="231">
        <v>0</v>
      </c>
      <c r="AT51" s="231">
        <v>0</v>
      </c>
      <c r="AU51" s="323">
        <v>0</v>
      </c>
      <c r="AV51" s="231">
        <v>0</v>
      </c>
      <c r="AW51" s="231">
        <v>0</v>
      </c>
      <c r="AX51" s="231">
        <v>0</v>
      </c>
      <c r="AY51" s="231">
        <v>0</v>
      </c>
      <c r="AZ51" s="230">
        <v>0</v>
      </c>
      <c r="BA51" s="2" t="s">
        <v>1234</v>
      </c>
      <c r="BF51" s="232"/>
    </row>
    <row r="52" spans="1:58" s="2" customFormat="1" ht="15" customHeight="1" x14ac:dyDescent="0.25">
      <c r="A52" s="2" t="s">
        <v>119</v>
      </c>
      <c r="B52" s="2" t="s">
        <v>26</v>
      </c>
      <c r="C52" s="2" t="s">
        <v>1037</v>
      </c>
      <c r="D52" s="358" t="s">
        <v>120</v>
      </c>
      <c r="E52" s="358" t="s">
        <v>121</v>
      </c>
      <c r="F52" s="319">
        <v>43009</v>
      </c>
      <c r="G52" s="319">
        <v>43388</v>
      </c>
      <c r="H52" s="358" t="s">
        <v>1027</v>
      </c>
      <c r="I52" s="367" t="s">
        <v>1048</v>
      </c>
      <c r="J52" s="2">
        <v>520522</v>
      </c>
      <c r="K52" s="2">
        <v>175477</v>
      </c>
      <c r="L52" s="293"/>
      <c r="M52" s="364">
        <v>0</v>
      </c>
      <c r="N52" s="364">
        <v>0</v>
      </c>
      <c r="O52" s="364">
        <v>0</v>
      </c>
      <c r="P52" s="364">
        <v>0</v>
      </c>
      <c r="Q52" s="364"/>
      <c r="R52" s="364"/>
      <c r="S52" s="364"/>
      <c r="T52" s="366">
        <v>0</v>
      </c>
      <c r="U52" s="364"/>
      <c r="V52" s="364">
        <v>2</v>
      </c>
      <c r="W52" s="364">
        <v>0</v>
      </c>
      <c r="X52" s="364">
        <v>0</v>
      </c>
      <c r="Y52" s="364">
        <v>0</v>
      </c>
      <c r="Z52" s="364"/>
      <c r="AA52" s="293"/>
      <c r="AB52" s="293"/>
      <c r="AC52" s="366">
        <v>2</v>
      </c>
      <c r="AD52" s="293"/>
      <c r="AE52" s="293">
        <f t="shared" si="9"/>
        <v>2</v>
      </c>
      <c r="AF52" s="293">
        <f t="shared" si="10"/>
        <v>0</v>
      </c>
      <c r="AG52" s="293">
        <f t="shared" si="11"/>
        <v>0</v>
      </c>
      <c r="AH52" s="293">
        <f t="shared" si="12"/>
        <v>0</v>
      </c>
      <c r="AI52" s="293">
        <f t="shared" si="13"/>
        <v>0</v>
      </c>
      <c r="AJ52" s="293">
        <f t="shared" si="14"/>
        <v>0</v>
      </c>
      <c r="AK52" s="293">
        <f t="shared" si="15"/>
        <v>0</v>
      </c>
      <c r="AL52" s="348">
        <f t="shared" si="16"/>
        <v>2</v>
      </c>
      <c r="AM52" s="369"/>
      <c r="AN52" s="322">
        <v>2</v>
      </c>
      <c r="AO52" s="231">
        <v>0</v>
      </c>
      <c r="AP52" s="228">
        <v>0</v>
      </c>
      <c r="AQ52" s="231">
        <v>0</v>
      </c>
      <c r="AR52" s="231">
        <v>0</v>
      </c>
      <c r="AS52" s="231">
        <v>0</v>
      </c>
      <c r="AT52" s="231">
        <v>0</v>
      </c>
      <c r="AU52" s="323">
        <v>0</v>
      </c>
      <c r="AV52" s="231">
        <v>0</v>
      </c>
      <c r="AW52" s="231">
        <v>0</v>
      </c>
      <c r="AX52" s="231">
        <v>0</v>
      </c>
      <c r="AY52" s="231">
        <v>0</v>
      </c>
      <c r="AZ52" s="230">
        <v>0</v>
      </c>
      <c r="BA52" s="2" t="s">
        <v>1212</v>
      </c>
      <c r="BD52" s="2" t="s">
        <v>1212</v>
      </c>
      <c r="BF52" s="232"/>
    </row>
    <row r="53" spans="1:58" s="2" customFormat="1" ht="15" customHeight="1" x14ac:dyDescent="0.25">
      <c r="A53" s="2" t="s">
        <v>122</v>
      </c>
      <c r="B53" s="2" t="s">
        <v>26</v>
      </c>
      <c r="D53" s="358" t="s">
        <v>123</v>
      </c>
      <c r="E53" s="358" t="s">
        <v>124</v>
      </c>
      <c r="F53" s="319">
        <v>43108</v>
      </c>
      <c r="G53" s="319">
        <v>43221</v>
      </c>
      <c r="H53" s="358" t="s">
        <v>1027</v>
      </c>
      <c r="I53" s="367" t="s">
        <v>1048</v>
      </c>
      <c r="J53" s="2">
        <v>516815</v>
      </c>
      <c r="K53" s="2">
        <v>174220</v>
      </c>
      <c r="L53" s="293"/>
      <c r="M53" s="364">
        <v>0</v>
      </c>
      <c r="N53" s="364">
        <v>0</v>
      </c>
      <c r="O53" s="364">
        <v>0</v>
      </c>
      <c r="P53" s="364">
        <v>0</v>
      </c>
      <c r="Q53" s="364"/>
      <c r="R53" s="364"/>
      <c r="S53" s="364"/>
      <c r="T53" s="366">
        <v>0</v>
      </c>
      <c r="U53" s="364"/>
      <c r="V53" s="364">
        <v>3</v>
      </c>
      <c r="W53" s="364">
        <v>0</v>
      </c>
      <c r="X53" s="364">
        <v>0</v>
      </c>
      <c r="Y53" s="364">
        <v>0</v>
      </c>
      <c r="Z53" s="364"/>
      <c r="AA53" s="293"/>
      <c r="AB53" s="293"/>
      <c r="AC53" s="366">
        <v>3</v>
      </c>
      <c r="AD53" s="293"/>
      <c r="AE53" s="293">
        <f t="shared" si="9"/>
        <v>3</v>
      </c>
      <c r="AF53" s="293">
        <f t="shared" si="10"/>
        <v>0</v>
      </c>
      <c r="AG53" s="293">
        <f t="shared" si="11"/>
        <v>0</v>
      </c>
      <c r="AH53" s="293">
        <f t="shared" si="12"/>
        <v>0</v>
      </c>
      <c r="AI53" s="293">
        <f t="shared" si="13"/>
        <v>0</v>
      </c>
      <c r="AJ53" s="293">
        <f t="shared" si="14"/>
        <v>0</v>
      </c>
      <c r="AK53" s="293">
        <f t="shared" si="15"/>
        <v>0</v>
      </c>
      <c r="AL53" s="348">
        <f t="shared" si="16"/>
        <v>3</v>
      </c>
      <c r="AM53" s="369"/>
      <c r="AN53" s="322">
        <v>3</v>
      </c>
      <c r="AO53" s="231">
        <v>0</v>
      </c>
      <c r="AP53" s="228">
        <v>0</v>
      </c>
      <c r="AQ53" s="231">
        <v>0</v>
      </c>
      <c r="AR53" s="231">
        <v>0</v>
      </c>
      <c r="AS53" s="231">
        <v>0</v>
      </c>
      <c r="AT53" s="231">
        <v>0</v>
      </c>
      <c r="AU53" s="323">
        <v>0</v>
      </c>
      <c r="AV53" s="231">
        <v>0</v>
      </c>
      <c r="AW53" s="231">
        <v>0</v>
      </c>
      <c r="AX53" s="231">
        <v>0</v>
      </c>
      <c r="AY53" s="231">
        <v>0</v>
      </c>
      <c r="AZ53" s="230">
        <v>0</v>
      </c>
      <c r="BA53" s="2" t="s">
        <v>1442</v>
      </c>
      <c r="BC53" s="2" t="s">
        <v>1434</v>
      </c>
      <c r="BF53" s="232"/>
    </row>
    <row r="54" spans="1:58" s="2" customFormat="1" ht="15" customHeight="1" x14ac:dyDescent="0.25">
      <c r="A54" s="2" t="s">
        <v>125</v>
      </c>
      <c r="B54" s="2" t="s">
        <v>5</v>
      </c>
      <c r="D54" s="358" t="s">
        <v>126</v>
      </c>
      <c r="E54" s="358" t="s">
        <v>127</v>
      </c>
      <c r="F54" s="370"/>
      <c r="G54" s="319">
        <v>43313</v>
      </c>
      <c r="H54" s="358" t="s">
        <v>1027</v>
      </c>
      <c r="I54" s="367" t="s">
        <v>1048</v>
      </c>
      <c r="J54" s="2">
        <v>513716</v>
      </c>
      <c r="K54" s="2">
        <v>169674</v>
      </c>
      <c r="L54" s="293"/>
      <c r="M54" s="364">
        <v>0</v>
      </c>
      <c r="N54" s="364">
        <v>0</v>
      </c>
      <c r="O54" s="364">
        <v>0</v>
      </c>
      <c r="P54" s="364">
        <v>1</v>
      </c>
      <c r="Q54" s="364"/>
      <c r="R54" s="364"/>
      <c r="S54" s="364"/>
      <c r="T54" s="366">
        <v>1</v>
      </c>
      <c r="U54" s="364"/>
      <c r="V54" s="364">
        <v>0</v>
      </c>
      <c r="W54" s="364">
        <v>1</v>
      </c>
      <c r="X54" s="364">
        <v>1</v>
      </c>
      <c r="Y54" s="364">
        <v>0</v>
      </c>
      <c r="Z54" s="364"/>
      <c r="AA54" s="293"/>
      <c r="AB54" s="293"/>
      <c r="AC54" s="366">
        <v>2</v>
      </c>
      <c r="AD54" s="293"/>
      <c r="AE54" s="293">
        <f t="shared" si="9"/>
        <v>0</v>
      </c>
      <c r="AF54" s="293">
        <f t="shared" si="10"/>
        <v>1</v>
      </c>
      <c r="AG54" s="293">
        <f t="shared" si="11"/>
        <v>1</v>
      </c>
      <c r="AH54" s="293">
        <f t="shared" si="12"/>
        <v>-1</v>
      </c>
      <c r="AI54" s="293">
        <f t="shared" si="13"/>
        <v>0</v>
      </c>
      <c r="AJ54" s="293">
        <f t="shared" si="14"/>
        <v>0</v>
      </c>
      <c r="AK54" s="293">
        <f t="shared" si="15"/>
        <v>0</v>
      </c>
      <c r="AL54" s="348">
        <f t="shared" si="16"/>
        <v>1</v>
      </c>
      <c r="AM54" s="369"/>
      <c r="AN54" s="322">
        <v>1</v>
      </c>
      <c r="AO54" s="231">
        <v>0</v>
      </c>
      <c r="AP54" s="228">
        <v>0</v>
      </c>
      <c r="AQ54" s="231">
        <v>0</v>
      </c>
      <c r="AR54" s="231">
        <v>0</v>
      </c>
      <c r="AS54" s="231">
        <v>0</v>
      </c>
      <c r="AT54" s="231">
        <v>0</v>
      </c>
      <c r="AU54" s="323">
        <v>0</v>
      </c>
      <c r="AV54" s="231">
        <v>0</v>
      </c>
      <c r="AW54" s="231">
        <v>0</v>
      </c>
      <c r="AX54" s="231">
        <v>0</v>
      </c>
      <c r="AY54" s="231">
        <v>0</v>
      </c>
      <c r="AZ54" s="230">
        <v>0</v>
      </c>
      <c r="BA54" s="2" t="s">
        <v>1229</v>
      </c>
      <c r="BC54" s="2" t="s">
        <v>1436</v>
      </c>
      <c r="BF54" s="232"/>
    </row>
    <row r="55" spans="1:58" s="2" customFormat="1" ht="15" customHeight="1" x14ac:dyDescent="0.25">
      <c r="A55" s="2" t="s">
        <v>128</v>
      </c>
      <c r="B55" s="2" t="s">
        <v>5</v>
      </c>
      <c r="D55" s="358" t="s">
        <v>129</v>
      </c>
      <c r="E55" s="358" t="s">
        <v>130</v>
      </c>
      <c r="F55" s="319">
        <v>42856</v>
      </c>
      <c r="G55" s="319">
        <v>43193</v>
      </c>
      <c r="H55" s="358" t="s">
        <v>1027</v>
      </c>
      <c r="I55" s="367" t="s">
        <v>1048</v>
      </c>
      <c r="J55" s="2">
        <v>518724</v>
      </c>
      <c r="K55" s="2">
        <v>174102</v>
      </c>
      <c r="L55" s="293"/>
      <c r="M55" s="364">
        <v>0</v>
      </c>
      <c r="N55" s="364">
        <v>0</v>
      </c>
      <c r="O55" s="364">
        <v>0</v>
      </c>
      <c r="P55" s="364">
        <v>1</v>
      </c>
      <c r="Q55" s="364"/>
      <c r="R55" s="364"/>
      <c r="S55" s="364"/>
      <c r="T55" s="366">
        <v>1</v>
      </c>
      <c r="U55" s="364"/>
      <c r="V55" s="364">
        <v>0</v>
      </c>
      <c r="W55" s="364">
        <v>2</v>
      </c>
      <c r="X55" s="364">
        <v>0</v>
      </c>
      <c r="Y55" s="364">
        <v>0</v>
      </c>
      <c r="Z55" s="364"/>
      <c r="AA55" s="293"/>
      <c r="AB55" s="293"/>
      <c r="AC55" s="366">
        <v>2</v>
      </c>
      <c r="AD55" s="293"/>
      <c r="AE55" s="293">
        <f t="shared" si="9"/>
        <v>0</v>
      </c>
      <c r="AF55" s="293">
        <f t="shared" si="10"/>
        <v>2</v>
      </c>
      <c r="AG55" s="293">
        <f t="shared" si="11"/>
        <v>0</v>
      </c>
      <c r="AH55" s="293">
        <f t="shared" si="12"/>
        <v>-1</v>
      </c>
      <c r="AI55" s="293">
        <f t="shared" si="13"/>
        <v>0</v>
      </c>
      <c r="AJ55" s="293">
        <f t="shared" si="14"/>
        <v>0</v>
      </c>
      <c r="AK55" s="293">
        <f t="shared" si="15"/>
        <v>0</v>
      </c>
      <c r="AL55" s="348">
        <f t="shared" si="16"/>
        <v>1</v>
      </c>
      <c r="AM55" s="369"/>
      <c r="AN55" s="322">
        <v>1</v>
      </c>
      <c r="AO55" s="231">
        <v>0</v>
      </c>
      <c r="AP55" s="228">
        <v>0</v>
      </c>
      <c r="AQ55" s="231">
        <v>0</v>
      </c>
      <c r="AR55" s="231">
        <v>0</v>
      </c>
      <c r="AS55" s="231">
        <v>0</v>
      </c>
      <c r="AT55" s="231">
        <v>0</v>
      </c>
      <c r="AU55" s="323">
        <v>0</v>
      </c>
      <c r="AV55" s="231">
        <v>0</v>
      </c>
      <c r="AW55" s="231">
        <v>0</v>
      </c>
      <c r="AX55" s="231">
        <v>0</v>
      </c>
      <c r="AY55" s="231">
        <v>0</v>
      </c>
      <c r="AZ55" s="230">
        <v>0</v>
      </c>
      <c r="BA55" s="2" t="s">
        <v>1235</v>
      </c>
      <c r="BF55" s="232"/>
    </row>
    <row r="56" spans="1:58" s="2" customFormat="1" ht="15" customHeight="1" x14ac:dyDescent="0.25">
      <c r="A56" s="2" t="s">
        <v>131</v>
      </c>
      <c r="B56" s="2" t="s">
        <v>9</v>
      </c>
      <c r="D56" s="358" t="s">
        <v>132</v>
      </c>
      <c r="E56" s="358" t="s">
        <v>133</v>
      </c>
      <c r="F56" s="370"/>
      <c r="G56" s="319">
        <v>43283</v>
      </c>
      <c r="H56" s="358" t="s">
        <v>1027</v>
      </c>
      <c r="I56" s="367" t="s">
        <v>1048</v>
      </c>
      <c r="J56" s="2">
        <v>516971</v>
      </c>
      <c r="K56" s="2">
        <v>174886</v>
      </c>
      <c r="L56" s="293"/>
      <c r="M56" s="364">
        <v>0</v>
      </c>
      <c r="N56" s="364">
        <v>0</v>
      </c>
      <c r="O56" s="364">
        <v>0</v>
      </c>
      <c r="P56" s="364">
        <v>0</v>
      </c>
      <c r="Q56" s="372">
        <v>1</v>
      </c>
      <c r="R56" s="364"/>
      <c r="S56" s="364"/>
      <c r="T56" s="366">
        <v>1</v>
      </c>
      <c r="U56" s="364"/>
      <c r="V56" s="364">
        <v>0</v>
      </c>
      <c r="W56" s="364">
        <v>0</v>
      </c>
      <c r="X56" s="364">
        <v>1</v>
      </c>
      <c r="Y56" s="364">
        <v>0</v>
      </c>
      <c r="Z56" s="364"/>
      <c r="AA56" s="293"/>
      <c r="AB56" s="293"/>
      <c r="AC56" s="366">
        <v>1</v>
      </c>
      <c r="AD56" s="293"/>
      <c r="AE56" s="293">
        <f t="shared" si="9"/>
        <v>0</v>
      </c>
      <c r="AF56" s="293">
        <f t="shared" si="10"/>
        <v>0</v>
      </c>
      <c r="AG56" s="293">
        <f t="shared" si="11"/>
        <v>1</v>
      </c>
      <c r="AH56" s="293">
        <f t="shared" si="12"/>
        <v>0</v>
      </c>
      <c r="AI56" s="293">
        <f t="shared" si="13"/>
        <v>-1</v>
      </c>
      <c r="AJ56" s="293">
        <f t="shared" si="14"/>
        <v>0</v>
      </c>
      <c r="AK56" s="293">
        <f t="shared" si="15"/>
        <v>0</v>
      </c>
      <c r="AL56" s="348">
        <f t="shared" si="16"/>
        <v>0</v>
      </c>
      <c r="AM56" s="369"/>
      <c r="AN56" s="322">
        <v>0</v>
      </c>
      <c r="AO56" s="231">
        <v>0</v>
      </c>
      <c r="AP56" s="228">
        <v>0</v>
      </c>
      <c r="AQ56" s="231">
        <v>0</v>
      </c>
      <c r="AR56" s="231">
        <v>0</v>
      </c>
      <c r="AS56" s="231">
        <v>0</v>
      </c>
      <c r="AT56" s="231">
        <v>0</v>
      </c>
      <c r="AU56" s="323">
        <v>0</v>
      </c>
      <c r="AV56" s="231">
        <v>0</v>
      </c>
      <c r="AW56" s="231">
        <v>0</v>
      </c>
      <c r="AX56" s="231">
        <v>0</v>
      </c>
      <c r="AY56" s="231">
        <v>0</v>
      </c>
      <c r="AZ56" s="230">
        <v>0</v>
      </c>
      <c r="BA56" s="2" t="s">
        <v>1442</v>
      </c>
      <c r="BE56" s="2" t="s">
        <v>1214</v>
      </c>
      <c r="BF56" s="232"/>
    </row>
    <row r="57" spans="1:58" s="2" customFormat="1" ht="15" customHeight="1" x14ac:dyDescent="0.25">
      <c r="A57" s="241" t="s">
        <v>812</v>
      </c>
      <c r="B57" s="2" t="s">
        <v>26</v>
      </c>
      <c r="D57" s="241" t="s">
        <v>813</v>
      </c>
      <c r="E57" s="241" t="s">
        <v>814</v>
      </c>
      <c r="F57" s="359">
        <v>43346</v>
      </c>
      <c r="G57" s="318">
        <v>43437</v>
      </c>
      <c r="H57" s="358" t="s">
        <v>1027</v>
      </c>
      <c r="I57" s="367" t="s">
        <v>1048</v>
      </c>
      <c r="J57" s="2">
        <v>516408</v>
      </c>
      <c r="K57" s="2">
        <v>173636</v>
      </c>
      <c r="L57" s="293"/>
      <c r="M57" s="364">
        <v>0</v>
      </c>
      <c r="N57" s="364">
        <v>0</v>
      </c>
      <c r="O57" s="364">
        <v>0</v>
      </c>
      <c r="P57" s="364">
        <v>0</v>
      </c>
      <c r="Q57" s="364"/>
      <c r="R57" s="364"/>
      <c r="S57" s="364"/>
      <c r="T57" s="365">
        <v>0</v>
      </c>
      <c r="U57" s="364"/>
      <c r="V57" s="364">
        <v>0</v>
      </c>
      <c r="W57" s="364">
        <v>2</v>
      </c>
      <c r="X57" s="364">
        <v>0</v>
      </c>
      <c r="Y57" s="364">
        <v>0</v>
      </c>
      <c r="Z57" s="364"/>
      <c r="AA57" s="293"/>
      <c r="AB57" s="293"/>
      <c r="AC57" s="365">
        <v>2</v>
      </c>
      <c r="AD57" s="293"/>
      <c r="AE57" s="293">
        <f t="shared" si="9"/>
        <v>0</v>
      </c>
      <c r="AF57" s="293">
        <f t="shared" si="10"/>
        <v>2</v>
      </c>
      <c r="AG57" s="293">
        <f t="shared" si="11"/>
        <v>0</v>
      </c>
      <c r="AH57" s="293">
        <f t="shared" si="12"/>
        <v>0</v>
      </c>
      <c r="AI57" s="293">
        <f t="shared" si="13"/>
        <v>0</v>
      </c>
      <c r="AJ57" s="293">
        <f t="shared" si="14"/>
        <v>0</v>
      </c>
      <c r="AK57" s="293">
        <f t="shared" si="15"/>
        <v>0</v>
      </c>
      <c r="AL57" s="348">
        <f t="shared" si="16"/>
        <v>2</v>
      </c>
      <c r="AM57" s="369"/>
      <c r="AN57" s="322">
        <v>2</v>
      </c>
      <c r="AO57" s="231">
        <v>0</v>
      </c>
      <c r="AP57" s="228">
        <v>0</v>
      </c>
      <c r="AQ57" s="231">
        <v>0</v>
      </c>
      <c r="AR57" s="231">
        <v>0</v>
      </c>
      <c r="AS57" s="231">
        <v>0</v>
      </c>
      <c r="AT57" s="231">
        <v>0</v>
      </c>
      <c r="AU57" s="242">
        <v>0</v>
      </c>
      <c r="AV57" s="231">
        <v>0</v>
      </c>
      <c r="AW57" s="231">
        <v>0</v>
      </c>
      <c r="AX57" s="231">
        <v>0</v>
      </c>
      <c r="AY57" s="231">
        <v>0</v>
      </c>
      <c r="AZ57" s="230">
        <v>0</v>
      </c>
      <c r="BA57" s="2" t="s">
        <v>1238</v>
      </c>
      <c r="BF57" s="232"/>
    </row>
    <row r="58" spans="1:58" s="2" customFormat="1" ht="15" customHeight="1" x14ac:dyDescent="0.25">
      <c r="A58" s="241" t="s">
        <v>715</v>
      </c>
      <c r="B58" s="2" t="s">
        <v>9</v>
      </c>
      <c r="D58" s="241" t="s">
        <v>716</v>
      </c>
      <c r="E58" s="241" t="s">
        <v>717</v>
      </c>
      <c r="F58" s="371">
        <v>43221</v>
      </c>
      <c r="G58" s="318">
        <v>43554</v>
      </c>
      <c r="H58" s="358" t="s">
        <v>1027</v>
      </c>
      <c r="I58" s="367" t="s">
        <v>1048</v>
      </c>
      <c r="J58" s="2">
        <v>514188</v>
      </c>
      <c r="K58" s="2">
        <v>170597</v>
      </c>
      <c r="L58" s="293"/>
      <c r="M58" s="364">
        <v>0</v>
      </c>
      <c r="N58" s="364">
        <v>0</v>
      </c>
      <c r="O58" s="364">
        <v>0</v>
      </c>
      <c r="P58" s="364">
        <v>0</v>
      </c>
      <c r="Q58" s="364"/>
      <c r="R58" s="364"/>
      <c r="S58" s="364"/>
      <c r="T58" s="365">
        <v>0</v>
      </c>
      <c r="U58" s="364"/>
      <c r="V58" s="364">
        <v>0</v>
      </c>
      <c r="W58" s="364">
        <v>0</v>
      </c>
      <c r="X58" s="364">
        <v>3</v>
      </c>
      <c r="Y58" s="364">
        <v>0</v>
      </c>
      <c r="Z58" s="364"/>
      <c r="AA58" s="293"/>
      <c r="AB58" s="293"/>
      <c r="AC58" s="365">
        <v>3</v>
      </c>
      <c r="AD58" s="293"/>
      <c r="AE58" s="293">
        <f t="shared" si="9"/>
        <v>0</v>
      </c>
      <c r="AF58" s="293">
        <f t="shared" si="10"/>
        <v>0</v>
      </c>
      <c r="AG58" s="293">
        <f t="shared" si="11"/>
        <v>3</v>
      </c>
      <c r="AH58" s="293">
        <f t="shared" si="12"/>
        <v>0</v>
      </c>
      <c r="AI58" s="293">
        <f t="shared" si="13"/>
        <v>0</v>
      </c>
      <c r="AJ58" s="293">
        <f t="shared" si="14"/>
        <v>0</v>
      </c>
      <c r="AK58" s="293">
        <f t="shared" si="15"/>
        <v>0</v>
      </c>
      <c r="AL58" s="348">
        <f t="shared" si="16"/>
        <v>3</v>
      </c>
      <c r="AM58" s="369"/>
      <c r="AN58" s="322">
        <v>3</v>
      </c>
      <c r="AO58" s="231">
        <v>0</v>
      </c>
      <c r="AP58" s="228">
        <v>0</v>
      </c>
      <c r="AQ58" s="231">
        <v>0</v>
      </c>
      <c r="AR58" s="231">
        <v>0</v>
      </c>
      <c r="AS58" s="231">
        <v>0</v>
      </c>
      <c r="AT58" s="231">
        <v>0</v>
      </c>
      <c r="AU58" s="323">
        <v>0</v>
      </c>
      <c r="AV58" s="231">
        <v>0</v>
      </c>
      <c r="AW58" s="231">
        <v>0</v>
      </c>
      <c r="AX58" s="231">
        <v>0</v>
      </c>
      <c r="AY58" s="231">
        <v>0</v>
      </c>
      <c r="AZ58" s="230">
        <v>0</v>
      </c>
      <c r="BA58" s="2" t="s">
        <v>1265</v>
      </c>
      <c r="BC58" s="2" t="s">
        <v>1432</v>
      </c>
      <c r="BF58" s="232"/>
    </row>
    <row r="59" spans="1:58" s="2" customFormat="1" ht="15" customHeight="1" x14ac:dyDescent="0.25">
      <c r="A59" s="2" t="s">
        <v>134</v>
      </c>
      <c r="B59" s="2" t="s">
        <v>9</v>
      </c>
      <c r="D59" s="358" t="s">
        <v>135</v>
      </c>
      <c r="E59" s="358" t="s">
        <v>136</v>
      </c>
      <c r="F59" s="319">
        <v>42536</v>
      </c>
      <c r="G59" s="319">
        <v>43313</v>
      </c>
      <c r="H59" s="358" t="s">
        <v>1027</v>
      </c>
      <c r="I59" s="367" t="s">
        <v>1048</v>
      </c>
      <c r="J59" s="2">
        <v>516738</v>
      </c>
      <c r="K59" s="2">
        <v>174132</v>
      </c>
      <c r="L59" s="293"/>
      <c r="M59" s="364">
        <v>0</v>
      </c>
      <c r="N59" s="364">
        <v>0</v>
      </c>
      <c r="O59" s="364">
        <v>0</v>
      </c>
      <c r="P59" s="364">
        <v>1</v>
      </c>
      <c r="Q59" s="364"/>
      <c r="R59" s="364"/>
      <c r="S59" s="364"/>
      <c r="T59" s="366">
        <v>1</v>
      </c>
      <c r="U59" s="364"/>
      <c r="V59" s="364">
        <v>0</v>
      </c>
      <c r="W59" s="364">
        <v>0</v>
      </c>
      <c r="X59" s="364">
        <v>1</v>
      </c>
      <c r="Y59" s="364">
        <v>1</v>
      </c>
      <c r="Z59" s="364"/>
      <c r="AA59" s="293"/>
      <c r="AB59" s="293"/>
      <c r="AC59" s="366">
        <v>2</v>
      </c>
      <c r="AD59" s="293"/>
      <c r="AE59" s="293">
        <f t="shared" si="9"/>
        <v>0</v>
      </c>
      <c r="AF59" s="293">
        <f t="shared" si="10"/>
        <v>0</v>
      </c>
      <c r="AG59" s="293">
        <f t="shared" si="11"/>
        <v>1</v>
      </c>
      <c r="AH59" s="293">
        <f t="shared" si="12"/>
        <v>0</v>
      </c>
      <c r="AI59" s="293">
        <f t="shared" si="13"/>
        <v>0</v>
      </c>
      <c r="AJ59" s="293">
        <f t="shared" si="14"/>
        <v>0</v>
      </c>
      <c r="AK59" s="293">
        <f t="shared" si="15"/>
        <v>0</v>
      </c>
      <c r="AL59" s="348">
        <f t="shared" si="16"/>
        <v>1</v>
      </c>
      <c r="AM59" s="369"/>
      <c r="AN59" s="322">
        <v>1</v>
      </c>
      <c r="AO59" s="231">
        <v>0</v>
      </c>
      <c r="AP59" s="228">
        <v>0</v>
      </c>
      <c r="AQ59" s="231">
        <v>0</v>
      </c>
      <c r="AR59" s="231">
        <v>0</v>
      </c>
      <c r="AS59" s="231">
        <v>0</v>
      </c>
      <c r="AT59" s="231">
        <v>0</v>
      </c>
      <c r="AU59" s="323">
        <v>0</v>
      </c>
      <c r="AV59" s="231">
        <v>0</v>
      </c>
      <c r="AW59" s="231">
        <v>0</v>
      </c>
      <c r="AX59" s="231">
        <v>0</v>
      </c>
      <c r="AY59" s="231">
        <v>0</v>
      </c>
      <c r="AZ59" s="230">
        <v>0</v>
      </c>
      <c r="BA59" s="2" t="s">
        <v>1442</v>
      </c>
      <c r="BF59" s="232"/>
    </row>
    <row r="60" spans="1:58" s="2" customFormat="1" ht="15" customHeight="1" x14ac:dyDescent="0.25">
      <c r="A60" s="2" t="s">
        <v>137</v>
      </c>
      <c r="B60" s="2" t="s">
        <v>26</v>
      </c>
      <c r="D60" s="358" t="s">
        <v>138</v>
      </c>
      <c r="E60" s="358" t="s">
        <v>139</v>
      </c>
      <c r="F60" s="319">
        <v>43132</v>
      </c>
      <c r="G60" s="319">
        <v>43551</v>
      </c>
      <c r="H60" s="358" t="s">
        <v>1027</v>
      </c>
      <c r="I60" s="367" t="s">
        <v>1048</v>
      </c>
      <c r="J60" s="2">
        <v>518356</v>
      </c>
      <c r="K60" s="2">
        <v>174881</v>
      </c>
      <c r="L60" s="293"/>
      <c r="M60" s="364">
        <v>0</v>
      </c>
      <c r="N60" s="364">
        <v>0</v>
      </c>
      <c r="O60" s="364">
        <v>0</v>
      </c>
      <c r="P60" s="364">
        <v>0</v>
      </c>
      <c r="Q60" s="364"/>
      <c r="R60" s="364"/>
      <c r="S60" s="364"/>
      <c r="T60" s="366">
        <v>0</v>
      </c>
      <c r="U60" s="364"/>
      <c r="V60" s="364">
        <v>0</v>
      </c>
      <c r="W60" s="364">
        <v>0</v>
      </c>
      <c r="X60" s="364">
        <v>1</v>
      </c>
      <c r="Y60" s="364">
        <v>0</v>
      </c>
      <c r="Z60" s="364"/>
      <c r="AA60" s="293"/>
      <c r="AB60" s="293"/>
      <c r="AC60" s="366">
        <v>1</v>
      </c>
      <c r="AD60" s="293"/>
      <c r="AE60" s="293">
        <f t="shared" si="9"/>
        <v>0</v>
      </c>
      <c r="AF60" s="293">
        <f t="shared" si="10"/>
        <v>0</v>
      </c>
      <c r="AG60" s="293">
        <f t="shared" si="11"/>
        <v>1</v>
      </c>
      <c r="AH60" s="293">
        <f t="shared" si="12"/>
        <v>0</v>
      </c>
      <c r="AI60" s="293">
        <f t="shared" si="13"/>
        <v>0</v>
      </c>
      <c r="AJ60" s="293">
        <f t="shared" si="14"/>
        <v>0</v>
      </c>
      <c r="AK60" s="293">
        <f t="shared" si="15"/>
        <v>0</v>
      </c>
      <c r="AL60" s="348">
        <f t="shared" si="16"/>
        <v>1</v>
      </c>
      <c r="AM60" s="369"/>
      <c r="AN60" s="322">
        <v>1</v>
      </c>
      <c r="AO60" s="231">
        <v>0</v>
      </c>
      <c r="AP60" s="228">
        <v>0</v>
      </c>
      <c r="AQ60" s="231">
        <v>0</v>
      </c>
      <c r="AR60" s="231">
        <v>0</v>
      </c>
      <c r="AS60" s="231">
        <v>0</v>
      </c>
      <c r="AT60" s="231">
        <v>0</v>
      </c>
      <c r="AU60" s="323">
        <v>0</v>
      </c>
      <c r="AV60" s="231">
        <v>0</v>
      </c>
      <c r="AW60" s="231">
        <v>0</v>
      </c>
      <c r="AX60" s="231">
        <v>0</v>
      </c>
      <c r="AY60" s="231">
        <v>0</v>
      </c>
      <c r="AZ60" s="230">
        <v>0</v>
      </c>
      <c r="BA60" s="2" t="s">
        <v>1235</v>
      </c>
      <c r="BF60" s="232"/>
    </row>
    <row r="61" spans="1:58" s="2" customFormat="1" ht="15" customHeight="1" x14ac:dyDescent="0.25">
      <c r="A61" s="241" t="s">
        <v>528</v>
      </c>
      <c r="B61" s="2" t="s">
        <v>26</v>
      </c>
      <c r="D61" s="241" t="s">
        <v>529</v>
      </c>
      <c r="E61" s="241" t="s">
        <v>530</v>
      </c>
      <c r="F61" s="359"/>
      <c r="G61" s="318">
        <v>43497</v>
      </c>
      <c r="H61" s="358" t="s">
        <v>1027</v>
      </c>
      <c r="I61" s="367" t="s">
        <v>1048</v>
      </c>
      <c r="J61" s="2">
        <v>517817</v>
      </c>
      <c r="K61" s="2">
        <v>174592</v>
      </c>
      <c r="L61" s="293"/>
      <c r="M61" s="364">
        <v>1</v>
      </c>
      <c r="N61" s="364">
        <v>0</v>
      </c>
      <c r="O61" s="364">
        <v>0</v>
      </c>
      <c r="P61" s="364">
        <v>0</v>
      </c>
      <c r="Q61" s="364"/>
      <c r="R61" s="364"/>
      <c r="S61" s="364"/>
      <c r="T61" s="365">
        <v>1</v>
      </c>
      <c r="U61" s="364"/>
      <c r="V61" s="364">
        <v>0</v>
      </c>
      <c r="W61" s="364">
        <v>0</v>
      </c>
      <c r="X61" s="364">
        <v>0</v>
      </c>
      <c r="Y61" s="364">
        <v>0</v>
      </c>
      <c r="Z61" s="364"/>
      <c r="AA61" s="293"/>
      <c r="AB61" s="293"/>
      <c r="AC61" s="365">
        <v>0</v>
      </c>
      <c r="AD61" s="293"/>
      <c r="AE61" s="293">
        <f t="shared" si="9"/>
        <v>-1</v>
      </c>
      <c r="AF61" s="293">
        <f t="shared" si="10"/>
        <v>0</v>
      </c>
      <c r="AG61" s="293">
        <f t="shared" si="11"/>
        <v>0</v>
      </c>
      <c r="AH61" s="293">
        <f t="shared" si="12"/>
        <v>0</v>
      </c>
      <c r="AI61" s="293">
        <f t="shared" si="13"/>
        <v>0</v>
      </c>
      <c r="AJ61" s="293">
        <f t="shared" si="14"/>
        <v>0</v>
      </c>
      <c r="AK61" s="293">
        <f t="shared" si="15"/>
        <v>0</v>
      </c>
      <c r="AL61" s="348">
        <f t="shared" si="16"/>
        <v>-1</v>
      </c>
      <c r="AM61" s="369"/>
      <c r="AN61" s="322">
        <v>-1</v>
      </c>
      <c r="AO61" s="231">
        <v>0</v>
      </c>
      <c r="AP61" s="228">
        <v>0</v>
      </c>
      <c r="AQ61" s="231">
        <v>0</v>
      </c>
      <c r="AR61" s="231">
        <v>0</v>
      </c>
      <c r="AS61" s="231">
        <v>0</v>
      </c>
      <c r="AT61" s="231">
        <v>0</v>
      </c>
      <c r="AU61" s="323">
        <v>0</v>
      </c>
      <c r="AV61" s="231">
        <v>0</v>
      </c>
      <c r="AW61" s="231">
        <v>0</v>
      </c>
      <c r="AX61" s="231">
        <v>0</v>
      </c>
      <c r="AY61" s="231">
        <v>0</v>
      </c>
      <c r="AZ61" s="230">
        <v>0</v>
      </c>
      <c r="BA61" s="2" t="s">
        <v>1235</v>
      </c>
      <c r="BD61" s="2" t="s">
        <v>1213</v>
      </c>
      <c r="BE61" s="2" t="s">
        <v>1214</v>
      </c>
      <c r="BF61" s="232"/>
    </row>
    <row r="62" spans="1:58" s="2" customFormat="1" ht="15" customHeight="1" x14ac:dyDescent="0.25">
      <c r="A62" s="2" t="s">
        <v>140</v>
      </c>
      <c r="B62" s="2" t="s">
        <v>22</v>
      </c>
      <c r="D62" s="358" t="s">
        <v>141</v>
      </c>
      <c r="E62" s="358" t="s">
        <v>142</v>
      </c>
      <c r="F62" s="319">
        <v>43040</v>
      </c>
      <c r="G62" s="319">
        <v>43343</v>
      </c>
      <c r="H62" s="358" t="s">
        <v>1027</v>
      </c>
      <c r="I62" s="367" t="s">
        <v>1048</v>
      </c>
      <c r="J62" s="2">
        <v>518013</v>
      </c>
      <c r="K62" s="2">
        <v>175053</v>
      </c>
      <c r="L62" s="293"/>
      <c r="M62" s="364">
        <v>0</v>
      </c>
      <c r="N62" s="364">
        <v>0</v>
      </c>
      <c r="O62" s="364">
        <v>0</v>
      </c>
      <c r="P62" s="364">
        <v>0</v>
      </c>
      <c r="Q62" s="364"/>
      <c r="R62" s="364"/>
      <c r="S62" s="364"/>
      <c r="T62" s="366">
        <v>0</v>
      </c>
      <c r="U62" s="364"/>
      <c r="V62" s="364">
        <v>2</v>
      </c>
      <c r="W62" s="364">
        <v>0</v>
      </c>
      <c r="X62" s="364">
        <v>0</v>
      </c>
      <c r="Y62" s="364">
        <v>0</v>
      </c>
      <c r="Z62" s="364"/>
      <c r="AA62" s="293"/>
      <c r="AB62" s="293"/>
      <c r="AC62" s="366">
        <v>2</v>
      </c>
      <c r="AD62" s="293"/>
      <c r="AE62" s="293">
        <f t="shared" si="9"/>
        <v>2</v>
      </c>
      <c r="AF62" s="293">
        <f t="shared" si="10"/>
        <v>0</v>
      </c>
      <c r="AG62" s="293">
        <f t="shared" si="11"/>
        <v>0</v>
      </c>
      <c r="AH62" s="293">
        <f t="shared" si="12"/>
        <v>0</v>
      </c>
      <c r="AI62" s="293">
        <f t="shared" si="13"/>
        <v>0</v>
      </c>
      <c r="AJ62" s="293">
        <f t="shared" si="14"/>
        <v>0</v>
      </c>
      <c r="AK62" s="293">
        <f t="shared" si="15"/>
        <v>0</v>
      </c>
      <c r="AL62" s="348">
        <f t="shared" si="16"/>
        <v>2</v>
      </c>
      <c r="AM62" s="369"/>
      <c r="AN62" s="322">
        <v>2</v>
      </c>
      <c r="AO62" s="231">
        <v>0</v>
      </c>
      <c r="AP62" s="228">
        <v>0</v>
      </c>
      <c r="AQ62" s="231">
        <v>0</v>
      </c>
      <c r="AR62" s="231">
        <v>0</v>
      </c>
      <c r="AS62" s="231">
        <v>0</v>
      </c>
      <c r="AT62" s="231">
        <v>0</v>
      </c>
      <c r="AU62" s="323">
        <v>0</v>
      </c>
      <c r="AV62" s="231">
        <v>0</v>
      </c>
      <c r="AW62" s="231">
        <v>0</v>
      </c>
      <c r="AX62" s="231">
        <v>0</v>
      </c>
      <c r="AY62" s="231">
        <v>0</v>
      </c>
      <c r="AZ62" s="230">
        <v>0</v>
      </c>
      <c r="BA62" s="2" t="s">
        <v>1235</v>
      </c>
      <c r="BD62" s="2" t="s">
        <v>1213</v>
      </c>
      <c r="BF62" s="232"/>
    </row>
    <row r="63" spans="1:58" s="2" customFormat="1" ht="15" customHeight="1" x14ac:dyDescent="0.25">
      <c r="A63" s="2" t="s">
        <v>143</v>
      </c>
      <c r="B63" s="2" t="s">
        <v>9</v>
      </c>
      <c r="D63" s="358" t="s">
        <v>144</v>
      </c>
      <c r="E63" s="358" t="s">
        <v>145</v>
      </c>
      <c r="F63" s="370"/>
      <c r="G63" s="319">
        <v>43281</v>
      </c>
      <c r="H63" s="358" t="s">
        <v>1027</v>
      </c>
      <c r="I63" s="367" t="s">
        <v>1048</v>
      </c>
      <c r="J63" s="2">
        <v>514815</v>
      </c>
      <c r="K63" s="2">
        <v>173985</v>
      </c>
      <c r="L63" s="293"/>
      <c r="M63" s="364">
        <v>0</v>
      </c>
      <c r="N63" s="364">
        <v>0</v>
      </c>
      <c r="O63" s="364">
        <v>0</v>
      </c>
      <c r="P63" s="364">
        <v>0</v>
      </c>
      <c r="Q63" s="364"/>
      <c r="R63" s="364"/>
      <c r="S63" s="364"/>
      <c r="T63" s="366">
        <v>0</v>
      </c>
      <c r="U63" s="364"/>
      <c r="V63" s="364">
        <v>3</v>
      </c>
      <c r="W63" s="364">
        <v>1</v>
      </c>
      <c r="X63" s="364">
        <v>0</v>
      </c>
      <c r="Y63" s="364">
        <v>0</v>
      </c>
      <c r="Z63" s="364"/>
      <c r="AA63" s="293"/>
      <c r="AB63" s="293"/>
      <c r="AC63" s="366">
        <v>4</v>
      </c>
      <c r="AD63" s="293"/>
      <c r="AE63" s="293">
        <f t="shared" si="9"/>
        <v>3</v>
      </c>
      <c r="AF63" s="293">
        <f t="shared" si="10"/>
        <v>1</v>
      </c>
      <c r="AG63" s="293">
        <f t="shared" si="11"/>
        <v>0</v>
      </c>
      <c r="AH63" s="293">
        <f t="shared" si="12"/>
        <v>0</v>
      </c>
      <c r="AI63" s="293">
        <f t="shared" si="13"/>
        <v>0</v>
      </c>
      <c r="AJ63" s="293">
        <f t="shared" si="14"/>
        <v>0</v>
      </c>
      <c r="AK63" s="293">
        <f t="shared" si="15"/>
        <v>0</v>
      </c>
      <c r="AL63" s="348">
        <f t="shared" si="16"/>
        <v>4</v>
      </c>
      <c r="AM63" s="369"/>
      <c r="AN63" s="322">
        <v>4</v>
      </c>
      <c r="AO63" s="231">
        <v>0</v>
      </c>
      <c r="AP63" s="228">
        <v>0</v>
      </c>
      <c r="AQ63" s="231">
        <v>0</v>
      </c>
      <c r="AR63" s="231">
        <v>0</v>
      </c>
      <c r="AS63" s="231">
        <v>0</v>
      </c>
      <c r="AT63" s="231">
        <v>0</v>
      </c>
      <c r="AU63" s="323">
        <v>0</v>
      </c>
      <c r="AV63" s="231">
        <v>0</v>
      </c>
      <c r="AW63" s="231">
        <v>0</v>
      </c>
      <c r="AX63" s="231">
        <v>0</v>
      </c>
      <c r="AY63" s="231">
        <v>0</v>
      </c>
      <c r="AZ63" s="230">
        <v>0</v>
      </c>
      <c r="BA63" s="2" t="s">
        <v>1219</v>
      </c>
      <c r="BF63" s="232"/>
    </row>
    <row r="64" spans="1:58" s="2" customFormat="1" ht="15" customHeight="1" x14ac:dyDescent="0.25">
      <c r="A64" s="2" t="s">
        <v>146</v>
      </c>
      <c r="B64" s="2" t="s">
        <v>9</v>
      </c>
      <c r="D64" s="358" t="s">
        <v>147</v>
      </c>
      <c r="E64" s="358" t="s">
        <v>148</v>
      </c>
      <c r="F64" s="319">
        <v>43040</v>
      </c>
      <c r="G64" s="319">
        <v>43511</v>
      </c>
      <c r="H64" s="358" t="s">
        <v>1027</v>
      </c>
      <c r="I64" s="367" t="s">
        <v>1048</v>
      </c>
      <c r="J64" s="2">
        <v>514512</v>
      </c>
      <c r="K64" s="2">
        <v>171251</v>
      </c>
      <c r="L64" s="293"/>
      <c r="M64" s="364">
        <v>0</v>
      </c>
      <c r="N64" s="364">
        <v>0</v>
      </c>
      <c r="O64" s="364">
        <v>0</v>
      </c>
      <c r="P64" s="364">
        <v>0</v>
      </c>
      <c r="Q64" s="364"/>
      <c r="R64" s="364"/>
      <c r="S64" s="364"/>
      <c r="T64" s="366">
        <v>0</v>
      </c>
      <c r="U64" s="364"/>
      <c r="V64" s="364">
        <v>0</v>
      </c>
      <c r="W64" s="364">
        <v>1</v>
      </c>
      <c r="X64" s="364">
        <v>0</v>
      </c>
      <c r="Y64" s="364">
        <v>0</v>
      </c>
      <c r="Z64" s="364"/>
      <c r="AA64" s="293"/>
      <c r="AB64" s="293"/>
      <c r="AC64" s="366">
        <v>1</v>
      </c>
      <c r="AD64" s="293"/>
      <c r="AE64" s="293">
        <f t="shared" si="9"/>
        <v>0</v>
      </c>
      <c r="AF64" s="293">
        <f t="shared" si="10"/>
        <v>1</v>
      </c>
      <c r="AG64" s="293">
        <f t="shared" si="11"/>
        <v>0</v>
      </c>
      <c r="AH64" s="293">
        <f t="shared" si="12"/>
        <v>0</v>
      </c>
      <c r="AI64" s="293">
        <f t="shared" si="13"/>
        <v>0</v>
      </c>
      <c r="AJ64" s="293">
        <f t="shared" si="14"/>
        <v>0</v>
      </c>
      <c r="AK64" s="293">
        <f t="shared" si="15"/>
        <v>0</v>
      </c>
      <c r="AL64" s="348">
        <f t="shared" si="16"/>
        <v>1</v>
      </c>
      <c r="AM64" s="369"/>
      <c r="AN64" s="322">
        <v>1</v>
      </c>
      <c r="AO64" s="231">
        <v>0</v>
      </c>
      <c r="AP64" s="228">
        <v>0</v>
      </c>
      <c r="AQ64" s="231">
        <v>0</v>
      </c>
      <c r="AR64" s="231">
        <v>0</v>
      </c>
      <c r="AS64" s="231">
        <v>0</v>
      </c>
      <c r="AT64" s="231">
        <v>0</v>
      </c>
      <c r="AU64" s="323">
        <v>0</v>
      </c>
      <c r="AV64" s="231">
        <v>0</v>
      </c>
      <c r="AW64" s="231">
        <v>0</v>
      </c>
      <c r="AX64" s="231">
        <v>0</v>
      </c>
      <c r="AY64" s="231">
        <v>0</v>
      </c>
      <c r="AZ64" s="230">
        <v>0</v>
      </c>
      <c r="BA64" s="2" t="s">
        <v>1265</v>
      </c>
      <c r="BC64" s="2" t="s">
        <v>1432</v>
      </c>
      <c r="BF64" s="232"/>
    </row>
    <row r="65" spans="1:58" s="2" customFormat="1" ht="15" customHeight="1" x14ac:dyDescent="0.25">
      <c r="A65" s="2" t="s">
        <v>149</v>
      </c>
      <c r="B65" s="2" t="s">
        <v>9</v>
      </c>
      <c r="D65" s="358" t="s">
        <v>150</v>
      </c>
      <c r="E65" s="358" t="s">
        <v>151</v>
      </c>
      <c r="F65" s="319">
        <v>43010</v>
      </c>
      <c r="G65" s="319">
        <v>43371</v>
      </c>
      <c r="H65" s="358" t="s">
        <v>1027</v>
      </c>
      <c r="I65" s="367" t="s">
        <v>1048</v>
      </c>
      <c r="J65" s="2">
        <v>513405</v>
      </c>
      <c r="K65" s="2">
        <v>170033</v>
      </c>
      <c r="L65" s="293"/>
      <c r="M65" s="364">
        <v>0</v>
      </c>
      <c r="N65" s="364">
        <v>0</v>
      </c>
      <c r="O65" s="364">
        <v>1</v>
      </c>
      <c r="P65" s="364">
        <v>0</v>
      </c>
      <c r="Q65" s="364"/>
      <c r="R65" s="364"/>
      <c r="S65" s="364"/>
      <c r="T65" s="366">
        <v>1</v>
      </c>
      <c r="U65" s="364"/>
      <c r="V65" s="364">
        <v>0</v>
      </c>
      <c r="W65" s="364">
        <v>0</v>
      </c>
      <c r="X65" s="364">
        <v>1</v>
      </c>
      <c r="Y65" s="364">
        <v>6</v>
      </c>
      <c r="Z65" s="364"/>
      <c r="AA65" s="293"/>
      <c r="AB65" s="293"/>
      <c r="AC65" s="366">
        <v>7</v>
      </c>
      <c r="AD65" s="293"/>
      <c r="AE65" s="293">
        <f t="shared" si="9"/>
        <v>0</v>
      </c>
      <c r="AF65" s="293">
        <f t="shared" si="10"/>
        <v>0</v>
      </c>
      <c r="AG65" s="293">
        <f t="shared" si="11"/>
        <v>0</v>
      </c>
      <c r="AH65" s="293">
        <f t="shared" si="12"/>
        <v>6</v>
      </c>
      <c r="AI65" s="293">
        <f t="shared" si="13"/>
        <v>0</v>
      </c>
      <c r="AJ65" s="293">
        <f t="shared" si="14"/>
        <v>0</v>
      </c>
      <c r="AK65" s="293">
        <f t="shared" si="15"/>
        <v>0</v>
      </c>
      <c r="AL65" s="348">
        <f t="shared" si="16"/>
        <v>6</v>
      </c>
      <c r="AM65" s="369"/>
      <c r="AN65" s="322">
        <v>6</v>
      </c>
      <c r="AO65" s="231">
        <v>0</v>
      </c>
      <c r="AP65" s="228">
        <v>0</v>
      </c>
      <c r="AQ65" s="231">
        <v>0</v>
      </c>
      <c r="AR65" s="231">
        <v>0</v>
      </c>
      <c r="AS65" s="231">
        <v>0</v>
      </c>
      <c r="AT65" s="231">
        <v>0</v>
      </c>
      <c r="AU65" s="323">
        <v>0</v>
      </c>
      <c r="AV65" s="231">
        <v>0</v>
      </c>
      <c r="AW65" s="231">
        <v>0</v>
      </c>
      <c r="AX65" s="231">
        <v>0</v>
      </c>
      <c r="AY65" s="231">
        <v>0</v>
      </c>
      <c r="AZ65" s="230">
        <v>0</v>
      </c>
      <c r="BA65" s="2" t="s">
        <v>1229</v>
      </c>
      <c r="BF65" s="232"/>
    </row>
    <row r="66" spans="1:58" s="2" customFormat="1" ht="15" customHeight="1" x14ac:dyDescent="0.25">
      <c r="A66" s="2" t="s">
        <v>152</v>
      </c>
      <c r="B66" s="2" t="s">
        <v>22</v>
      </c>
      <c r="D66" s="358" t="s">
        <v>153</v>
      </c>
      <c r="E66" s="358" t="s">
        <v>154</v>
      </c>
      <c r="F66" s="319">
        <v>43040</v>
      </c>
      <c r="G66" s="319">
        <v>43344</v>
      </c>
      <c r="H66" s="358" t="s">
        <v>1027</v>
      </c>
      <c r="I66" s="367" t="s">
        <v>1048</v>
      </c>
      <c r="J66" s="2">
        <v>520568</v>
      </c>
      <c r="K66" s="2">
        <v>175399</v>
      </c>
      <c r="L66" s="293"/>
      <c r="M66" s="364">
        <v>0</v>
      </c>
      <c r="N66" s="364">
        <v>0</v>
      </c>
      <c r="O66" s="364">
        <v>0</v>
      </c>
      <c r="P66" s="364">
        <v>0</v>
      </c>
      <c r="Q66" s="364"/>
      <c r="R66" s="364"/>
      <c r="S66" s="364"/>
      <c r="T66" s="366">
        <v>0</v>
      </c>
      <c r="U66" s="364"/>
      <c r="V66" s="364">
        <v>2</v>
      </c>
      <c r="W66" s="364">
        <v>0</v>
      </c>
      <c r="X66" s="364">
        <v>0</v>
      </c>
      <c r="Y66" s="364">
        <v>0</v>
      </c>
      <c r="Z66" s="364"/>
      <c r="AA66" s="293"/>
      <c r="AB66" s="293"/>
      <c r="AC66" s="366">
        <v>2</v>
      </c>
      <c r="AD66" s="293"/>
      <c r="AE66" s="293">
        <f t="shared" si="9"/>
        <v>2</v>
      </c>
      <c r="AF66" s="293">
        <f t="shared" si="10"/>
        <v>0</v>
      </c>
      <c r="AG66" s="293">
        <f t="shared" si="11"/>
        <v>0</v>
      </c>
      <c r="AH66" s="293">
        <f t="shared" si="12"/>
        <v>0</v>
      </c>
      <c r="AI66" s="293">
        <f t="shared" si="13"/>
        <v>0</v>
      </c>
      <c r="AJ66" s="293">
        <f t="shared" si="14"/>
        <v>0</v>
      </c>
      <c r="AK66" s="293">
        <f t="shared" si="15"/>
        <v>0</v>
      </c>
      <c r="AL66" s="348">
        <f t="shared" si="16"/>
        <v>2</v>
      </c>
      <c r="AM66" s="369"/>
      <c r="AN66" s="322">
        <v>2</v>
      </c>
      <c r="AO66" s="231">
        <v>0</v>
      </c>
      <c r="AP66" s="228">
        <v>0</v>
      </c>
      <c r="AQ66" s="231">
        <v>0</v>
      </c>
      <c r="AR66" s="231">
        <v>0</v>
      </c>
      <c r="AS66" s="231">
        <v>0</v>
      </c>
      <c r="AT66" s="231">
        <v>0</v>
      </c>
      <c r="AU66" s="323">
        <v>0</v>
      </c>
      <c r="AV66" s="231">
        <v>0</v>
      </c>
      <c r="AW66" s="231">
        <v>0</v>
      </c>
      <c r="AX66" s="231">
        <v>0</v>
      </c>
      <c r="AY66" s="231">
        <v>0</v>
      </c>
      <c r="AZ66" s="230">
        <v>0</v>
      </c>
      <c r="BA66" s="2" t="s">
        <v>1212</v>
      </c>
      <c r="BD66" s="2" t="s">
        <v>1212</v>
      </c>
      <c r="BF66" s="232"/>
    </row>
    <row r="67" spans="1:58" s="2" customFormat="1" ht="15" customHeight="1" x14ac:dyDescent="0.25">
      <c r="A67" s="241" t="s">
        <v>885</v>
      </c>
      <c r="B67" s="2" t="s">
        <v>26</v>
      </c>
      <c r="D67" s="241" t="s">
        <v>886</v>
      </c>
      <c r="E67" s="241" t="s">
        <v>887</v>
      </c>
      <c r="F67" s="359"/>
      <c r="G67" s="318">
        <v>43192</v>
      </c>
      <c r="H67" s="358" t="s">
        <v>1027</v>
      </c>
      <c r="I67" s="367" t="s">
        <v>1048</v>
      </c>
      <c r="J67" s="2">
        <v>515150</v>
      </c>
      <c r="K67" s="2">
        <v>172741</v>
      </c>
      <c r="L67" s="293"/>
      <c r="M67" s="364">
        <v>1</v>
      </c>
      <c r="N67" s="364">
        <v>0</v>
      </c>
      <c r="O67" s="364">
        <v>0</v>
      </c>
      <c r="P67" s="364">
        <v>0</v>
      </c>
      <c r="Q67" s="364"/>
      <c r="R67" s="364"/>
      <c r="S67" s="364"/>
      <c r="T67" s="365">
        <v>1</v>
      </c>
      <c r="U67" s="364"/>
      <c r="V67" s="364">
        <v>0</v>
      </c>
      <c r="W67" s="364">
        <v>1</v>
      </c>
      <c r="X67" s="364">
        <v>0</v>
      </c>
      <c r="Y67" s="364">
        <v>0</v>
      </c>
      <c r="Z67" s="364"/>
      <c r="AA67" s="293"/>
      <c r="AB67" s="293"/>
      <c r="AC67" s="365">
        <v>1</v>
      </c>
      <c r="AD67" s="293"/>
      <c r="AE67" s="293">
        <f t="shared" ref="AE67:AE98" si="17">V67-M67</f>
        <v>-1</v>
      </c>
      <c r="AF67" s="293">
        <f t="shared" ref="AF67:AF98" si="18">W67-N67</f>
        <v>1</v>
      </c>
      <c r="AG67" s="293">
        <f t="shared" ref="AG67:AG98" si="19">X67-O67</f>
        <v>0</v>
      </c>
      <c r="AH67" s="293">
        <f t="shared" ref="AH67:AH98" si="20">Y67-P67</f>
        <v>0</v>
      </c>
      <c r="AI67" s="293">
        <f t="shared" ref="AI67:AI98" si="21">Z67-Q67</f>
        <v>0</v>
      </c>
      <c r="AJ67" s="293">
        <f t="shared" ref="AJ67:AJ98" si="22">AA67-R67</f>
        <v>0</v>
      </c>
      <c r="AK67" s="293">
        <f t="shared" ref="AK67:AK98" si="23">AB67-S67</f>
        <v>0</v>
      </c>
      <c r="AL67" s="348">
        <f t="shared" ref="AL67:AL98" si="24">AC67-T67</f>
        <v>0</v>
      </c>
      <c r="AM67" s="369"/>
      <c r="AN67" s="322">
        <v>0</v>
      </c>
      <c r="AO67" s="231">
        <v>0</v>
      </c>
      <c r="AP67" s="228">
        <v>0</v>
      </c>
      <c r="AQ67" s="231">
        <v>0</v>
      </c>
      <c r="AR67" s="231">
        <v>0</v>
      </c>
      <c r="AS67" s="231">
        <v>0</v>
      </c>
      <c r="AT67" s="231">
        <v>0</v>
      </c>
      <c r="AU67" s="242">
        <v>0</v>
      </c>
      <c r="AV67" s="231">
        <v>0</v>
      </c>
      <c r="AW67" s="231">
        <v>0</v>
      </c>
      <c r="AX67" s="231">
        <v>0</v>
      </c>
      <c r="AY67" s="231">
        <v>0</v>
      </c>
      <c r="AZ67" s="230">
        <v>0</v>
      </c>
      <c r="BA67" s="2" t="s">
        <v>1239</v>
      </c>
      <c r="BC67" s="2" t="s">
        <v>1431</v>
      </c>
      <c r="BF67" s="232"/>
    </row>
    <row r="68" spans="1:58" s="2" customFormat="1" ht="15" customHeight="1" x14ac:dyDescent="0.25">
      <c r="A68" s="241" t="s">
        <v>525</v>
      </c>
      <c r="B68" s="2" t="s">
        <v>5</v>
      </c>
      <c r="D68" s="241" t="s">
        <v>526</v>
      </c>
      <c r="E68" s="241" t="s">
        <v>527</v>
      </c>
      <c r="F68" s="371">
        <v>42856</v>
      </c>
      <c r="G68" s="318">
        <v>43497</v>
      </c>
      <c r="H68" s="358" t="s">
        <v>1027</v>
      </c>
      <c r="I68" s="367" t="s">
        <v>1048</v>
      </c>
      <c r="J68" s="2">
        <v>518019</v>
      </c>
      <c r="K68" s="2">
        <v>174650</v>
      </c>
      <c r="L68" s="293"/>
      <c r="M68" s="364">
        <v>4</v>
      </c>
      <c r="N68" s="364">
        <v>0</v>
      </c>
      <c r="O68" s="364">
        <v>0</v>
      </c>
      <c r="P68" s="364">
        <v>0</v>
      </c>
      <c r="Q68" s="364"/>
      <c r="R68" s="364"/>
      <c r="S68" s="364"/>
      <c r="T68" s="365">
        <v>4</v>
      </c>
      <c r="U68" s="364"/>
      <c r="V68" s="364">
        <v>0</v>
      </c>
      <c r="W68" s="364">
        <v>0</v>
      </c>
      <c r="X68" s="364">
        <v>1</v>
      </c>
      <c r="Y68" s="364">
        <v>0</v>
      </c>
      <c r="Z68" s="364"/>
      <c r="AA68" s="293"/>
      <c r="AB68" s="293"/>
      <c r="AC68" s="365">
        <v>1</v>
      </c>
      <c r="AD68" s="293"/>
      <c r="AE68" s="293">
        <f t="shared" si="17"/>
        <v>-4</v>
      </c>
      <c r="AF68" s="293">
        <f t="shared" si="18"/>
        <v>0</v>
      </c>
      <c r="AG68" s="293">
        <f t="shared" si="19"/>
        <v>1</v>
      </c>
      <c r="AH68" s="293">
        <f t="shared" si="20"/>
        <v>0</v>
      </c>
      <c r="AI68" s="293">
        <f t="shared" si="21"/>
        <v>0</v>
      </c>
      <c r="AJ68" s="293">
        <f t="shared" si="22"/>
        <v>0</v>
      </c>
      <c r="AK68" s="293">
        <f t="shared" si="23"/>
        <v>0</v>
      </c>
      <c r="AL68" s="348">
        <f t="shared" si="24"/>
        <v>-3</v>
      </c>
      <c r="AM68" s="369"/>
      <c r="AN68" s="322">
        <v>-3</v>
      </c>
      <c r="AO68" s="231">
        <v>0</v>
      </c>
      <c r="AP68" s="228">
        <v>0</v>
      </c>
      <c r="AQ68" s="231">
        <v>0</v>
      </c>
      <c r="AR68" s="231">
        <v>0</v>
      </c>
      <c r="AS68" s="231">
        <v>0</v>
      </c>
      <c r="AT68" s="231">
        <v>0</v>
      </c>
      <c r="AU68" s="323">
        <v>0</v>
      </c>
      <c r="AV68" s="231">
        <v>0</v>
      </c>
      <c r="AW68" s="231">
        <v>0</v>
      </c>
      <c r="AX68" s="231">
        <v>0</v>
      </c>
      <c r="AY68" s="231">
        <v>0</v>
      </c>
      <c r="AZ68" s="230">
        <v>0</v>
      </c>
      <c r="BA68" s="2" t="s">
        <v>1235</v>
      </c>
      <c r="BF68" s="232"/>
    </row>
    <row r="69" spans="1:58" s="2" customFormat="1" ht="15" customHeight="1" x14ac:dyDescent="0.25">
      <c r="A69" s="2" t="s">
        <v>155</v>
      </c>
      <c r="B69" s="2" t="s">
        <v>26</v>
      </c>
      <c r="D69" s="358" t="s">
        <v>156</v>
      </c>
      <c r="E69" s="358" t="s">
        <v>1052</v>
      </c>
      <c r="F69" s="370"/>
      <c r="G69" s="319">
        <v>43434</v>
      </c>
      <c r="H69" s="358" t="s">
        <v>1027</v>
      </c>
      <c r="I69" s="367" t="s">
        <v>1048</v>
      </c>
      <c r="J69" s="2">
        <v>517850</v>
      </c>
      <c r="K69" s="2">
        <v>174885</v>
      </c>
      <c r="L69" s="293"/>
      <c r="M69" s="364">
        <v>0</v>
      </c>
      <c r="N69" s="364">
        <v>0</v>
      </c>
      <c r="O69" s="364">
        <v>0</v>
      </c>
      <c r="P69" s="364">
        <v>0</v>
      </c>
      <c r="Q69" s="364"/>
      <c r="R69" s="364"/>
      <c r="S69" s="364"/>
      <c r="T69" s="366">
        <v>0</v>
      </c>
      <c r="U69" s="364"/>
      <c r="V69" s="364">
        <v>2</v>
      </c>
      <c r="W69" s="364">
        <v>1</v>
      </c>
      <c r="X69" s="364">
        <v>0</v>
      </c>
      <c r="Y69" s="364">
        <v>0</v>
      </c>
      <c r="Z69" s="364"/>
      <c r="AA69" s="293"/>
      <c r="AB69" s="293"/>
      <c r="AC69" s="366">
        <v>3</v>
      </c>
      <c r="AD69" s="293"/>
      <c r="AE69" s="293">
        <f t="shared" si="17"/>
        <v>2</v>
      </c>
      <c r="AF69" s="293">
        <f t="shared" si="18"/>
        <v>1</v>
      </c>
      <c r="AG69" s="293">
        <f t="shared" si="19"/>
        <v>0</v>
      </c>
      <c r="AH69" s="293">
        <f t="shared" si="20"/>
        <v>0</v>
      </c>
      <c r="AI69" s="293">
        <f t="shared" si="21"/>
        <v>0</v>
      </c>
      <c r="AJ69" s="293">
        <f t="shared" si="22"/>
        <v>0</v>
      </c>
      <c r="AK69" s="293">
        <f t="shared" si="23"/>
        <v>0</v>
      </c>
      <c r="AL69" s="348">
        <f t="shared" si="24"/>
        <v>3</v>
      </c>
      <c r="AM69" s="369"/>
      <c r="AN69" s="322">
        <v>3</v>
      </c>
      <c r="AO69" s="231">
        <v>0</v>
      </c>
      <c r="AP69" s="228">
        <v>0</v>
      </c>
      <c r="AQ69" s="231">
        <v>0</v>
      </c>
      <c r="AR69" s="231">
        <v>0</v>
      </c>
      <c r="AS69" s="231">
        <v>0</v>
      </c>
      <c r="AT69" s="231">
        <v>0</v>
      </c>
      <c r="AU69" s="323">
        <v>0</v>
      </c>
      <c r="AV69" s="231">
        <v>0</v>
      </c>
      <c r="AW69" s="231">
        <v>0</v>
      </c>
      <c r="AX69" s="231">
        <v>0</v>
      </c>
      <c r="AY69" s="231">
        <v>0</v>
      </c>
      <c r="AZ69" s="230">
        <v>0</v>
      </c>
      <c r="BA69" s="2" t="s">
        <v>1235</v>
      </c>
      <c r="BD69" s="2" t="s">
        <v>1213</v>
      </c>
      <c r="BF69" s="232"/>
    </row>
    <row r="70" spans="1:58" s="2" customFormat="1" ht="15" customHeight="1" x14ac:dyDescent="0.25">
      <c r="A70" s="2" t="s">
        <v>157</v>
      </c>
      <c r="B70" s="2" t="s">
        <v>9</v>
      </c>
      <c r="D70" s="358" t="s">
        <v>158</v>
      </c>
      <c r="E70" s="358" t="s">
        <v>159</v>
      </c>
      <c r="F70" s="319">
        <v>42979</v>
      </c>
      <c r="G70" s="319">
        <v>43427</v>
      </c>
      <c r="H70" s="358" t="s">
        <v>1027</v>
      </c>
      <c r="I70" s="367" t="s">
        <v>1048</v>
      </c>
      <c r="J70" s="2">
        <v>518841</v>
      </c>
      <c r="K70" s="2">
        <v>174738</v>
      </c>
      <c r="L70" s="293"/>
      <c r="M70" s="364">
        <v>0</v>
      </c>
      <c r="N70" s="364">
        <v>0</v>
      </c>
      <c r="O70" s="364">
        <v>0</v>
      </c>
      <c r="P70" s="364">
        <v>1</v>
      </c>
      <c r="Q70" s="364"/>
      <c r="R70" s="364"/>
      <c r="S70" s="364"/>
      <c r="T70" s="366">
        <v>1</v>
      </c>
      <c r="U70" s="364"/>
      <c r="V70" s="364">
        <v>0</v>
      </c>
      <c r="W70" s="364">
        <v>0</v>
      </c>
      <c r="X70" s="364">
        <v>0</v>
      </c>
      <c r="Y70" s="364">
        <v>1</v>
      </c>
      <c r="Z70" s="364"/>
      <c r="AA70" s="293"/>
      <c r="AB70" s="293"/>
      <c r="AC70" s="366">
        <v>1</v>
      </c>
      <c r="AD70" s="293"/>
      <c r="AE70" s="293">
        <f t="shared" si="17"/>
        <v>0</v>
      </c>
      <c r="AF70" s="293">
        <f t="shared" si="18"/>
        <v>0</v>
      </c>
      <c r="AG70" s="293">
        <f t="shared" si="19"/>
        <v>0</v>
      </c>
      <c r="AH70" s="293">
        <f t="shared" si="20"/>
        <v>0</v>
      </c>
      <c r="AI70" s="293">
        <f t="shared" si="21"/>
        <v>0</v>
      </c>
      <c r="AJ70" s="293">
        <f t="shared" si="22"/>
        <v>0</v>
      </c>
      <c r="AK70" s="293">
        <f t="shared" si="23"/>
        <v>0</v>
      </c>
      <c r="AL70" s="348">
        <f t="shared" si="24"/>
        <v>0</v>
      </c>
      <c r="AM70" s="369"/>
      <c r="AN70" s="322">
        <v>0</v>
      </c>
      <c r="AO70" s="231">
        <v>0</v>
      </c>
      <c r="AP70" s="228">
        <v>0</v>
      </c>
      <c r="AQ70" s="231">
        <v>0</v>
      </c>
      <c r="AR70" s="231">
        <v>0</v>
      </c>
      <c r="AS70" s="231">
        <v>0</v>
      </c>
      <c r="AT70" s="231">
        <v>0</v>
      </c>
      <c r="AU70" s="323">
        <v>0</v>
      </c>
      <c r="AV70" s="231">
        <v>0</v>
      </c>
      <c r="AW70" s="231">
        <v>0</v>
      </c>
      <c r="AX70" s="231">
        <v>0</v>
      </c>
      <c r="AY70" s="231">
        <v>0</v>
      </c>
      <c r="AZ70" s="230">
        <v>0</v>
      </c>
      <c r="BA70" s="2" t="s">
        <v>1235</v>
      </c>
      <c r="BF70" s="232"/>
    </row>
    <row r="71" spans="1:58" s="2" customFormat="1" ht="15" customHeight="1" x14ac:dyDescent="0.25">
      <c r="A71" s="2" t="s">
        <v>160</v>
      </c>
      <c r="B71" s="2" t="s">
        <v>9</v>
      </c>
      <c r="D71" s="358" t="s">
        <v>161</v>
      </c>
      <c r="E71" s="358" t="s">
        <v>162</v>
      </c>
      <c r="F71" s="370"/>
      <c r="G71" s="319">
        <v>43343</v>
      </c>
      <c r="H71" s="358" t="s">
        <v>1027</v>
      </c>
      <c r="I71" s="367" t="s">
        <v>1048</v>
      </c>
      <c r="J71" s="2">
        <v>513648</v>
      </c>
      <c r="K71" s="2">
        <v>169737</v>
      </c>
      <c r="L71" s="293"/>
      <c r="M71" s="364">
        <v>0</v>
      </c>
      <c r="N71" s="364">
        <v>0</v>
      </c>
      <c r="O71" s="364">
        <v>0</v>
      </c>
      <c r="P71" s="364">
        <v>0</v>
      </c>
      <c r="Q71" s="364"/>
      <c r="R71" s="364"/>
      <c r="S71" s="364"/>
      <c r="T71" s="366">
        <v>0</v>
      </c>
      <c r="U71" s="364"/>
      <c r="V71" s="364">
        <v>0</v>
      </c>
      <c r="W71" s="364">
        <v>1</v>
      </c>
      <c r="X71" s="364">
        <v>0</v>
      </c>
      <c r="Y71" s="364">
        <v>0</v>
      </c>
      <c r="Z71" s="364"/>
      <c r="AA71" s="293"/>
      <c r="AB71" s="293"/>
      <c r="AC71" s="366">
        <v>1</v>
      </c>
      <c r="AD71" s="293"/>
      <c r="AE71" s="293">
        <f t="shared" si="17"/>
        <v>0</v>
      </c>
      <c r="AF71" s="293">
        <f t="shared" si="18"/>
        <v>1</v>
      </c>
      <c r="AG71" s="293">
        <f t="shared" si="19"/>
        <v>0</v>
      </c>
      <c r="AH71" s="293">
        <f t="shared" si="20"/>
        <v>0</v>
      </c>
      <c r="AI71" s="293">
        <f t="shared" si="21"/>
        <v>0</v>
      </c>
      <c r="AJ71" s="293">
        <f t="shared" si="22"/>
        <v>0</v>
      </c>
      <c r="AK71" s="293">
        <f t="shared" si="23"/>
        <v>0</v>
      </c>
      <c r="AL71" s="348">
        <f t="shared" si="24"/>
        <v>1</v>
      </c>
      <c r="AM71" s="369"/>
      <c r="AN71" s="322">
        <v>1</v>
      </c>
      <c r="AO71" s="231">
        <v>0</v>
      </c>
      <c r="AP71" s="228">
        <v>0</v>
      </c>
      <c r="AQ71" s="231">
        <v>0</v>
      </c>
      <c r="AR71" s="231">
        <v>0</v>
      </c>
      <c r="AS71" s="231">
        <v>0</v>
      </c>
      <c r="AT71" s="231">
        <v>0</v>
      </c>
      <c r="AU71" s="323">
        <v>0</v>
      </c>
      <c r="AV71" s="231">
        <v>0</v>
      </c>
      <c r="AW71" s="231">
        <v>0</v>
      </c>
      <c r="AX71" s="231">
        <v>0</v>
      </c>
      <c r="AY71" s="231">
        <v>0</v>
      </c>
      <c r="AZ71" s="230">
        <v>0</v>
      </c>
      <c r="BA71" s="2" t="s">
        <v>1229</v>
      </c>
      <c r="BC71" s="2" t="s">
        <v>1436</v>
      </c>
      <c r="BF71" s="232"/>
    </row>
    <row r="72" spans="1:58" s="2" customFormat="1" ht="15" customHeight="1" x14ac:dyDescent="0.25">
      <c r="A72" s="241" t="s">
        <v>319</v>
      </c>
      <c r="B72" s="2" t="s">
        <v>9</v>
      </c>
      <c r="D72" s="241" t="s">
        <v>320</v>
      </c>
      <c r="E72" s="241" t="s">
        <v>321</v>
      </c>
      <c r="F72" s="371">
        <v>43160</v>
      </c>
      <c r="G72" s="318">
        <v>43435</v>
      </c>
      <c r="H72" s="358" t="s">
        <v>1027</v>
      </c>
      <c r="I72" s="367" t="s">
        <v>1048</v>
      </c>
      <c r="J72" s="2">
        <v>521327</v>
      </c>
      <c r="K72" s="2">
        <v>176153</v>
      </c>
      <c r="L72" s="293"/>
      <c r="M72" s="364">
        <v>0</v>
      </c>
      <c r="N72" s="364">
        <v>0</v>
      </c>
      <c r="O72" s="364">
        <v>0</v>
      </c>
      <c r="P72" s="364">
        <v>0</v>
      </c>
      <c r="Q72" s="364"/>
      <c r="R72" s="372">
        <v>1</v>
      </c>
      <c r="S72" s="364"/>
      <c r="T72" s="365">
        <v>1</v>
      </c>
      <c r="U72" s="364"/>
      <c r="V72" s="364">
        <v>0</v>
      </c>
      <c r="W72" s="364">
        <v>0</v>
      </c>
      <c r="X72" s="364">
        <v>0</v>
      </c>
      <c r="Y72" s="364">
        <v>0</v>
      </c>
      <c r="Z72" s="372">
        <v>1</v>
      </c>
      <c r="AA72" s="293"/>
      <c r="AB72" s="293"/>
      <c r="AC72" s="365">
        <v>1</v>
      </c>
      <c r="AD72" s="293"/>
      <c r="AE72" s="293">
        <f t="shared" si="17"/>
        <v>0</v>
      </c>
      <c r="AF72" s="293">
        <f t="shared" si="18"/>
        <v>0</v>
      </c>
      <c r="AG72" s="293">
        <f t="shared" si="19"/>
        <v>0</v>
      </c>
      <c r="AH72" s="293">
        <f t="shared" si="20"/>
        <v>0</v>
      </c>
      <c r="AI72" s="293">
        <f t="shared" si="21"/>
        <v>1</v>
      </c>
      <c r="AJ72" s="293">
        <f t="shared" si="22"/>
        <v>-1</v>
      </c>
      <c r="AK72" s="293">
        <f t="shared" si="23"/>
        <v>0</v>
      </c>
      <c r="AL72" s="348">
        <f t="shared" si="24"/>
        <v>0</v>
      </c>
      <c r="AM72" s="369"/>
      <c r="AN72" s="322">
        <v>0</v>
      </c>
      <c r="AO72" s="231">
        <v>0</v>
      </c>
      <c r="AP72" s="228">
        <v>0</v>
      </c>
      <c r="AQ72" s="231">
        <v>0</v>
      </c>
      <c r="AR72" s="231">
        <v>0</v>
      </c>
      <c r="AS72" s="231">
        <v>0</v>
      </c>
      <c r="AT72" s="231">
        <v>0</v>
      </c>
      <c r="AU72" s="323">
        <v>0</v>
      </c>
      <c r="AV72" s="231">
        <v>0</v>
      </c>
      <c r="AW72" s="231">
        <v>0</v>
      </c>
      <c r="AX72" s="231">
        <v>0</v>
      </c>
      <c r="AY72" s="231">
        <v>0</v>
      </c>
      <c r="AZ72" s="230">
        <v>0</v>
      </c>
      <c r="BA72" s="2" t="s">
        <v>1267</v>
      </c>
      <c r="BE72" s="2" t="s">
        <v>1214</v>
      </c>
      <c r="BF72" s="232"/>
    </row>
    <row r="73" spans="1:58" s="2" customFormat="1" ht="15" customHeight="1" x14ac:dyDescent="0.25">
      <c r="A73" s="2" t="s">
        <v>163</v>
      </c>
      <c r="B73" s="2" t="s">
        <v>5</v>
      </c>
      <c r="D73" s="358" t="s">
        <v>164</v>
      </c>
      <c r="E73" s="358" t="s">
        <v>165</v>
      </c>
      <c r="F73" s="370"/>
      <c r="G73" s="319">
        <v>43411</v>
      </c>
      <c r="H73" s="358" t="s">
        <v>1027</v>
      </c>
      <c r="I73" s="367" t="s">
        <v>1048</v>
      </c>
      <c r="J73" s="2">
        <v>517154</v>
      </c>
      <c r="K73" s="2">
        <v>172520</v>
      </c>
      <c r="L73" s="293"/>
      <c r="M73" s="364">
        <v>0</v>
      </c>
      <c r="N73" s="364">
        <v>0</v>
      </c>
      <c r="O73" s="364">
        <v>1</v>
      </c>
      <c r="P73" s="364">
        <v>0</v>
      </c>
      <c r="Q73" s="364"/>
      <c r="R73" s="364"/>
      <c r="S73" s="364"/>
      <c r="T73" s="366">
        <v>1</v>
      </c>
      <c r="U73" s="364"/>
      <c r="V73" s="364">
        <v>1</v>
      </c>
      <c r="W73" s="364">
        <v>1</v>
      </c>
      <c r="X73" s="364">
        <v>0</v>
      </c>
      <c r="Y73" s="364">
        <v>0</v>
      </c>
      <c r="Z73" s="364"/>
      <c r="AA73" s="293"/>
      <c r="AB73" s="293"/>
      <c r="AC73" s="366">
        <v>2</v>
      </c>
      <c r="AD73" s="293"/>
      <c r="AE73" s="293">
        <f t="shared" si="17"/>
        <v>1</v>
      </c>
      <c r="AF73" s="293">
        <f t="shared" si="18"/>
        <v>1</v>
      </c>
      <c r="AG73" s="293">
        <f t="shared" si="19"/>
        <v>-1</v>
      </c>
      <c r="AH73" s="293">
        <f t="shared" si="20"/>
        <v>0</v>
      </c>
      <c r="AI73" s="293">
        <f t="shared" si="21"/>
        <v>0</v>
      </c>
      <c r="AJ73" s="293">
        <f t="shared" si="22"/>
        <v>0</v>
      </c>
      <c r="AK73" s="293">
        <f t="shared" si="23"/>
        <v>0</v>
      </c>
      <c r="AL73" s="348">
        <f t="shared" si="24"/>
        <v>1</v>
      </c>
      <c r="AM73" s="369"/>
      <c r="AN73" s="322">
        <v>1</v>
      </c>
      <c r="AO73" s="231">
        <v>0</v>
      </c>
      <c r="AP73" s="228">
        <v>0</v>
      </c>
      <c r="AQ73" s="231">
        <v>0</v>
      </c>
      <c r="AR73" s="231">
        <v>0</v>
      </c>
      <c r="AS73" s="231">
        <v>0</v>
      </c>
      <c r="AT73" s="231">
        <v>0</v>
      </c>
      <c r="AU73" s="323">
        <v>0</v>
      </c>
      <c r="AV73" s="231">
        <v>0</v>
      </c>
      <c r="AW73" s="231">
        <v>0</v>
      </c>
      <c r="AX73" s="231">
        <v>0</v>
      </c>
      <c r="AY73" s="231">
        <v>0</v>
      </c>
      <c r="AZ73" s="230">
        <v>0</v>
      </c>
      <c r="BA73" s="2" t="s">
        <v>1443</v>
      </c>
      <c r="BF73" s="232"/>
    </row>
    <row r="74" spans="1:58" s="2" customFormat="1" ht="15" customHeight="1" x14ac:dyDescent="0.25">
      <c r="A74" s="241" t="s">
        <v>577</v>
      </c>
      <c r="B74" s="2" t="s">
        <v>26</v>
      </c>
      <c r="D74" s="241" t="s">
        <v>578</v>
      </c>
      <c r="E74" s="241" t="s">
        <v>579</v>
      </c>
      <c r="F74" s="359"/>
      <c r="G74" s="318">
        <v>43525</v>
      </c>
      <c r="H74" s="358" t="s">
        <v>1027</v>
      </c>
      <c r="I74" s="367" t="s">
        <v>1048</v>
      </c>
      <c r="J74" s="2">
        <v>517463</v>
      </c>
      <c r="K74" s="2">
        <v>169661</v>
      </c>
      <c r="L74" s="293"/>
      <c r="M74" s="364">
        <v>0</v>
      </c>
      <c r="N74" s="364">
        <v>0</v>
      </c>
      <c r="O74" s="364">
        <v>0</v>
      </c>
      <c r="P74" s="364">
        <v>0</v>
      </c>
      <c r="Q74" s="364">
        <v>1</v>
      </c>
      <c r="R74" s="364"/>
      <c r="S74" s="364"/>
      <c r="T74" s="365">
        <v>1</v>
      </c>
      <c r="U74" s="364"/>
      <c r="V74" s="364">
        <v>2</v>
      </c>
      <c r="W74" s="364">
        <v>2</v>
      </c>
      <c r="X74" s="364">
        <v>0</v>
      </c>
      <c r="Y74" s="364">
        <v>0</v>
      </c>
      <c r="Z74" s="364"/>
      <c r="AA74" s="293"/>
      <c r="AB74" s="293"/>
      <c r="AC74" s="366">
        <v>4</v>
      </c>
      <c r="AD74" s="293"/>
      <c r="AE74" s="293">
        <f t="shared" si="17"/>
        <v>2</v>
      </c>
      <c r="AF74" s="293">
        <f t="shared" si="18"/>
        <v>2</v>
      </c>
      <c r="AG74" s="293">
        <f t="shared" si="19"/>
        <v>0</v>
      </c>
      <c r="AH74" s="293">
        <f t="shared" si="20"/>
        <v>0</v>
      </c>
      <c r="AI74" s="293">
        <f t="shared" si="21"/>
        <v>-1</v>
      </c>
      <c r="AJ74" s="293">
        <f t="shared" si="22"/>
        <v>0</v>
      </c>
      <c r="AK74" s="293">
        <f t="shared" si="23"/>
        <v>0</v>
      </c>
      <c r="AL74" s="348">
        <f t="shared" si="24"/>
        <v>3</v>
      </c>
      <c r="AM74" s="369"/>
      <c r="AN74" s="322">
        <v>3</v>
      </c>
      <c r="AO74" s="231">
        <v>0</v>
      </c>
      <c r="AP74" s="228">
        <v>0</v>
      </c>
      <c r="AQ74" s="231">
        <v>0</v>
      </c>
      <c r="AR74" s="231">
        <v>0</v>
      </c>
      <c r="AS74" s="231">
        <v>0</v>
      </c>
      <c r="AT74" s="231">
        <v>0</v>
      </c>
      <c r="AU74" s="323">
        <v>0</v>
      </c>
      <c r="AV74" s="231">
        <v>0</v>
      </c>
      <c r="AW74" s="231">
        <v>0</v>
      </c>
      <c r="AX74" s="231">
        <v>0</v>
      </c>
      <c r="AY74" s="231">
        <v>0</v>
      </c>
      <c r="AZ74" s="230">
        <v>0</v>
      </c>
      <c r="BA74" s="2" t="s">
        <v>1230</v>
      </c>
      <c r="BC74" s="2" t="s">
        <v>1230</v>
      </c>
      <c r="BF74" s="232"/>
    </row>
    <row r="75" spans="1:58" s="2" customFormat="1" ht="15" customHeight="1" x14ac:dyDescent="0.25">
      <c r="A75" s="2" t="s">
        <v>166</v>
      </c>
      <c r="B75" s="2" t="s">
        <v>5</v>
      </c>
      <c r="D75" s="358" t="s">
        <v>167</v>
      </c>
      <c r="E75" s="358" t="s">
        <v>168</v>
      </c>
      <c r="F75" s="370"/>
      <c r="G75" s="319">
        <v>43295</v>
      </c>
      <c r="H75" s="358" t="s">
        <v>1027</v>
      </c>
      <c r="I75" s="367" t="s">
        <v>1048</v>
      </c>
      <c r="J75" s="2">
        <v>520691</v>
      </c>
      <c r="K75" s="2">
        <v>175442</v>
      </c>
      <c r="L75" s="293"/>
      <c r="M75" s="364">
        <v>0</v>
      </c>
      <c r="N75" s="364">
        <v>1</v>
      </c>
      <c r="O75" s="364">
        <v>0</v>
      </c>
      <c r="P75" s="364">
        <v>0</v>
      </c>
      <c r="Q75" s="364"/>
      <c r="R75" s="364"/>
      <c r="S75" s="364"/>
      <c r="T75" s="366">
        <v>1</v>
      </c>
      <c r="U75" s="364"/>
      <c r="V75" s="364">
        <v>1</v>
      </c>
      <c r="W75" s="364">
        <v>2</v>
      </c>
      <c r="X75" s="364">
        <v>0</v>
      </c>
      <c r="Y75" s="364">
        <v>0</v>
      </c>
      <c r="Z75" s="364"/>
      <c r="AA75" s="293"/>
      <c r="AB75" s="293"/>
      <c r="AC75" s="366">
        <v>3</v>
      </c>
      <c r="AD75" s="293"/>
      <c r="AE75" s="293">
        <f t="shared" si="17"/>
        <v>1</v>
      </c>
      <c r="AF75" s="293">
        <f t="shared" si="18"/>
        <v>1</v>
      </c>
      <c r="AG75" s="293">
        <f t="shared" si="19"/>
        <v>0</v>
      </c>
      <c r="AH75" s="293">
        <f t="shared" si="20"/>
        <v>0</v>
      </c>
      <c r="AI75" s="293">
        <f t="shared" si="21"/>
        <v>0</v>
      </c>
      <c r="AJ75" s="293">
        <f t="shared" si="22"/>
        <v>0</v>
      </c>
      <c r="AK75" s="293">
        <f t="shared" si="23"/>
        <v>0</v>
      </c>
      <c r="AL75" s="348">
        <f t="shared" si="24"/>
        <v>2</v>
      </c>
      <c r="AM75" s="369"/>
      <c r="AN75" s="322">
        <v>2</v>
      </c>
      <c r="AO75" s="231">
        <v>0</v>
      </c>
      <c r="AP75" s="228">
        <v>0</v>
      </c>
      <c r="AQ75" s="231">
        <v>0</v>
      </c>
      <c r="AR75" s="231">
        <v>0</v>
      </c>
      <c r="AS75" s="231">
        <v>0</v>
      </c>
      <c r="AT75" s="231">
        <v>0</v>
      </c>
      <c r="AU75" s="323">
        <v>0</v>
      </c>
      <c r="AV75" s="231">
        <v>0</v>
      </c>
      <c r="AW75" s="231">
        <v>0</v>
      </c>
      <c r="AX75" s="231">
        <v>0</v>
      </c>
      <c r="AY75" s="231">
        <v>0</v>
      </c>
      <c r="AZ75" s="230">
        <v>0</v>
      </c>
      <c r="BA75" s="2" t="s">
        <v>1212</v>
      </c>
      <c r="BD75" s="2" t="s">
        <v>1212</v>
      </c>
      <c r="BF75" s="232"/>
    </row>
    <row r="76" spans="1:58" s="2" customFormat="1" ht="15" customHeight="1" x14ac:dyDescent="0.25">
      <c r="A76" s="2" t="s">
        <v>169</v>
      </c>
      <c r="B76" s="2" t="s">
        <v>9</v>
      </c>
      <c r="D76" s="358" t="s">
        <v>170</v>
      </c>
      <c r="E76" s="358" t="s">
        <v>171</v>
      </c>
      <c r="F76" s="319">
        <v>42870</v>
      </c>
      <c r="G76" s="319">
        <v>43283</v>
      </c>
      <c r="H76" s="358" t="s">
        <v>1027</v>
      </c>
      <c r="I76" s="367" t="s">
        <v>1048</v>
      </c>
      <c r="J76" s="2">
        <v>522330</v>
      </c>
      <c r="K76" s="2">
        <v>177038</v>
      </c>
      <c r="L76" s="293"/>
      <c r="M76" s="364">
        <v>0</v>
      </c>
      <c r="N76" s="364">
        <v>2</v>
      </c>
      <c r="O76" s="364">
        <v>0</v>
      </c>
      <c r="P76" s="364">
        <v>0</v>
      </c>
      <c r="Q76" s="364"/>
      <c r="R76" s="364"/>
      <c r="S76" s="364"/>
      <c r="T76" s="366">
        <v>2</v>
      </c>
      <c r="U76" s="364"/>
      <c r="V76" s="364">
        <v>0</v>
      </c>
      <c r="W76" s="364">
        <v>0</v>
      </c>
      <c r="X76" s="364">
        <v>0</v>
      </c>
      <c r="Y76" s="364">
        <v>1</v>
      </c>
      <c r="Z76" s="364"/>
      <c r="AA76" s="293"/>
      <c r="AB76" s="293"/>
      <c r="AC76" s="366">
        <v>1</v>
      </c>
      <c r="AD76" s="293"/>
      <c r="AE76" s="293">
        <f t="shared" si="17"/>
        <v>0</v>
      </c>
      <c r="AF76" s="293">
        <f t="shared" si="18"/>
        <v>-2</v>
      </c>
      <c r="AG76" s="293">
        <f t="shared" si="19"/>
        <v>0</v>
      </c>
      <c r="AH76" s="293">
        <f t="shared" si="20"/>
        <v>1</v>
      </c>
      <c r="AI76" s="293">
        <f t="shared" si="21"/>
        <v>0</v>
      </c>
      <c r="AJ76" s="293">
        <f t="shared" si="22"/>
        <v>0</v>
      </c>
      <c r="AK76" s="293">
        <f t="shared" si="23"/>
        <v>0</v>
      </c>
      <c r="AL76" s="348">
        <f t="shared" si="24"/>
        <v>-1</v>
      </c>
      <c r="AM76" s="369"/>
      <c r="AN76" s="322">
        <v>-1</v>
      </c>
      <c r="AO76" s="231">
        <v>0</v>
      </c>
      <c r="AP76" s="228">
        <v>0</v>
      </c>
      <c r="AQ76" s="231">
        <v>0</v>
      </c>
      <c r="AR76" s="231">
        <v>0</v>
      </c>
      <c r="AS76" s="231">
        <v>0</v>
      </c>
      <c r="AT76" s="231">
        <v>0</v>
      </c>
      <c r="AU76" s="323">
        <v>0</v>
      </c>
      <c r="AV76" s="231">
        <v>0</v>
      </c>
      <c r="AW76" s="231">
        <v>0</v>
      </c>
      <c r="AX76" s="231">
        <v>0</v>
      </c>
      <c r="AY76" s="231">
        <v>0</v>
      </c>
      <c r="AZ76" s="230">
        <v>0</v>
      </c>
      <c r="BA76" s="2" t="s">
        <v>1225</v>
      </c>
      <c r="BF76" s="232"/>
    </row>
    <row r="77" spans="1:58" s="2" customFormat="1" ht="15" customHeight="1" x14ac:dyDescent="0.25">
      <c r="A77" s="2" t="s">
        <v>172</v>
      </c>
      <c r="B77" s="2" t="s">
        <v>26</v>
      </c>
      <c r="D77" s="358" t="s">
        <v>173</v>
      </c>
      <c r="E77" s="358" t="s">
        <v>174</v>
      </c>
      <c r="F77" s="370"/>
      <c r="G77" s="319">
        <v>43208</v>
      </c>
      <c r="H77" s="358" t="s">
        <v>1027</v>
      </c>
      <c r="I77" s="367" t="s">
        <v>1048</v>
      </c>
      <c r="J77" s="2">
        <v>517929</v>
      </c>
      <c r="K77" s="2">
        <v>174954</v>
      </c>
      <c r="L77" s="293"/>
      <c r="M77" s="364">
        <v>0</v>
      </c>
      <c r="N77" s="364">
        <v>0</v>
      </c>
      <c r="O77" s="364">
        <v>0</v>
      </c>
      <c r="P77" s="364">
        <v>0</v>
      </c>
      <c r="Q77" s="364"/>
      <c r="R77" s="364"/>
      <c r="S77" s="364"/>
      <c r="T77" s="366">
        <v>0</v>
      </c>
      <c r="U77" s="364">
        <v>1</v>
      </c>
      <c r="V77" s="364">
        <v>0</v>
      </c>
      <c r="W77" s="364">
        <v>1</v>
      </c>
      <c r="X77" s="364">
        <v>0</v>
      </c>
      <c r="Y77" s="364">
        <v>0</v>
      </c>
      <c r="Z77" s="364"/>
      <c r="AA77" s="293"/>
      <c r="AB77" s="293"/>
      <c r="AC77" s="366">
        <v>2</v>
      </c>
      <c r="AD77" s="293">
        <f>U77-L77</f>
        <v>1</v>
      </c>
      <c r="AE77" s="293">
        <f t="shared" si="17"/>
        <v>0</v>
      </c>
      <c r="AF77" s="293">
        <f t="shared" si="18"/>
        <v>1</v>
      </c>
      <c r="AG77" s="293">
        <f t="shared" si="19"/>
        <v>0</v>
      </c>
      <c r="AH77" s="293">
        <f t="shared" si="20"/>
        <v>0</v>
      </c>
      <c r="AI77" s="293">
        <f t="shared" si="21"/>
        <v>0</v>
      </c>
      <c r="AJ77" s="293">
        <f t="shared" si="22"/>
        <v>0</v>
      </c>
      <c r="AK77" s="293">
        <f t="shared" si="23"/>
        <v>0</v>
      </c>
      <c r="AL77" s="348">
        <f t="shared" si="24"/>
        <v>2</v>
      </c>
      <c r="AM77" s="369"/>
      <c r="AN77" s="322">
        <v>2</v>
      </c>
      <c r="AO77" s="231">
        <v>0</v>
      </c>
      <c r="AP77" s="228">
        <v>0</v>
      </c>
      <c r="AQ77" s="231">
        <v>0</v>
      </c>
      <c r="AR77" s="231">
        <v>0</v>
      </c>
      <c r="AS77" s="231">
        <v>0</v>
      </c>
      <c r="AT77" s="231">
        <v>0</v>
      </c>
      <c r="AU77" s="323">
        <v>0</v>
      </c>
      <c r="AV77" s="231">
        <v>0</v>
      </c>
      <c r="AW77" s="231">
        <v>0</v>
      </c>
      <c r="AX77" s="231">
        <v>0</v>
      </c>
      <c r="AY77" s="231">
        <v>0</v>
      </c>
      <c r="AZ77" s="230">
        <v>0</v>
      </c>
      <c r="BA77" s="2" t="s">
        <v>1235</v>
      </c>
      <c r="BD77" s="2" t="s">
        <v>1213</v>
      </c>
      <c r="BF77" s="232"/>
    </row>
    <row r="78" spans="1:58" s="2" customFormat="1" ht="15" customHeight="1" x14ac:dyDescent="0.25">
      <c r="A78" s="241" t="s">
        <v>337</v>
      </c>
      <c r="B78" s="2" t="s">
        <v>22</v>
      </c>
      <c r="D78" s="241" t="s">
        <v>338</v>
      </c>
      <c r="E78" s="241" t="s">
        <v>339</v>
      </c>
      <c r="F78" s="359">
        <v>43160</v>
      </c>
      <c r="G78" s="318">
        <v>43525</v>
      </c>
      <c r="H78" s="358" t="s">
        <v>1027</v>
      </c>
      <c r="I78" s="367" t="s">
        <v>1048</v>
      </c>
      <c r="J78" s="2">
        <v>520696</v>
      </c>
      <c r="K78" s="2">
        <v>175985</v>
      </c>
      <c r="L78" s="293"/>
      <c r="M78" s="364">
        <v>0</v>
      </c>
      <c r="N78" s="364">
        <v>0</v>
      </c>
      <c r="O78" s="364">
        <v>0</v>
      </c>
      <c r="P78" s="364">
        <v>0</v>
      </c>
      <c r="Q78" s="364"/>
      <c r="R78" s="364"/>
      <c r="S78" s="364"/>
      <c r="T78" s="365">
        <v>0</v>
      </c>
      <c r="U78" s="364"/>
      <c r="V78" s="364">
        <v>0</v>
      </c>
      <c r="W78" s="364">
        <v>2</v>
      </c>
      <c r="X78" s="364">
        <v>0</v>
      </c>
      <c r="Y78" s="364">
        <v>0</v>
      </c>
      <c r="Z78" s="364"/>
      <c r="AA78" s="293"/>
      <c r="AB78" s="293"/>
      <c r="AC78" s="365">
        <v>2</v>
      </c>
      <c r="AD78" s="293"/>
      <c r="AE78" s="293">
        <f t="shared" si="17"/>
        <v>0</v>
      </c>
      <c r="AF78" s="293">
        <f t="shared" si="18"/>
        <v>2</v>
      </c>
      <c r="AG78" s="293">
        <f t="shared" si="19"/>
        <v>0</v>
      </c>
      <c r="AH78" s="293">
        <f t="shared" si="20"/>
        <v>0</v>
      </c>
      <c r="AI78" s="293">
        <f t="shared" si="21"/>
        <v>0</v>
      </c>
      <c r="AJ78" s="293">
        <f t="shared" si="22"/>
        <v>0</v>
      </c>
      <c r="AK78" s="293">
        <f t="shared" si="23"/>
        <v>0</v>
      </c>
      <c r="AL78" s="348">
        <f t="shared" si="24"/>
        <v>2</v>
      </c>
      <c r="AM78" s="369"/>
      <c r="AN78" s="322">
        <v>2</v>
      </c>
      <c r="AO78" s="231">
        <v>0</v>
      </c>
      <c r="AP78" s="228">
        <v>0</v>
      </c>
      <c r="AQ78" s="231">
        <v>0</v>
      </c>
      <c r="AR78" s="231">
        <v>0</v>
      </c>
      <c r="AS78" s="231">
        <v>0</v>
      </c>
      <c r="AT78" s="231">
        <v>0</v>
      </c>
      <c r="AU78" s="323">
        <v>0</v>
      </c>
      <c r="AV78" s="231">
        <v>0</v>
      </c>
      <c r="AW78" s="231">
        <v>0</v>
      </c>
      <c r="AX78" s="231">
        <v>0</v>
      </c>
      <c r="AY78" s="231">
        <v>0</v>
      </c>
      <c r="AZ78" s="230">
        <v>0</v>
      </c>
      <c r="BA78" s="2" t="s">
        <v>1267</v>
      </c>
      <c r="BC78" s="2" t="s">
        <v>1445</v>
      </c>
      <c r="BF78" s="232"/>
    </row>
    <row r="79" spans="1:58" s="2" customFormat="1" ht="15" customHeight="1" x14ac:dyDescent="0.25">
      <c r="A79" s="241" t="s">
        <v>420</v>
      </c>
      <c r="B79" s="2" t="s">
        <v>9</v>
      </c>
      <c r="D79" s="241" t="s">
        <v>421</v>
      </c>
      <c r="E79" s="241" t="s">
        <v>422</v>
      </c>
      <c r="F79" s="371">
        <v>43040</v>
      </c>
      <c r="G79" s="318">
        <v>43497</v>
      </c>
      <c r="H79" s="358" t="s">
        <v>1027</v>
      </c>
      <c r="I79" s="367" t="s">
        <v>1048</v>
      </c>
      <c r="J79" s="2">
        <v>519759</v>
      </c>
      <c r="K79" s="2">
        <v>175240</v>
      </c>
      <c r="L79" s="293"/>
      <c r="M79" s="364">
        <v>0</v>
      </c>
      <c r="N79" s="364">
        <v>0</v>
      </c>
      <c r="O79" s="364">
        <v>0</v>
      </c>
      <c r="P79" s="364">
        <v>1</v>
      </c>
      <c r="Q79" s="364"/>
      <c r="R79" s="364"/>
      <c r="S79" s="364"/>
      <c r="T79" s="365">
        <v>1</v>
      </c>
      <c r="U79" s="364"/>
      <c r="V79" s="364">
        <v>0</v>
      </c>
      <c r="W79" s="364">
        <v>0</v>
      </c>
      <c r="X79" s="364">
        <v>0</v>
      </c>
      <c r="Y79" s="364">
        <v>1</v>
      </c>
      <c r="Z79" s="364"/>
      <c r="AA79" s="293"/>
      <c r="AB79" s="293"/>
      <c r="AC79" s="365">
        <v>1</v>
      </c>
      <c r="AD79" s="293"/>
      <c r="AE79" s="293">
        <f t="shared" si="17"/>
        <v>0</v>
      </c>
      <c r="AF79" s="293">
        <f t="shared" si="18"/>
        <v>0</v>
      </c>
      <c r="AG79" s="293">
        <f t="shared" si="19"/>
        <v>0</v>
      </c>
      <c r="AH79" s="293">
        <f t="shared" si="20"/>
        <v>0</v>
      </c>
      <c r="AI79" s="293">
        <f t="shared" si="21"/>
        <v>0</v>
      </c>
      <c r="AJ79" s="293">
        <f t="shared" si="22"/>
        <v>0</v>
      </c>
      <c r="AK79" s="293">
        <f t="shared" si="23"/>
        <v>0</v>
      </c>
      <c r="AL79" s="348">
        <f t="shared" si="24"/>
        <v>0</v>
      </c>
      <c r="AM79" s="369"/>
      <c r="AN79" s="322">
        <v>0</v>
      </c>
      <c r="AO79" s="231">
        <v>0</v>
      </c>
      <c r="AP79" s="228">
        <v>0</v>
      </c>
      <c r="AQ79" s="231">
        <v>0</v>
      </c>
      <c r="AR79" s="231">
        <v>0</v>
      </c>
      <c r="AS79" s="231">
        <v>0</v>
      </c>
      <c r="AT79" s="231">
        <v>0</v>
      </c>
      <c r="AU79" s="323">
        <v>0</v>
      </c>
      <c r="AV79" s="231">
        <v>0</v>
      </c>
      <c r="AW79" s="231">
        <v>0</v>
      </c>
      <c r="AX79" s="231">
        <v>0</v>
      </c>
      <c r="AY79" s="231">
        <v>0</v>
      </c>
      <c r="AZ79" s="230">
        <v>0</v>
      </c>
      <c r="BA79" s="2" t="s">
        <v>1212</v>
      </c>
      <c r="BF79" s="232"/>
    </row>
    <row r="80" spans="1:58" s="2" customFormat="1" ht="15" customHeight="1" x14ac:dyDescent="0.25">
      <c r="A80" s="2" t="s">
        <v>175</v>
      </c>
      <c r="B80" s="2" t="s">
        <v>26</v>
      </c>
      <c r="D80" s="358" t="s">
        <v>176</v>
      </c>
      <c r="E80" s="358" t="s">
        <v>177</v>
      </c>
      <c r="F80" s="319">
        <v>43191</v>
      </c>
      <c r="G80" s="319">
        <v>43511</v>
      </c>
      <c r="H80" s="358" t="s">
        <v>1027</v>
      </c>
      <c r="I80" s="367" t="s">
        <v>1048</v>
      </c>
      <c r="J80" s="2">
        <v>520956</v>
      </c>
      <c r="K80" s="2">
        <v>175694</v>
      </c>
      <c r="L80" s="293"/>
      <c r="M80" s="364">
        <v>1</v>
      </c>
      <c r="N80" s="364">
        <v>0</v>
      </c>
      <c r="O80" s="364">
        <v>0</v>
      </c>
      <c r="P80" s="364">
        <v>0</v>
      </c>
      <c r="Q80" s="364"/>
      <c r="R80" s="364"/>
      <c r="S80" s="364"/>
      <c r="T80" s="366">
        <v>1</v>
      </c>
      <c r="U80" s="364"/>
      <c r="V80" s="364">
        <v>0</v>
      </c>
      <c r="W80" s="364">
        <v>0</v>
      </c>
      <c r="X80" s="364">
        <v>0</v>
      </c>
      <c r="Y80" s="364">
        <v>1</v>
      </c>
      <c r="Z80" s="364"/>
      <c r="AA80" s="293"/>
      <c r="AB80" s="293"/>
      <c r="AC80" s="366">
        <v>1</v>
      </c>
      <c r="AD80" s="293"/>
      <c r="AE80" s="293">
        <f t="shared" si="17"/>
        <v>-1</v>
      </c>
      <c r="AF80" s="293">
        <f t="shared" si="18"/>
        <v>0</v>
      </c>
      <c r="AG80" s="293">
        <f t="shared" si="19"/>
        <v>0</v>
      </c>
      <c r="AH80" s="293">
        <f t="shared" si="20"/>
        <v>1</v>
      </c>
      <c r="AI80" s="293">
        <f t="shared" si="21"/>
        <v>0</v>
      </c>
      <c r="AJ80" s="293">
        <f t="shared" si="22"/>
        <v>0</v>
      </c>
      <c r="AK80" s="293">
        <f t="shared" si="23"/>
        <v>0</v>
      </c>
      <c r="AL80" s="348">
        <f t="shared" si="24"/>
        <v>0</v>
      </c>
      <c r="AM80" s="369"/>
      <c r="AN80" s="322">
        <v>0</v>
      </c>
      <c r="AO80" s="231">
        <v>0</v>
      </c>
      <c r="AP80" s="228">
        <v>0</v>
      </c>
      <c r="AQ80" s="231">
        <v>0</v>
      </c>
      <c r="AR80" s="231">
        <v>0</v>
      </c>
      <c r="AS80" s="231">
        <v>0</v>
      </c>
      <c r="AT80" s="231">
        <v>0</v>
      </c>
      <c r="AU80" s="323">
        <v>0</v>
      </c>
      <c r="AV80" s="231">
        <v>0</v>
      </c>
      <c r="AW80" s="231">
        <v>0</v>
      </c>
      <c r="AX80" s="231">
        <v>0</v>
      </c>
      <c r="AY80" s="231">
        <v>0</v>
      </c>
      <c r="AZ80" s="230">
        <v>0</v>
      </c>
      <c r="BA80" s="2" t="s">
        <v>1212</v>
      </c>
      <c r="BF80" s="232"/>
    </row>
    <row r="81" spans="1:58" s="2" customFormat="1" ht="15" customHeight="1" x14ac:dyDescent="0.25">
      <c r="A81" s="2" t="s">
        <v>178</v>
      </c>
      <c r="B81" s="2" t="s">
        <v>22</v>
      </c>
      <c r="D81" s="358" t="s">
        <v>179</v>
      </c>
      <c r="E81" s="358" t="s">
        <v>180</v>
      </c>
      <c r="F81" s="319">
        <v>43115</v>
      </c>
      <c r="G81" s="319">
        <v>43363</v>
      </c>
      <c r="H81" s="358" t="s">
        <v>1027</v>
      </c>
      <c r="I81" s="367" t="s">
        <v>1048</v>
      </c>
      <c r="J81" s="2">
        <v>514717</v>
      </c>
      <c r="K81" s="2">
        <v>172101</v>
      </c>
      <c r="L81" s="293"/>
      <c r="M81" s="364">
        <v>0</v>
      </c>
      <c r="N81" s="364">
        <v>2</v>
      </c>
      <c r="O81" s="364">
        <v>0</v>
      </c>
      <c r="P81" s="364">
        <v>0</v>
      </c>
      <c r="Q81" s="364"/>
      <c r="R81" s="364"/>
      <c r="S81" s="364"/>
      <c r="T81" s="366">
        <v>2</v>
      </c>
      <c r="U81" s="364"/>
      <c r="V81" s="364">
        <v>0</v>
      </c>
      <c r="W81" s="364">
        <v>3</v>
      </c>
      <c r="X81" s="364">
        <v>0</v>
      </c>
      <c r="Y81" s="364">
        <v>0</v>
      </c>
      <c r="Z81" s="364"/>
      <c r="AA81" s="293"/>
      <c r="AB81" s="293"/>
      <c r="AC81" s="366">
        <v>3</v>
      </c>
      <c r="AD81" s="293"/>
      <c r="AE81" s="293">
        <f t="shared" si="17"/>
        <v>0</v>
      </c>
      <c r="AF81" s="293">
        <f t="shared" si="18"/>
        <v>1</v>
      </c>
      <c r="AG81" s="293">
        <f t="shared" si="19"/>
        <v>0</v>
      </c>
      <c r="AH81" s="293">
        <f t="shared" si="20"/>
        <v>0</v>
      </c>
      <c r="AI81" s="293">
        <f t="shared" si="21"/>
        <v>0</v>
      </c>
      <c r="AJ81" s="293">
        <f t="shared" si="22"/>
        <v>0</v>
      </c>
      <c r="AK81" s="293">
        <f t="shared" si="23"/>
        <v>0</v>
      </c>
      <c r="AL81" s="348">
        <f t="shared" si="24"/>
        <v>1</v>
      </c>
      <c r="AM81" s="369"/>
      <c r="AN81" s="322">
        <v>1</v>
      </c>
      <c r="AO81" s="231">
        <v>0</v>
      </c>
      <c r="AP81" s="228">
        <v>0</v>
      </c>
      <c r="AQ81" s="231">
        <v>0</v>
      </c>
      <c r="AR81" s="231">
        <v>0</v>
      </c>
      <c r="AS81" s="231">
        <v>0</v>
      </c>
      <c r="AT81" s="231">
        <v>0</v>
      </c>
      <c r="AU81" s="323">
        <v>0</v>
      </c>
      <c r="AV81" s="231">
        <v>0</v>
      </c>
      <c r="AW81" s="231">
        <v>0</v>
      </c>
      <c r="AX81" s="231">
        <v>0</v>
      </c>
      <c r="AY81" s="231">
        <v>0</v>
      </c>
      <c r="AZ81" s="230">
        <v>0</v>
      </c>
      <c r="BA81" s="2" t="s">
        <v>1239</v>
      </c>
      <c r="BF81" s="232"/>
    </row>
    <row r="82" spans="1:58" s="2" customFormat="1" ht="15" customHeight="1" x14ac:dyDescent="0.25">
      <c r="A82" s="2" t="s">
        <v>181</v>
      </c>
      <c r="B82" s="2" t="s">
        <v>26</v>
      </c>
      <c r="D82" s="358" t="s">
        <v>182</v>
      </c>
      <c r="E82" s="358" t="s">
        <v>183</v>
      </c>
      <c r="F82" s="319">
        <v>43040</v>
      </c>
      <c r="G82" s="319">
        <v>43281</v>
      </c>
      <c r="H82" s="358" t="s">
        <v>1027</v>
      </c>
      <c r="I82" s="367" t="s">
        <v>1048</v>
      </c>
      <c r="J82" s="2">
        <v>515409</v>
      </c>
      <c r="K82" s="2">
        <v>168615</v>
      </c>
      <c r="L82" s="293"/>
      <c r="M82" s="364">
        <v>0</v>
      </c>
      <c r="N82" s="364">
        <v>0</v>
      </c>
      <c r="O82" s="364">
        <v>0</v>
      </c>
      <c r="P82" s="364">
        <v>0</v>
      </c>
      <c r="Q82" s="364"/>
      <c r="R82" s="364"/>
      <c r="S82" s="364"/>
      <c r="T82" s="366">
        <v>0</v>
      </c>
      <c r="U82" s="364"/>
      <c r="V82" s="364">
        <v>0</v>
      </c>
      <c r="W82" s="364">
        <v>0</v>
      </c>
      <c r="X82" s="364">
        <v>1</v>
      </c>
      <c r="Y82" s="364">
        <v>0</v>
      </c>
      <c r="Z82" s="364"/>
      <c r="AA82" s="293"/>
      <c r="AB82" s="293"/>
      <c r="AC82" s="366">
        <v>1</v>
      </c>
      <c r="AD82" s="293"/>
      <c r="AE82" s="293">
        <f t="shared" si="17"/>
        <v>0</v>
      </c>
      <c r="AF82" s="293">
        <f t="shared" si="18"/>
        <v>0</v>
      </c>
      <c r="AG82" s="293">
        <f t="shared" si="19"/>
        <v>1</v>
      </c>
      <c r="AH82" s="293">
        <f t="shared" si="20"/>
        <v>0</v>
      </c>
      <c r="AI82" s="293">
        <f t="shared" si="21"/>
        <v>0</v>
      </c>
      <c r="AJ82" s="293">
        <f t="shared" si="22"/>
        <v>0</v>
      </c>
      <c r="AK82" s="293">
        <f t="shared" si="23"/>
        <v>0</v>
      </c>
      <c r="AL82" s="348">
        <f t="shared" si="24"/>
        <v>1</v>
      </c>
      <c r="AM82" s="369"/>
      <c r="AN82" s="322">
        <v>1</v>
      </c>
      <c r="AO82" s="231">
        <v>0</v>
      </c>
      <c r="AP82" s="228">
        <v>0</v>
      </c>
      <c r="AQ82" s="231">
        <v>0</v>
      </c>
      <c r="AR82" s="231">
        <v>0</v>
      </c>
      <c r="AS82" s="231">
        <v>0</v>
      </c>
      <c r="AT82" s="231">
        <v>0</v>
      </c>
      <c r="AU82" s="323">
        <v>0</v>
      </c>
      <c r="AV82" s="231">
        <v>0</v>
      </c>
      <c r="AW82" s="231">
        <v>0</v>
      </c>
      <c r="AX82" s="231">
        <v>0</v>
      </c>
      <c r="AY82" s="231">
        <v>0</v>
      </c>
      <c r="AZ82" s="230">
        <v>0</v>
      </c>
      <c r="BA82" s="2" t="s">
        <v>1229</v>
      </c>
      <c r="BE82" s="2" t="s">
        <v>1214</v>
      </c>
      <c r="BF82" s="232"/>
    </row>
    <row r="83" spans="1:58" s="2" customFormat="1" ht="15" customHeight="1" x14ac:dyDescent="0.25">
      <c r="A83" s="241" t="s">
        <v>613</v>
      </c>
      <c r="B83" s="2" t="s">
        <v>9</v>
      </c>
      <c r="D83" s="241" t="s">
        <v>614</v>
      </c>
      <c r="E83" s="241" t="s">
        <v>615</v>
      </c>
      <c r="F83" s="371">
        <v>43013</v>
      </c>
      <c r="G83" s="318">
        <v>43435</v>
      </c>
      <c r="H83" s="358" t="s">
        <v>1027</v>
      </c>
      <c r="I83" s="367" t="s">
        <v>1048</v>
      </c>
      <c r="J83" s="2">
        <v>516802</v>
      </c>
      <c r="K83" s="2">
        <v>171333</v>
      </c>
      <c r="L83" s="293"/>
      <c r="M83" s="364">
        <v>0</v>
      </c>
      <c r="N83" s="364">
        <v>0</v>
      </c>
      <c r="O83" s="364">
        <v>0</v>
      </c>
      <c r="P83" s="364">
        <v>0</v>
      </c>
      <c r="Q83" s="364"/>
      <c r="R83" s="364"/>
      <c r="S83" s="364"/>
      <c r="T83" s="365">
        <v>0</v>
      </c>
      <c r="U83" s="364"/>
      <c r="V83" s="364">
        <v>29</v>
      </c>
      <c r="W83" s="364">
        <v>14</v>
      </c>
      <c r="X83" s="364">
        <v>33</v>
      </c>
      <c r="Y83" s="364">
        <v>0</v>
      </c>
      <c r="Z83" s="364"/>
      <c r="AA83" s="293"/>
      <c r="AB83" s="293"/>
      <c r="AC83" s="365">
        <v>76</v>
      </c>
      <c r="AD83" s="293"/>
      <c r="AE83" s="293">
        <f t="shared" si="17"/>
        <v>29</v>
      </c>
      <c r="AF83" s="293">
        <f t="shared" si="18"/>
        <v>14</v>
      </c>
      <c r="AG83" s="293">
        <f t="shared" si="19"/>
        <v>33</v>
      </c>
      <c r="AH83" s="293">
        <f t="shared" si="20"/>
        <v>0</v>
      </c>
      <c r="AI83" s="293">
        <f t="shared" si="21"/>
        <v>0</v>
      </c>
      <c r="AJ83" s="293">
        <f t="shared" si="22"/>
        <v>0</v>
      </c>
      <c r="AK83" s="293">
        <f t="shared" si="23"/>
        <v>0</v>
      </c>
      <c r="AL83" s="348">
        <f t="shared" si="24"/>
        <v>76</v>
      </c>
      <c r="AM83" s="231" t="s">
        <v>39</v>
      </c>
      <c r="AN83" s="322">
        <v>76</v>
      </c>
      <c r="AO83" s="231">
        <v>0</v>
      </c>
      <c r="AP83" s="228">
        <v>0</v>
      </c>
      <c r="AQ83" s="231">
        <v>0</v>
      </c>
      <c r="AR83" s="231">
        <v>0</v>
      </c>
      <c r="AS83" s="231">
        <v>0</v>
      </c>
      <c r="AT83" s="231">
        <v>0</v>
      </c>
      <c r="AU83" s="323">
        <v>0</v>
      </c>
      <c r="AV83" s="231">
        <v>0</v>
      </c>
      <c r="AW83" s="231">
        <v>0</v>
      </c>
      <c r="AX83" s="231">
        <v>0</v>
      </c>
      <c r="AY83" s="231">
        <v>0</v>
      </c>
      <c r="AZ83" s="230">
        <v>0</v>
      </c>
      <c r="BA83" s="2" t="s">
        <v>1215</v>
      </c>
      <c r="BE83" s="2" t="s">
        <v>1214</v>
      </c>
      <c r="BF83" s="232"/>
    </row>
    <row r="84" spans="1:58" s="2" customFormat="1" ht="15" customHeight="1" x14ac:dyDescent="0.25">
      <c r="A84" s="2" t="s">
        <v>184</v>
      </c>
      <c r="B84" s="2" t="s">
        <v>9</v>
      </c>
      <c r="D84" s="358" t="s">
        <v>185</v>
      </c>
      <c r="E84" s="358" t="s">
        <v>186</v>
      </c>
      <c r="F84" s="319">
        <v>43199</v>
      </c>
      <c r="G84" s="319">
        <v>43343</v>
      </c>
      <c r="H84" s="358" t="s">
        <v>1027</v>
      </c>
      <c r="I84" s="367" t="s">
        <v>1048</v>
      </c>
      <c r="J84" s="2">
        <v>520049</v>
      </c>
      <c r="K84" s="2">
        <v>175295</v>
      </c>
      <c r="L84" s="293"/>
      <c r="M84" s="364">
        <v>0</v>
      </c>
      <c r="N84" s="364">
        <v>0</v>
      </c>
      <c r="O84" s="364">
        <v>0</v>
      </c>
      <c r="P84" s="364">
        <v>0</v>
      </c>
      <c r="Q84" s="364"/>
      <c r="R84" s="364"/>
      <c r="S84" s="364"/>
      <c r="T84" s="366">
        <v>0</v>
      </c>
      <c r="U84" s="364"/>
      <c r="V84" s="364">
        <v>0</v>
      </c>
      <c r="W84" s="364">
        <v>0</v>
      </c>
      <c r="X84" s="364">
        <v>1</v>
      </c>
      <c r="Y84" s="364">
        <v>0</v>
      </c>
      <c r="Z84" s="364"/>
      <c r="AA84" s="293"/>
      <c r="AB84" s="293"/>
      <c r="AC84" s="366">
        <v>1</v>
      </c>
      <c r="AD84" s="293"/>
      <c r="AE84" s="293">
        <f t="shared" si="17"/>
        <v>0</v>
      </c>
      <c r="AF84" s="293">
        <f t="shared" si="18"/>
        <v>0</v>
      </c>
      <c r="AG84" s="293">
        <f t="shared" si="19"/>
        <v>1</v>
      </c>
      <c r="AH84" s="293">
        <f t="shared" si="20"/>
        <v>0</v>
      </c>
      <c r="AI84" s="293">
        <f t="shared" si="21"/>
        <v>0</v>
      </c>
      <c r="AJ84" s="293">
        <f t="shared" si="22"/>
        <v>0</v>
      </c>
      <c r="AK84" s="293">
        <f t="shared" si="23"/>
        <v>0</v>
      </c>
      <c r="AL84" s="348">
        <f t="shared" si="24"/>
        <v>1</v>
      </c>
      <c r="AM84" s="369"/>
      <c r="AN84" s="322">
        <v>1</v>
      </c>
      <c r="AO84" s="231">
        <v>0</v>
      </c>
      <c r="AP84" s="228">
        <v>0</v>
      </c>
      <c r="AQ84" s="231">
        <v>0</v>
      </c>
      <c r="AR84" s="231">
        <v>0</v>
      </c>
      <c r="AS84" s="231">
        <v>0</v>
      </c>
      <c r="AT84" s="231">
        <v>0</v>
      </c>
      <c r="AU84" s="323">
        <v>0</v>
      </c>
      <c r="AV84" s="231">
        <v>0</v>
      </c>
      <c r="AW84" s="231">
        <v>0</v>
      </c>
      <c r="AX84" s="231">
        <v>0</v>
      </c>
      <c r="AY84" s="231">
        <v>0</v>
      </c>
      <c r="AZ84" s="230">
        <v>0</v>
      </c>
      <c r="BA84" s="2" t="s">
        <v>1212</v>
      </c>
      <c r="BD84" s="2" t="s">
        <v>1212</v>
      </c>
      <c r="BF84" s="232"/>
    </row>
    <row r="85" spans="1:58" s="2" customFormat="1" ht="15" customHeight="1" x14ac:dyDescent="0.25">
      <c r="A85" s="241" t="s">
        <v>459</v>
      </c>
      <c r="B85" s="2" t="s">
        <v>9</v>
      </c>
      <c r="D85" s="241" t="s">
        <v>460</v>
      </c>
      <c r="E85" s="241" t="s">
        <v>461</v>
      </c>
      <c r="F85" s="371">
        <v>43160</v>
      </c>
      <c r="G85" s="375" t="s">
        <v>1056</v>
      </c>
      <c r="H85" s="358" t="s">
        <v>1027</v>
      </c>
      <c r="I85" s="367" t="s">
        <v>1048</v>
      </c>
      <c r="J85" s="2">
        <v>517346</v>
      </c>
      <c r="K85" s="2">
        <v>172308</v>
      </c>
      <c r="L85" s="293"/>
      <c r="M85" s="364">
        <v>0</v>
      </c>
      <c r="N85" s="364">
        <v>1</v>
      </c>
      <c r="O85" s="364">
        <v>0</v>
      </c>
      <c r="P85" s="364">
        <v>0</v>
      </c>
      <c r="Q85" s="364"/>
      <c r="R85" s="364"/>
      <c r="S85" s="364"/>
      <c r="T85" s="365">
        <v>1</v>
      </c>
      <c r="U85" s="364"/>
      <c r="V85" s="364">
        <v>0</v>
      </c>
      <c r="W85" s="364">
        <v>0</v>
      </c>
      <c r="X85" s="364">
        <v>0</v>
      </c>
      <c r="Y85" s="364">
        <v>2</v>
      </c>
      <c r="Z85" s="364"/>
      <c r="AA85" s="293"/>
      <c r="AB85" s="293"/>
      <c r="AC85" s="365">
        <v>2</v>
      </c>
      <c r="AD85" s="293"/>
      <c r="AE85" s="293">
        <f t="shared" si="17"/>
        <v>0</v>
      </c>
      <c r="AF85" s="293">
        <f t="shared" si="18"/>
        <v>-1</v>
      </c>
      <c r="AG85" s="293">
        <f t="shared" si="19"/>
        <v>0</v>
      </c>
      <c r="AH85" s="293">
        <f t="shared" si="20"/>
        <v>2</v>
      </c>
      <c r="AI85" s="293">
        <f t="shared" si="21"/>
        <v>0</v>
      </c>
      <c r="AJ85" s="293">
        <f t="shared" si="22"/>
        <v>0</v>
      </c>
      <c r="AK85" s="293">
        <f t="shared" si="23"/>
        <v>0</v>
      </c>
      <c r="AL85" s="348">
        <f t="shared" si="24"/>
        <v>1</v>
      </c>
      <c r="AM85" s="369"/>
      <c r="AN85" s="322">
        <v>1</v>
      </c>
      <c r="AO85" s="231">
        <v>0</v>
      </c>
      <c r="AP85" s="228">
        <v>0</v>
      </c>
      <c r="AQ85" s="231">
        <v>0</v>
      </c>
      <c r="AR85" s="231">
        <v>0</v>
      </c>
      <c r="AS85" s="231">
        <v>0</v>
      </c>
      <c r="AT85" s="231">
        <v>0</v>
      </c>
      <c r="AU85" s="323">
        <v>0</v>
      </c>
      <c r="AV85" s="231">
        <v>0</v>
      </c>
      <c r="AW85" s="231">
        <v>0</v>
      </c>
      <c r="AX85" s="231">
        <v>0</v>
      </c>
      <c r="AY85" s="231">
        <v>0</v>
      </c>
      <c r="AZ85" s="230">
        <v>0</v>
      </c>
      <c r="BA85" s="2" t="s">
        <v>1443</v>
      </c>
      <c r="BF85" s="232" t="s">
        <v>39</v>
      </c>
    </row>
    <row r="86" spans="1:58" s="2" customFormat="1" ht="15" customHeight="1" x14ac:dyDescent="0.25">
      <c r="A86" s="241" t="s">
        <v>302</v>
      </c>
      <c r="B86" s="2" t="s">
        <v>26</v>
      </c>
      <c r="C86" s="2" t="s">
        <v>1037</v>
      </c>
      <c r="D86" s="241" t="s">
        <v>303</v>
      </c>
      <c r="E86" s="241" t="s">
        <v>304</v>
      </c>
      <c r="F86" s="359"/>
      <c r="G86" s="318">
        <v>43370</v>
      </c>
      <c r="H86" s="358" t="s">
        <v>1027</v>
      </c>
      <c r="I86" s="367" t="s">
        <v>1048</v>
      </c>
      <c r="J86" s="2">
        <v>521610</v>
      </c>
      <c r="K86" s="2">
        <v>176396</v>
      </c>
      <c r="L86" s="293"/>
      <c r="M86" s="364">
        <v>0</v>
      </c>
      <c r="N86" s="364">
        <v>0</v>
      </c>
      <c r="O86" s="364">
        <v>0</v>
      </c>
      <c r="P86" s="364">
        <v>0</v>
      </c>
      <c r="Q86" s="364"/>
      <c r="R86" s="364"/>
      <c r="S86" s="364"/>
      <c r="T86" s="365">
        <v>0</v>
      </c>
      <c r="U86" s="364"/>
      <c r="V86" s="364">
        <v>0</v>
      </c>
      <c r="W86" s="364">
        <v>2</v>
      </c>
      <c r="X86" s="364">
        <v>0</v>
      </c>
      <c r="Y86" s="364">
        <v>0</v>
      </c>
      <c r="Z86" s="364"/>
      <c r="AA86" s="293"/>
      <c r="AB86" s="293"/>
      <c r="AC86" s="365">
        <v>2</v>
      </c>
      <c r="AD86" s="293"/>
      <c r="AE86" s="293">
        <f t="shared" si="17"/>
        <v>0</v>
      </c>
      <c r="AF86" s="293">
        <f t="shared" si="18"/>
        <v>2</v>
      </c>
      <c r="AG86" s="293">
        <f t="shared" si="19"/>
        <v>0</v>
      </c>
      <c r="AH86" s="293">
        <f t="shared" si="20"/>
        <v>0</v>
      </c>
      <c r="AI86" s="293">
        <f t="shared" si="21"/>
        <v>0</v>
      </c>
      <c r="AJ86" s="293">
        <f t="shared" si="22"/>
        <v>0</v>
      </c>
      <c r="AK86" s="293">
        <f t="shared" si="23"/>
        <v>0</v>
      </c>
      <c r="AL86" s="348">
        <f t="shared" si="24"/>
        <v>2</v>
      </c>
      <c r="AM86" s="369"/>
      <c r="AN86" s="322">
        <v>2</v>
      </c>
      <c r="AO86" s="231">
        <v>0</v>
      </c>
      <c r="AP86" s="228">
        <v>0</v>
      </c>
      <c r="AQ86" s="231">
        <v>0</v>
      </c>
      <c r="AR86" s="231">
        <v>0</v>
      </c>
      <c r="AS86" s="231">
        <v>0</v>
      </c>
      <c r="AT86" s="231">
        <v>0</v>
      </c>
      <c r="AU86" s="323">
        <v>0</v>
      </c>
      <c r="AV86" s="231">
        <v>0</v>
      </c>
      <c r="AW86" s="231">
        <v>0</v>
      </c>
      <c r="AX86" s="231">
        <v>0</v>
      </c>
      <c r="AY86" s="231">
        <v>0</v>
      </c>
      <c r="AZ86" s="230">
        <v>0</v>
      </c>
      <c r="BA86" s="2" t="s">
        <v>1267</v>
      </c>
      <c r="BC86" s="2" t="s">
        <v>1432</v>
      </c>
      <c r="BF86" s="232"/>
    </row>
    <row r="87" spans="1:58" s="2" customFormat="1" ht="15" customHeight="1" x14ac:dyDescent="0.25">
      <c r="A87" s="241" t="s">
        <v>923</v>
      </c>
      <c r="B87" s="2" t="s">
        <v>9</v>
      </c>
      <c r="D87" s="241" t="s">
        <v>924</v>
      </c>
      <c r="E87" s="241" t="s">
        <v>925</v>
      </c>
      <c r="F87" s="359"/>
      <c r="G87" s="318">
        <v>43497</v>
      </c>
      <c r="H87" s="358" t="s">
        <v>1027</v>
      </c>
      <c r="I87" s="367" t="s">
        <v>1048</v>
      </c>
      <c r="J87" s="2">
        <v>513080</v>
      </c>
      <c r="K87" s="2">
        <v>173974</v>
      </c>
      <c r="L87" s="293"/>
      <c r="M87" s="364">
        <v>0</v>
      </c>
      <c r="N87" s="364">
        <v>0</v>
      </c>
      <c r="O87" s="364">
        <v>0</v>
      </c>
      <c r="P87" s="364">
        <v>0</v>
      </c>
      <c r="Q87" s="364"/>
      <c r="R87" s="364"/>
      <c r="S87" s="364"/>
      <c r="T87" s="365">
        <v>0</v>
      </c>
      <c r="U87" s="364"/>
      <c r="V87" s="364">
        <v>0</v>
      </c>
      <c r="W87" s="364">
        <v>1</v>
      </c>
      <c r="X87" s="364">
        <v>0</v>
      </c>
      <c r="Y87" s="364">
        <v>0</v>
      </c>
      <c r="Z87" s="364"/>
      <c r="AA87" s="293"/>
      <c r="AB87" s="293"/>
      <c r="AC87" s="365">
        <v>1</v>
      </c>
      <c r="AD87" s="293"/>
      <c r="AE87" s="293">
        <f t="shared" si="17"/>
        <v>0</v>
      </c>
      <c r="AF87" s="293">
        <f t="shared" si="18"/>
        <v>1</v>
      </c>
      <c r="AG87" s="293">
        <f t="shared" si="19"/>
        <v>0</v>
      </c>
      <c r="AH87" s="293">
        <f t="shared" si="20"/>
        <v>0</v>
      </c>
      <c r="AI87" s="293">
        <f t="shared" si="21"/>
        <v>0</v>
      </c>
      <c r="AJ87" s="293">
        <f t="shared" si="22"/>
        <v>0</v>
      </c>
      <c r="AK87" s="293">
        <f t="shared" si="23"/>
        <v>0</v>
      </c>
      <c r="AL87" s="348">
        <f t="shared" si="24"/>
        <v>1</v>
      </c>
      <c r="AM87" s="369"/>
      <c r="AN87" s="322">
        <v>1</v>
      </c>
      <c r="AO87" s="231">
        <v>0</v>
      </c>
      <c r="AP87" s="228">
        <v>0</v>
      </c>
      <c r="AQ87" s="231">
        <v>0</v>
      </c>
      <c r="AR87" s="231">
        <v>0</v>
      </c>
      <c r="AS87" s="231">
        <v>0</v>
      </c>
      <c r="AT87" s="231">
        <v>0</v>
      </c>
      <c r="AU87" s="242">
        <v>0</v>
      </c>
      <c r="AV87" s="231">
        <v>0</v>
      </c>
      <c r="AW87" s="231">
        <v>0</v>
      </c>
      <c r="AX87" s="231">
        <v>0</v>
      </c>
      <c r="AY87" s="231">
        <v>0</v>
      </c>
      <c r="AZ87" s="230">
        <v>0</v>
      </c>
      <c r="BA87" s="2" t="s">
        <v>1231</v>
      </c>
      <c r="BF87" s="232"/>
    </row>
    <row r="88" spans="1:58" s="2" customFormat="1" ht="15" customHeight="1" x14ac:dyDescent="0.25">
      <c r="A88" s="2" t="s">
        <v>187</v>
      </c>
      <c r="B88" s="2" t="s">
        <v>5</v>
      </c>
      <c r="D88" s="358" t="s">
        <v>188</v>
      </c>
      <c r="E88" s="358" t="s">
        <v>189</v>
      </c>
      <c r="F88" s="319">
        <v>43132</v>
      </c>
      <c r="G88" s="319">
        <v>43483</v>
      </c>
      <c r="H88" s="358" t="s">
        <v>1027</v>
      </c>
      <c r="I88" s="367" t="s">
        <v>1048</v>
      </c>
      <c r="J88" s="2">
        <v>521341</v>
      </c>
      <c r="K88" s="2">
        <v>175789</v>
      </c>
      <c r="L88" s="293"/>
      <c r="M88" s="364">
        <v>0</v>
      </c>
      <c r="N88" s="364">
        <v>0</v>
      </c>
      <c r="O88" s="364">
        <v>0</v>
      </c>
      <c r="P88" s="364">
        <v>0</v>
      </c>
      <c r="Q88" s="364"/>
      <c r="R88" s="364"/>
      <c r="S88" s="372">
        <v>1</v>
      </c>
      <c r="T88" s="366">
        <v>1</v>
      </c>
      <c r="U88" s="364"/>
      <c r="V88" s="364">
        <v>3</v>
      </c>
      <c r="W88" s="364">
        <v>1</v>
      </c>
      <c r="X88" s="364">
        <v>1</v>
      </c>
      <c r="Y88" s="364">
        <v>0</v>
      </c>
      <c r="Z88" s="364"/>
      <c r="AA88" s="293"/>
      <c r="AB88" s="293"/>
      <c r="AC88" s="366">
        <v>5</v>
      </c>
      <c r="AD88" s="293"/>
      <c r="AE88" s="293">
        <f t="shared" si="17"/>
        <v>3</v>
      </c>
      <c r="AF88" s="293">
        <f t="shared" si="18"/>
        <v>1</v>
      </c>
      <c r="AG88" s="293">
        <f t="shared" si="19"/>
        <v>1</v>
      </c>
      <c r="AH88" s="293">
        <f t="shared" si="20"/>
        <v>0</v>
      </c>
      <c r="AI88" s="293">
        <f t="shared" si="21"/>
        <v>0</v>
      </c>
      <c r="AJ88" s="293">
        <f t="shared" si="22"/>
        <v>0</v>
      </c>
      <c r="AK88" s="293">
        <f t="shared" si="23"/>
        <v>-1</v>
      </c>
      <c r="AL88" s="348">
        <f t="shared" si="24"/>
        <v>4</v>
      </c>
      <c r="AM88" s="369"/>
      <c r="AN88" s="322">
        <v>4</v>
      </c>
      <c r="AO88" s="231">
        <v>0</v>
      </c>
      <c r="AP88" s="228">
        <v>0</v>
      </c>
      <c r="AQ88" s="231">
        <v>0</v>
      </c>
      <c r="AR88" s="231">
        <v>0</v>
      </c>
      <c r="AS88" s="231">
        <v>0</v>
      </c>
      <c r="AT88" s="231">
        <v>0</v>
      </c>
      <c r="AU88" s="323">
        <v>0</v>
      </c>
      <c r="AV88" s="231">
        <v>0</v>
      </c>
      <c r="AW88" s="231">
        <v>0</v>
      </c>
      <c r="AX88" s="231">
        <v>0</v>
      </c>
      <c r="AY88" s="231">
        <v>0</v>
      </c>
      <c r="AZ88" s="230">
        <v>0</v>
      </c>
      <c r="BA88" s="2" t="s">
        <v>1267</v>
      </c>
      <c r="BF88" s="232"/>
    </row>
    <row r="89" spans="1:58" s="2" customFormat="1" ht="15" customHeight="1" x14ac:dyDescent="0.25">
      <c r="A89" s="2" t="s">
        <v>192</v>
      </c>
      <c r="B89" s="2" t="s">
        <v>26</v>
      </c>
      <c r="D89" s="358" t="s">
        <v>193</v>
      </c>
      <c r="E89" s="358" t="s">
        <v>194</v>
      </c>
      <c r="F89" s="319">
        <v>43070</v>
      </c>
      <c r="G89" s="319">
        <v>43515</v>
      </c>
      <c r="H89" s="358" t="s">
        <v>1027</v>
      </c>
      <c r="I89" s="367" t="s">
        <v>1048</v>
      </c>
      <c r="J89" s="2">
        <v>517721</v>
      </c>
      <c r="K89" s="2">
        <v>174827</v>
      </c>
      <c r="L89" s="293"/>
      <c r="M89" s="364">
        <v>0</v>
      </c>
      <c r="N89" s="364">
        <v>0</v>
      </c>
      <c r="O89" s="364">
        <v>0</v>
      </c>
      <c r="P89" s="364">
        <v>0</v>
      </c>
      <c r="Q89" s="364"/>
      <c r="R89" s="364"/>
      <c r="S89" s="364"/>
      <c r="T89" s="366">
        <v>0</v>
      </c>
      <c r="U89" s="364"/>
      <c r="V89" s="364">
        <v>1</v>
      </c>
      <c r="W89" s="364">
        <v>0</v>
      </c>
      <c r="X89" s="364">
        <v>0</v>
      </c>
      <c r="Y89" s="364">
        <v>0</v>
      </c>
      <c r="Z89" s="364"/>
      <c r="AA89" s="293"/>
      <c r="AB89" s="293"/>
      <c r="AC89" s="366">
        <v>1</v>
      </c>
      <c r="AD89" s="293"/>
      <c r="AE89" s="293">
        <f t="shared" si="17"/>
        <v>1</v>
      </c>
      <c r="AF89" s="293">
        <f t="shared" si="18"/>
        <v>0</v>
      </c>
      <c r="AG89" s="293">
        <f t="shared" si="19"/>
        <v>0</v>
      </c>
      <c r="AH89" s="293">
        <f t="shared" si="20"/>
        <v>0</v>
      </c>
      <c r="AI89" s="293">
        <f t="shared" si="21"/>
        <v>0</v>
      </c>
      <c r="AJ89" s="293">
        <f t="shared" si="22"/>
        <v>0</v>
      </c>
      <c r="AK89" s="293">
        <f t="shared" si="23"/>
        <v>0</v>
      </c>
      <c r="AL89" s="348">
        <f t="shared" si="24"/>
        <v>1</v>
      </c>
      <c r="AM89" s="369"/>
      <c r="AN89" s="322">
        <v>1</v>
      </c>
      <c r="AO89" s="231">
        <v>0</v>
      </c>
      <c r="AP89" s="228">
        <v>0</v>
      </c>
      <c r="AQ89" s="231">
        <v>0</v>
      </c>
      <c r="AR89" s="231">
        <v>0</v>
      </c>
      <c r="AS89" s="231">
        <v>0</v>
      </c>
      <c r="AT89" s="231">
        <v>0</v>
      </c>
      <c r="AU89" s="323">
        <v>0</v>
      </c>
      <c r="AV89" s="231">
        <v>0</v>
      </c>
      <c r="AW89" s="231">
        <v>0</v>
      </c>
      <c r="AX89" s="231">
        <v>0</v>
      </c>
      <c r="AY89" s="231">
        <v>0</v>
      </c>
      <c r="AZ89" s="230">
        <v>0</v>
      </c>
      <c r="BA89" s="2" t="s">
        <v>1235</v>
      </c>
      <c r="BD89" s="2" t="s">
        <v>1213</v>
      </c>
      <c r="BF89" s="232"/>
    </row>
    <row r="90" spans="1:58" s="2" customFormat="1" ht="15" customHeight="1" x14ac:dyDescent="0.25">
      <c r="A90" s="241" t="s">
        <v>195</v>
      </c>
      <c r="B90" s="2" t="s">
        <v>9</v>
      </c>
      <c r="D90" s="241" t="s">
        <v>434</v>
      </c>
      <c r="E90" s="241" t="s">
        <v>196</v>
      </c>
      <c r="F90" s="371">
        <v>42492</v>
      </c>
      <c r="G90" s="318">
        <v>43525</v>
      </c>
      <c r="H90" s="358" t="s">
        <v>1027</v>
      </c>
      <c r="I90" s="367" t="s">
        <v>1048</v>
      </c>
      <c r="J90" s="2">
        <v>518534</v>
      </c>
      <c r="K90" s="2">
        <v>171320</v>
      </c>
      <c r="L90" s="293"/>
      <c r="M90" s="364">
        <v>0</v>
      </c>
      <c r="N90" s="364">
        <v>0</v>
      </c>
      <c r="O90" s="364">
        <v>0</v>
      </c>
      <c r="P90" s="364">
        <v>0</v>
      </c>
      <c r="Q90" s="364"/>
      <c r="R90" s="364"/>
      <c r="S90" s="364"/>
      <c r="T90" s="365">
        <v>0</v>
      </c>
      <c r="U90" s="364"/>
      <c r="V90" s="364">
        <v>0</v>
      </c>
      <c r="W90" s="364">
        <v>0</v>
      </c>
      <c r="X90" s="364">
        <v>5</v>
      </c>
      <c r="Y90" s="364">
        <v>5</v>
      </c>
      <c r="Z90" s="364">
        <v>2</v>
      </c>
      <c r="AA90" s="293"/>
      <c r="AB90" s="293"/>
      <c r="AC90" s="365">
        <f>SUM(V90:AA90)</f>
        <v>12</v>
      </c>
      <c r="AD90" s="293"/>
      <c r="AE90" s="293">
        <f t="shared" si="17"/>
        <v>0</v>
      </c>
      <c r="AF90" s="293">
        <f t="shared" si="18"/>
        <v>0</v>
      </c>
      <c r="AG90" s="293">
        <f t="shared" si="19"/>
        <v>5</v>
      </c>
      <c r="AH90" s="293">
        <f t="shared" si="20"/>
        <v>5</v>
      </c>
      <c r="AI90" s="293">
        <f t="shared" si="21"/>
        <v>2</v>
      </c>
      <c r="AJ90" s="293">
        <f t="shared" si="22"/>
        <v>0</v>
      </c>
      <c r="AK90" s="293">
        <f t="shared" si="23"/>
        <v>0</v>
      </c>
      <c r="AL90" s="348">
        <f t="shared" si="24"/>
        <v>12</v>
      </c>
      <c r="AM90" s="231" t="s">
        <v>39</v>
      </c>
      <c r="AN90" s="322">
        <v>12</v>
      </c>
      <c r="AO90" s="231">
        <v>0</v>
      </c>
      <c r="AP90" s="228">
        <v>0</v>
      </c>
      <c r="AQ90" s="231">
        <v>0</v>
      </c>
      <c r="AR90" s="231">
        <v>0</v>
      </c>
      <c r="AS90" s="231">
        <v>0</v>
      </c>
      <c r="AT90" s="231">
        <v>0</v>
      </c>
      <c r="AU90" s="323">
        <v>0</v>
      </c>
      <c r="AV90" s="231">
        <v>0</v>
      </c>
      <c r="AW90" s="231">
        <v>0</v>
      </c>
      <c r="AX90" s="231">
        <v>0</v>
      </c>
      <c r="AY90" s="231">
        <v>0</v>
      </c>
      <c r="AZ90" s="230">
        <v>0</v>
      </c>
      <c r="BA90" s="2" t="s">
        <v>1443</v>
      </c>
      <c r="BF90" s="232"/>
    </row>
    <row r="91" spans="1:58" s="2" customFormat="1" ht="15" customHeight="1" x14ac:dyDescent="0.25">
      <c r="A91" s="241" t="s">
        <v>313</v>
      </c>
      <c r="B91" s="2" t="s">
        <v>5</v>
      </c>
      <c r="D91" s="241" t="s">
        <v>314</v>
      </c>
      <c r="E91" s="241" t="s">
        <v>315</v>
      </c>
      <c r="F91" s="359"/>
      <c r="G91" s="318">
        <v>43344</v>
      </c>
      <c r="H91" s="358" t="s">
        <v>1027</v>
      </c>
      <c r="I91" s="367" t="s">
        <v>1048</v>
      </c>
      <c r="J91" s="2">
        <v>521888</v>
      </c>
      <c r="K91" s="2">
        <v>176163</v>
      </c>
      <c r="L91" s="293"/>
      <c r="M91" s="364">
        <v>1</v>
      </c>
      <c r="N91" s="364">
        <v>0</v>
      </c>
      <c r="O91" s="364">
        <v>0</v>
      </c>
      <c r="P91" s="364">
        <v>1</v>
      </c>
      <c r="Q91" s="364"/>
      <c r="R91" s="364"/>
      <c r="S91" s="364"/>
      <c r="T91" s="365">
        <v>2</v>
      </c>
      <c r="U91" s="364"/>
      <c r="V91" s="364">
        <v>0</v>
      </c>
      <c r="W91" s="364">
        <v>0</v>
      </c>
      <c r="X91" s="364">
        <v>0</v>
      </c>
      <c r="Y91" s="364">
        <v>0</v>
      </c>
      <c r="Z91" s="364"/>
      <c r="AA91" s="372">
        <v>1</v>
      </c>
      <c r="AB91" s="364"/>
      <c r="AC91" s="365">
        <v>1</v>
      </c>
      <c r="AD91" s="364"/>
      <c r="AE91" s="364">
        <f t="shared" si="17"/>
        <v>-1</v>
      </c>
      <c r="AF91" s="364">
        <f t="shared" si="18"/>
        <v>0</v>
      </c>
      <c r="AG91" s="364">
        <f t="shared" si="19"/>
        <v>0</v>
      </c>
      <c r="AH91" s="364">
        <f t="shared" si="20"/>
        <v>-1</v>
      </c>
      <c r="AI91" s="364">
        <f t="shared" si="21"/>
        <v>0</v>
      </c>
      <c r="AJ91" s="364">
        <f t="shared" si="22"/>
        <v>1</v>
      </c>
      <c r="AK91" s="364">
        <f t="shared" si="23"/>
        <v>0</v>
      </c>
      <c r="AL91" s="348">
        <f t="shared" si="24"/>
        <v>-1</v>
      </c>
      <c r="AM91" s="369"/>
      <c r="AN91" s="322">
        <v>-1</v>
      </c>
      <c r="AO91" s="231">
        <v>0</v>
      </c>
      <c r="AP91" s="228">
        <v>0</v>
      </c>
      <c r="AQ91" s="231">
        <v>0</v>
      </c>
      <c r="AR91" s="231">
        <v>0</v>
      </c>
      <c r="AS91" s="231">
        <v>0</v>
      </c>
      <c r="AT91" s="231">
        <v>0</v>
      </c>
      <c r="AU91" s="323">
        <v>0</v>
      </c>
      <c r="AV91" s="231">
        <v>0</v>
      </c>
      <c r="AW91" s="231">
        <v>0</v>
      </c>
      <c r="AX91" s="231">
        <v>0</v>
      </c>
      <c r="AY91" s="231">
        <v>0</v>
      </c>
      <c r="AZ91" s="230">
        <v>0</v>
      </c>
      <c r="BA91" s="2" t="s">
        <v>1267</v>
      </c>
      <c r="BF91" s="232"/>
    </row>
    <row r="92" spans="1:58" s="2" customFormat="1" ht="15" customHeight="1" x14ac:dyDescent="0.25">
      <c r="A92" s="241" t="s">
        <v>595</v>
      </c>
      <c r="B92" s="2" t="s">
        <v>5</v>
      </c>
      <c r="D92" s="241" t="s">
        <v>596</v>
      </c>
      <c r="E92" s="241" t="s">
        <v>597</v>
      </c>
      <c r="F92" s="371">
        <v>43315</v>
      </c>
      <c r="G92" s="318">
        <v>43405</v>
      </c>
      <c r="H92" s="358" t="s">
        <v>1027</v>
      </c>
      <c r="I92" s="367" t="s">
        <v>1048</v>
      </c>
      <c r="J92" s="2">
        <v>517294</v>
      </c>
      <c r="K92" s="2">
        <v>169887</v>
      </c>
      <c r="L92" s="293"/>
      <c r="M92" s="364">
        <v>0</v>
      </c>
      <c r="N92" s="364">
        <v>1</v>
      </c>
      <c r="O92" s="364">
        <v>1</v>
      </c>
      <c r="P92" s="364">
        <v>0</v>
      </c>
      <c r="Q92" s="364"/>
      <c r="R92" s="364"/>
      <c r="S92" s="364"/>
      <c r="T92" s="365">
        <v>2</v>
      </c>
      <c r="U92" s="364"/>
      <c r="V92" s="364">
        <v>0</v>
      </c>
      <c r="W92" s="364">
        <v>0</v>
      </c>
      <c r="X92" s="364">
        <v>0</v>
      </c>
      <c r="Y92" s="364">
        <v>0</v>
      </c>
      <c r="Z92" s="372">
        <v>1</v>
      </c>
      <c r="AA92" s="364"/>
      <c r="AB92" s="364"/>
      <c r="AC92" s="365">
        <v>1</v>
      </c>
      <c r="AD92" s="364"/>
      <c r="AE92" s="364">
        <f t="shared" si="17"/>
        <v>0</v>
      </c>
      <c r="AF92" s="364">
        <f t="shared" si="18"/>
        <v>-1</v>
      </c>
      <c r="AG92" s="364">
        <f t="shared" si="19"/>
        <v>-1</v>
      </c>
      <c r="AH92" s="364">
        <f t="shared" si="20"/>
        <v>0</v>
      </c>
      <c r="AI92" s="364">
        <f t="shared" si="21"/>
        <v>1</v>
      </c>
      <c r="AJ92" s="364">
        <f t="shared" si="22"/>
        <v>0</v>
      </c>
      <c r="AK92" s="364">
        <f t="shared" si="23"/>
        <v>0</v>
      </c>
      <c r="AL92" s="348">
        <f t="shared" si="24"/>
        <v>-1</v>
      </c>
      <c r="AM92" s="369"/>
      <c r="AN92" s="322">
        <v>-1</v>
      </c>
      <c r="AO92" s="231">
        <v>0</v>
      </c>
      <c r="AP92" s="228">
        <v>0</v>
      </c>
      <c r="AQ92" s="231">
        <v>0</v>
      </c>
      <c r="AR92" s="231">
        <v>0</v>
      </c>
      <c r="AS92" s="231">
        <v>0</v>
      </c>
      <c r="AT92" s="231">
        <v>0</v>
      </c>
      <c r="AU92" s="323">
        <v>0</v>
      </c>
      <c r="AV92" s="231">
        <v>0</v>
      </c>
      <c r="AW92" s="231">
        <v>0</v>
      </c>
      <c r="AX92" s="231">
        <v>0</v>
      </c>
      <c r="AY92" s="231">
        <v>0</v>
      </c>
      <c r="AZ92" s="230">
        <v>0</v>
      </c>
      <c r="BA92" s="2" t="s">
        <v>1230</v>
      </c>
      <c r="BC92" s="2" t="s">
        <v>1230</v>
      </c>
      <c r="BF92" s="232"/>
    </row>
    <row r="93" spans="1:58" s="2" customFormat="1" ht="15" customHeight="1" x14ac:dyDescent="0.25">
      <c r="A93" s="2" t="s">
        <v>197</v>
      </c>
      <c r="B93" s="2" t="s">
        <v>60</v>
      </c>
      <c r="D93" s="358" t="s">
        <v>198</v>
      </c>
      <c r="E93" s="358" t="s">
        <v>199</v>
      </c>
      <c r="F93" s="319">
        <v>43132</v>
      </c>
      <c r="G93" s="319">
        <v>43413</v>
      </c>
      <c r="H93" s="358" t="s">
        <v>1027</v>
      </c>
      <c r="I93" s="367" t="s">
        <v>1048</v>
      </c>
      <c r="J93" s="2">
        <v>517851</v>
      </c>
      <c r="K93" s="2">
        <v>174887</v>
      </c>
      <c r="L93" s="293"/>
      <c r="M93" s="364">
        <v>0</v>
      </c>
      <c r="N93" s="364">
        <v>0</v>
      </c>
      <c r="O93" s="364">
        <v>0</v>
      </c>
      <c r="P93" s="364">
        <v>0</v>
      </c>
      <c r="Q93" s="364"/>
      <c r="R93" s="364"/>
      <c r="S93" s="364"/>
      <c r="T93" s="366">
        <v>0</v>
      </c>
      <c r="U93" s="364"/>
      <c r="V93" s="364">
        <v>0</v>
      </c>
      <c r="W93" s="364">
        <v>1</v>
      </c>
      <c r="X93" s="364">
        <v>0</v>
      </c>
      <c r="Y93" s="364">
        <v>0</v>
      </c>
      <c r="Z93" s="364"/>
      <c r="AA93" s="364"/>
      <c r="AB93" s="364"/>
      <c r="AC93" s="366">
        <v>1</v>
      </c>
      <c r="AD93" s="364"/>
      <c r="AE93" s="364">
        <f t="shared" si="17"/>
        <v>0</v>
      </c>
      <c r="AF93" s="364">
        <f t="shared" si="18"/>
        <v>1</v>
      </c>
      <c r="AG93" s="364">
        <f t="shared" si="19"/>
        <v>0</v>
      </c>
      <c r="AH93" s="364">
        <f t="shared" si="20"/>
        <v>0</v>
      </c>
      <c r="AI93" s="364">
        <f t="shared" si="21"/>
        <v>0</v>
      </c>
      <c r="AJ93" s="364">
        <f t="shared" si="22"/>
        <v>0</v>
      </c>
      <c r="AK93" s="364">
        <f t="shared" si="23"/>
        <v>0</v>
      </c>
      <c r="AL93" s="348">
        <f t="shared" si="24"/>
        <v>1</v>
      </c>
      <c r="AM93" s="369"/>
      <c r="AN93" s="322">
        <v>1</v>
      </c>
      <c r="AO93" s="231">
        <v>0</v>
      </c>
      <c r="AP93" s="228">
        <v>0</v>
      </c>
      <c r="AQ93" s="231">
        <v>0</v>
      </c>
      <c r="AR93" s="231">
        <v>0</v>
      </c>
      <c r="AS93" s="231">
        <v>0</v>
      </c>
      <c r="AT93" s="231">
        <v>0</v>
      </c>
      <c r="AU93" s="323">
        <v>0</v>
      </c>
      <c r="AV93" s="231">
        <v>0</v>
      </c>
      <c r="AW93" s="231">
        <v>0</v>
      </c>
      <c r="AX93" s="231">
        <v>0</v>
      </c>
      <c r="AY93" s="231">
        <v>0</v>
      </c>
      <c r="AZ93" s="230">
        <v>0</v>
      </c>
      <c r="BA93" s="2" t="s">
        <v>1235</v>
      </c>
      <c r="BD93" s="2" t="s">
        <v>1213</v>
      </c>
      <c r="BF93" s="232"/>
    </row>
    <row r="94" spans="1:58" s="2" customFormat="1" ht="15" customHeight="1" x14ac:dyDescent="0.25">
      <c r="A94" s="241" t="s">
        <v>680</v>
      </c>
      <c r="B94" s="2" t="s">
        <v>9</v>
      </c>
      <c r="D94" s="241" t="s">
        <v>681</v>
      </c>
      <c r="E94" s="241" t="s">
        <v>682</v>
      </c>
      <c r="F94" s="359"/>
      <c r="G94" s="318">
        <v>43405</v>
      </c>
      <c r="H94" s="358" t="s">
        <v>1027</v>
      </c>
      <c r="I94" s="367" t="s">
        <v>1048</v>
      </c>
      <c r="J94" s="2">
        <v>515465</v>
      </c>
      <c r="K94" s="2">
        <v>171212</v>
      </c>
      <c r="L94" s="293"/>
      <c r="M94" s="364">
        <v>0</v>
      </c>
      <c r="N94" s="364">
        <v>0</v>
      </c>
      <c r="O94" s="364">
        <v>0</v>
      </c>
      <c r="P94" s="364">
        <v>0</v>
      </c>
      <c r="Q94" s="364"/>
      <c r="R94" s="364"/>
      <c r="S94" s="364"/>
      <c r="T94" s="365">
        <v>0</v>
      </c>
      <c r="U94" s="364"/>
      <c r="V94" s="364">
        <v>0</v>
      </c>
      <c r="W94" s="364">
        <v>0</v>
      </c>
      <c r="X94" s="364">
        <v>1</v>
      </c>
      <c r="Y94" s="364">
        <v>0</v>
      </c>
      <c r="Z94" s="364"/>
      <c r="AA94" s="364"/>
      <c r="AB94" s="364"/>
      <c r="AC94" s="365">
        <v>1</v>
      </c>
      <c r="AD94" s="364"/>
      <c r="AE94" s="364">
        <f t="shared" si="17"/>
        <v>0</v>
      </c>
      <c r="AF94" s="364">
        <f t="shared" si="18"/>
        <v>0</v>
      </c>
      <c r="AG94" s="364">
        <f t="shared" si="19"/>
        <v>1</v>
      </c>
      <c r="AH94" s="364">
        <f t="shared" si="20"/>
        <v>0</v>
      </c>
      <c r="AI94" s="364">
        <f t="shared" si="21"/>
        <v>0</v>
      </c>
      <c r="AJ94" s="364">
        <f t="shared" si="22"/>
        <v>0</v>
      </c>
      <c r="AK94" s="364">
        <f t="shared" si="23"/>
        <v>0</v>
      </c>
      <c r="AL94" s="348">
        <f t="shared" si="24"/>
        <v>1</v>
      </c>
      <c r="AM94" s="369"/>
      <c r="AN94" s="322">
        <v>1</v>
      </c>
      <c r="AO94" s="231">
        <v>0</v>
      </c>
      <c r="AP94" s="228">
        <v>0</v>
      </c>
      <c r="AQ94" s="231">
        <v>0</v>
      </c>
      <c r="AR94" s="231">
        <v>0</v>
      </c>
      <c r="AS94" s="231">
        <v>0</v>
      </c>
      <c r="AT94" s="231">
        <v>0</v>
      </c>
      <c r="AU94" s="323">
        <v>0</v>
      </c>
      <c r="AV94" s="231">
        <v>0</v>
      </c>
      <c r="AW94" s="231">
        <v>0</v>
      </c>
      <c r="AX94" s="231">
        <v>0</v>
      </c>
      <c r="AY94" s="231">
        <v>0</v>
      </c>
      <c r="AZ94" s="230">
        <v>0</v>
      </c>
      <c r="BA94" s="2" t="s">
        <v>1215</v>
      </c>
      <c r="BF94" s="232" t="s">
        <v>39</v>
      </c>
    </row>
    <row r="95" spans="1:58" s="2" customFormat="1" ht="15" customHeight="1" x14ac:dyDescent="0.25">
      <c r="A95" s="2" t="s">
        <v>200</v>
      </c>
      <c r="B95" s="2" t="s">
        <v>26</v>
      </c>
      <c r="D95" s="358" t="s">
        <v>201</v>
      </c>
      <c r="E95" s="358" t="s">
        <v>202</v>
      </c>
      <c r="F95" s="370"/>
      <c r="G95" s="319">
        <v>43313</v>
      </c>
      <c r="H95" s="358" t="s">
        <v>1027</v>
      </c>
      <c r="I95" s="367" t="s">
        <v>1048</v>
      </c>
      <c r="J95" s="2">
        <v>517496</v>
      </c>
      <c r="K95" s="2">
        <v>169480</v>
      </c>
      <c r="L95" s="293"/>
      <c r="M95" s="364">
        <v>0</v>
      </c>
      <c r="N95" s="364">
        <v>1</v>
      </c>
      <c r="O95" s="364">
        <v>0</v>
      </c>
      <c r="P95" s="364">
        <v>0</v>
      </c>
      <c r="Q95" s="364"/>
      <c r="R95" s="364"/>
      <c r="S95" s="364"/>
      <c r="T95" s="366">
        <v>1</v>
      </c>
      <c r="U95" s="364"/>
      <c r="V95" s="364">
        <v>0</v>
      </c>
      <c r="W95" s="364">
        <v>1</v>
      </c>
      <c r="X95" s="364">
        <v>0</v>
      </c>
      <c r="Y95" s="364">
        <v>0</v>
      </c>
      <c r="Z95" s="364"/>
      <c r="AA95" s="364"/>
      <c r="AB95" s="364"/>
      <c r="AC95" s="366">
        <v>1</v>
      </c>
      <c r="AD95" s="364"/>
      <c r="AE95" s="364">
        <f t="shared" si="17"/>
        <v>0</v>
      </c>
      <c r="AF95" s="364">
        <f t="shared" si="18"/>
        <v>0</v>
      </c>
      <c r="AG95" s="364">
        <f t="shared" si="19"/>
        <v>0</v>
      </c>
      <c r="AH95" s="364">
        <f t="shared" si="20"/>
        <v>0</v>
      </c>
      <c r="AI95" s="364">
        <f t="shared" si="21"/>
        <v>0</v>
      </c>
      <c r="AJ95" s="364">
        <f t="shared" si="22"/>
        <v>0</v>
      </c>
      <c r="AK95" s="364">
        <f t="shared" si="23"/>
        <v>0</v>
      </c>
      <c r="AL95" s="348">
        <f t="shared" si="24"/>
        <v>0</v>
      </c>
      <c r="AM95" s="369"/>
      <c r="AN95" s="322">
        <v>0</v>
      </c>
      <c r="AO95" s="231">
        <v>0</v>
      </c>
      <c r="AP95" s="228">
        <v>0</v>
      </c>
      <c r="AQ95" s="231">
        <v>0</v>
      </c>
      <c r="AR95" s="231">
        <v>0</v>
      </c>
      <c r="AS95" s="231">
        <v>0</v>
      </c>
      <c r="AT95" s="231">
        <v>0</v>
      </c>
      <c r="AU95" s="323">
        <v>0</v>
      </c>
      <c r="AV95" s="231">
        <v>0</v>
      </c>
      <c r="AW95" s="231">
        <v>0</v>
      </c>
      <c r="AX95" s="231">
        <v>0</v>
      </c>
      <c r="AY95" s="231">
        <v>0</v>
      </c>
      <c r="AZ95" s="230">
        <v>0</v>
      </c>
      <c r="BA95" s="2" t="s">
        <v>1230</v>
      </c>
      <c r="BC95" s="2" t="s">
        <v>1230</v>
      </c>
      <c r="BF95" s="232"/>
    </row>
    <row r="96" spans="1:58" s="2" customFormat="1" ht="15" customHeight="1" x14ac:dyDescent="0.25">
      <c r="A96" s="2" t="s">
        <v>203</v>
      </c>
      <c r="B96" s="2" t="s">
        <v>22</v>
      </c>
      <c r="D96" s="358" t="s">
        <v>204</v>
      </c>
      <c r="E96" s="358" t="s">
        <v>205</v>
      </c>
      <c r="F96" s="319">
        <v>43207</v>
      </c>
      <c r="G96" s="319">
        <v>43207</v>
      </c>
      <c r="H96" s="358" t="s">
        <v>1027</v>
      </c>
      <c r="I96" s="367" t="s">
        <v>1048</v>
      </c>
      <c r="J96" s="2">
        <v>519626</v>
      </c>
      <c r="K96" s="2">
        <v>175791</v>
      </c>
      <c r="L96" s="293"/>
      <c r="M96" s="364">
        <v>0</v>
      </c>
      <c r="N96" s="364">
        <v>0</v>
      </c>
      <c r="O96" s="364">
        <v>0</v>
      </c>
      <c r="P96" s="364">
        <v>0</v>
      </c>
      <c r="Q96" s="364"/>
      <c r="R96" s="364"/>
      <c r="S96" s="364"/>
      <c r="T96" s="366">
        <v>0</v>
      </c>
      <c r="U96" s="364"/>
      <c r="V96" s="364">
        <v>2</v>
      </c>
      <c r="W96" s="364">
        <v>0</v>
      </c>
      <c r="X96" s="364">
        <v>0</v>
      </c>
      <c r="Y96" s="364">
        <v>0</v>
      </c>
      <c r="Z96" s="364"/>
      <c r="AA96" s="364"/>
      <c r="AB96" s="364"/>
      <c r="AC96" s="366">
        <v>2</v>
      </c>
      <c r="AD96" s="364"/>
      <c r="AE96" s="364">
        <f t="shared" si="17"/>
        <v>2</v>
      </c>
      <c r="AF96" s="364">
        <f t="shared" si="18"/>
        <v>0</v>
      </c>
      <c r="AG96" s="364">
        <f t="shared" si="19"/>
        <v>0</v>
      </c>
      <c r="AH96" s="364">
        <f t="shared" si="20"/>
        <v>0</v>
      </c>
      <c r="AI96" s="364">
        <f t="shared" si="21"/>
        <v>0</v>
      </c>
      <c r="AJ96" s="364">
        <f t="shared" si="22"/>
        <v>0</v>
      </c>
      <c r="AK96" s="364">
        <f t="shared" si="23"/>
        <v>0</v>
      </c>
      <c r="AL96" s="348">
        <f t="shared" si="24"/>
        <v>2</v>
      </c>
      <c r="AM96" s="369"/>
      <c r="AN96" s="322">
        <v>2</v>
      </c>
      <c r="AO96" s="231">
        <v>0</v>
      </c>
      <c r="AP96" s="228">
        <v>0</v>
      </c>
      <c r="AQ96" s="231">
        <v>0</v>
      </c>
      <c r="AR96" s="231">
        <v>0</v>
      </c>
      <c r="AS96" s="231">
        <v>0</v>
      </c>
      <c r="AT96" s="231">
        <v>0</v>
      </c>
      <c r="AU96" s="323">
        <v>0</v>
      </c>
      <c r="AV96" s="231">
        <v>0</v>
      </c>
      <c r="AW96" s="231">
        <v>0</v>
      </c>
      <c r="AX96" s="231">
        <v>0</v>
      </c>
      <c r="AY96" s="231">
        <v>0</v>
      </c>
      <c r="AZ96" s="230">
        <v>0</v>
      </c>
      <c r="BA96" s="2" t="s">
        <v>1234</v>
      </c>
      <c r="BF96" s="232"/>
    </row>
    <row r="97" spans="1:58" s="2" customFormat="1" ht="15" customHeight="1" x14ac:dyDescent="0.25">
      <c r="A97" s="2" t="s">
        <v>206</v>
      </c>
      <c r="B97" s="2" t="s">
        <v>5</v>
      </c>
      <c r="D97" s="358" t="s">
        <v>207</v>
      </c>
      <c r="E97" s="358" t="s">
        <v>208</v>
      </c>
      <c r="F97" s="319">
        <v>43220</v>
      </c>
      <c r="G97" s="319">
        <v>43374</v>
      </c>
      <c r="H97" s="358" t="s">
        <v>1027</v>
      </c>
      <c r="I97" s="367" t="s">
        <v>1048</v>
      </c>
      <c r="J97" s="2">
        <v>517027</v>
      </c>
      <c r="K97" s="2">
        <v>170370</v>
      </c>
      <c r="L97" s="293"/>
      <c r="M97" s="364">
        <v>1</v>
      </c>
      <c r="N97" s="364">
        <v>1</v>
      </c>
      <c r="O97" s="364">
        <v>0</v>
      </c>
      <c r="P97" s="364">
        <v>0</v>
      </c>
      <c r="Q97" s="364"/>
      <c r="R97" s="364"/>
      <c r="S97" s="364"/>
      <c r="T97" s="366">
        <v>2</v>
      </c>
      <c r="U97" s="364"/>
      <c r="V97" s="364">
        <v>0</v>
      </c>
      <c r="W97" s="364">
        <v>0</v>
      </c>
      <c r="X97" s="364">
        <v>0</v>
      </c>
      <c r="Y97" s="364">
        <v>1</v>
      </c>
      <c r="Z97" s="364"/>
      <c r="AA97" s="364"/>
      <c r="AB97" s="364"/>
      <c r="AC97" s="366">
        <v>1</v>
      </c>
      <c r="AD97" s="364"/>
      <c r="AE97" s="364">
        <f t="shared" si="17"/>
        <v>-1</v>
      </c>
      <c r="AF97" s="364">
        <f t="shared" si="18"/>
        <v>-1</v>
      </c>
      <c r="AG97" s="364">
        <f t="shared" si="19"/>
        <v>0</v>
      </c>
      <c r="AH97" s="364">
        <f t="shared" si="20"/>
        <v>1</v>
      </c>
      <c r="AI97" s="364">
        <f t="shared" si="21"/>
        <v>0</v>
      </c>
      <c r="AJ97" s="364">
        <f t="shared" si="22"/>
        <v>0</v>
      </c>
      <c r="AK97" s="364">
        <f t="shared" si="23"/>
        <v>0</v>
      </c>
      <c r="AL97" s="348">
        <f t="shared" si="24"/>
        <v>-1</v>
      </c>
      <c r="AM97" s="369"/>
      <c r="AN97" s="322">
        <v>-1</v>
      </c>
      <c r="AO97" s="231">
        <v>0</v>
      </c>
      <c r="AP97" s="228">
        <v>0</v>
      </c>
      <c r="AQ97" s="231">
        <v>0</v>
      </c>
      <c r="AR97" s="231">
        <v>0</v>
      </c>
      <c r="AS97" s="231">
        <v>0</v>
      </c>
      <c r="AT97" s="231">
        <v>0</v>
      </c>
      <c r="AU97" s="323">
        <v>0</v>
      </c>
      <c r="AV97" s="231">
        <v>0</v>
      </c>
      <c r="AW97" s="231">
        <v>0</v>
      </c>
      <c r="AX97" s="231">
        <v>0</v>
      </c>
      <c r="AY97" s="231">
        <v>0</v>
      </c>
      <c r="AZ97" s="230">
        <v>0</v>
      </c>
      <c r="BA97" s="2" t="s">
        <v>1230</v>
      </c>
      <c r="BF97" s="232"/>
    </row>
    <row r="98" spans="1:58" s="2" customFormat="1" ht="15" customHeight="1" x14ac:dyDescent="0.25">
      <c r="A98" s="2" t="s">
        <v>209</v>
      </c>
      <c r="B98" s="2" t="s">
        <v>9</v>
      </c>
      <c r="D98" s="358" t="s">
        <v>210</v>
      </c>
      <c r="E98" s="358" t="s">
        <v>211</v>
      </c>
      <c r="F98" s="370"/>
      <c r="G98" s="319">
        <v>43236</v>
      </c>
      <c r="H98" s="358" t="s">
        <v>1027</v>
      </c>
      <c r="I98" s="367" t="s">
        <v>1048</v>
      </c>
      <c r="J98" s="2">
        <v>522177</v>
      </c>
      <c r="K98" s="2">
        <v>177100</v>
      </c>
      <c r="L98" s="293"/>
      <c r="M98" s="364">
        <v>0</v>
      </c>
      <c r="N98" s="364">
        <v>0</v>
      </c>
      <c r="O98" s="364">
        <v>0</v>
      </c>
      <c r="P98" s="364">
        <v>0</v>
      </c>
      <c r="Q98" s="372">
        <v>1</v>
      </c>
      <c r="R98" s="364"/>
      <c r="S98" s="364"/>
      <c r="T98" s="366">
        <v>1</v>
      </c>
      <c r="U98" s="364"/>
      <c r="V98" s="364">
        <v>0</v>
      </c>
      <c r="W98" s="364">
        <v>0</v>
      </c>
      <c r="X98" s="364">
        <v>0</v>
      </c>
      <c r="Y98" s="364">
        <v>0</v>
      </c>
      <c r="Z98" s="372">
        <v>1</v>
      </c>
      <c r="AA98" s="364"/>
      <c r="AB98" s="364"/>
      <c r="AC98" s="366">
        <v>1</v>
      </c>
      <c r="AD98" s="364"/>
      <c r="AE98" s="364">
        <f t="shared" si="17"/>
        <v>0</v>
      </c>
      <c r="AF98" s="364">
        <f t="shared" si="18"/>
        <v>0</v>
      </c>
      <c r="AG98" s="364">
        <f t="shared" si="19"/>
        <v>0</v>
      </c>
      <c r="AH98" s="364">
        <f t="shared" si="20"/>
        <v>0</v>
      </c>
      <c r="AI98" s="364">
        <f t="shared" si="21"/>
        <v>0</v>
      </c>
      <c r="AJ98" s="364">
        <f t="shared" si="22"/>
        <v>0</v>
      </c>
      <c r="AK98" s="364">
        <f t="shared" si="23"/>
        <v>0</v>
      </c>
      <c r="AL98" s="348">
        <f t="shared" si="24"/>
        <v>0</v>
      </c>
      <c r="AM98" s="369"/>
      <c r="AN98" s="322">
        <v>0</v>
      </c>
      <c r="AO98" s="231">
        <v>0</v>
      </c>
      <c r="AP98" s="228">
        <v>0</v>
      </c>
      <c r="AQ98" s="231">
        <v>0</v>
      </c>
      <c r="AR98" s="231">
        <v>0</v>
      </c>
      <c r="AS98" s="231">
        <v>0</v>
      </c>
      <c r="AT98" s="231">
        <v>0</v>
      </c>
      <c r="AU98" s="323">
        <v>0</v>
      </c>
      <c r="AV98" s="231">
        <v>0</v>
      </c>
      <c r="AW98" s="231">
        <v>0</v>
      </c>
      <c r="AX98" s="231">
        <v>0</v>
      </c>
      <c r="AY98" s="231">
        <v>0</v>
      </c>
      <c r="AZ98" s="230">
        <v>0</v>
      </c>
      <c r="BA98" s="2" t="s">
        <v>1225</v>
      </c>
      <c r="BF98" s="232"/>
    </row>
    <row r="99" spans="1:58" s="2" customFormat="1" ht="15" customHeight="1" x14ac:dyDescent="0.25">
      <c r="A99" s="2" t="s">
        <v>212</v>
      </c>
      <c r="B99" s="2" t="s">
        <v>26</v>
      </c>
      <c r="C99" s="2" t="s">
        <v>1037</v>
      </c>
      <c r="D99" s="358" t="s">
        <v>213</v>
      </c>
      <c r="E99" s="358" t="s">
        <v>214</v>
      </c>
      <c r="F99" s="370"/>
      <c r="G99" s="319">
        <v>43334</v>
      </c>
      <c r="H99" s="358" t="s">
        <v>1027</v>
      </c>
      <c r="I99" s="367" t="s">
        <v>1048</v>
      </c>
      <c r="J99" s="2">
        <v>515785</v>
      </c>
      <c r="K99" s="2">
        <v>171101</v>
      </c>
      <c r="L99" s="293"/>
      <c r="M99" s="364">
        <v>0</v>
      </c>
      <c r="N99" s="364">
        <v>0</v>
      </c>
      <c r="O99" s="364">
        <v>0</v>
      </c>
      <c r="P99" s="364">
        <v>0</v>
      </c>
      <c r="Q99" s="364"/>
      <c r="R99" s="364"/>
      <c r="S99" s="364"/>
      <c r="T99" s="366">
        <v>0</v>
      </c>
      <c r="U99" s="364"/>
      <c r="V99" s="364">
        <v>0</v>
      </c>
      <c r="W99" s="364">
        <v>0</v>
      </c>
      <c r="X99" s="364">
        <v>1</v>
      </c>
      <c r="Y99" s="364">
        <v>0</v>
      </c>
      <c r="Z99" s="364"/>
      <c r="AA99" s="364"/>
      <c r="AB99" s="364"/>
      <c r="AC99" s="366">
        <v>1</v>
      </c>
      <c r="AD99" s="364"/>
      <c r="AE99" s="364">
        <f t="shared" ref="AE99:AE123" si="25">V99-M99</f>
        <v>0</v>
      </c>
      <c r="AF99" s="364">
        <f t="shared" ref="AF99:AF123" si="26">W99-N99</f>
        <v>0</v>
      </c>
      <c r="AG99" s="364">
        <f t="shared" ref="AG99:AG123" si="27">X99-O99</f>
        <v>1</v>
      </c>
      <c r="AH99" s="364">
        <f t="shared" ref="AH99:AH123" si="28">Y99-P99</f>
        <v>0</v>
      </c>
      <c r="AI99" s="364">
        <f t="shared" ref="AI99:AI123" si="29">Z99-Q99</f>
        <v>0</v>
      </c>
      <c r="AJ99" s="364">
        <f t="shared" ref="AJ99:AJ123" si="30">AA99-R99</f>
        <v>0</v>
      </c>
      <c r="AK99" s="364">
        <f t="shared" ref="AK99:AK123" si="31">AB99-S99</f>
        <v>0</v>
      </c>
      <c r="AL99" s="348">
        <f t="shared" ref="AL99:AL123" si="32">AC99-T99</f>
        <v>1</v>
      </c>
      <c r="AM99" s="369"/>
      <c r="AN99" s="322">
        <v>1</v>
      </c>
      <c r="AO99" s="231">
        <v>0</v>
      </c>
      <c r="AP99" s="228">
        <v>0</v>
      </c>
      <c r="AQ99" s="231">
        <v>0</v>
      </c>
      <c r="AR99" s="231">
        <v>0</v>
      </c>
      <c r="AS99" s="231">
        <v>0</v>
      </c>
      <c r="AT99" s="231">
        <v>0</v>
      </c>
      <c r="AU99" s="323">
        <v>0</v>
      </c>
      <c r="AV99" s="231">
        <v>0</v>
      </c>
      <c r="AW99" s="231">
        <v>0</v>
      </c>
      <c r="AX99" s="231">
        <v>0</v>
      </c>
      <c r="AY99" s="231">
        <v>0</v>
      </c>
      <c r="AZ99" s="230">
        <v>0</v>
      </c>
      <c r="BA99" s="2" t="s">
        <v>1215</v>
      </c>
      <c r="BD99" s="2" t="s">
        <v>1215</v>
      </c>
      <c r="BF99" s="232"/>
    </row>
    <row r="100" spans="1:58" s="2" customFormat="1" ht="15" customHeight="1" x14ac:dyDescent="0.25">
      <c r="A100" s="2" t="s">
        <v>215</v>
      </c>
      <c r="B100" s="2" t="s">
        <v>26</v>
      </c>
      <c r="D100" s="358" t="s">
        <v>216</v>
      </c>
      <c r="E100" s="358" t="s">
        <v>217</v>
      </c>
      <c r="F100" s="370"/>
      <c r="G100" s="319">
        <v>43221</v>
      </c>
      <c r="H100" s="358" t="s">
        <v>1027</v>
      </c>
      <c r="I100" s="367" t="s">
        <v>1048</v>
      </c>
      <c r="J100" s="2">
        <v>519113</v>
      </c>
      <c r="K100" s="2">
        <v>176398</v>
      </c>
      <c r="L100" s="293"/>
      <c r="M100" s="364">
        <v>0</v>
      </c>
      <c r="N100" s="364">
        <v>0</v>
      </c>
      <c r="O100" s="364">
        <v>0</v>
      </c>
      <c r="P100" s="364">
        <v>0</v>
      </c>
      <c r="Q100" s="364"/>
      <c r="R100" s="372">
        <v>1</v>
      </c>
      <c r="S100" s="364"/>
      <c r="T100" s="366">
        <v>1</v>
      </c>
      <c r="U100" s="364"/>
      <c r="V100" s="364">
        <v>0</v>
      </c>
      <c r="W100" s="364">
        <v>0</v>
      </c>
      <c r="X100" s="364">
        <v>0</v>
      </c>
      <c r="Y100" s="364">
        <v>0</v>
      </c>
      <c r="Z100" s="364"/>
      <c r="AA100" s="364"/>
      <c r="AB100" s="364"/>
      <c r="AC100" s="366">
        <v>0</v>
      </c>
      <c r="AD100" s="364"/>
      <c r="AE100" s="364">
        <f t="shared" si="25"/>
        <v>0</v>
      </c>
      <c r="AF100" s="364">
        <f t="shared" si="26"/>
        <v>0</v>
      </c>
      <c r="AG100" s="364">
        <f t="shared" si="27"/>
        <v>0</v>
      </c>
      <c r="AH100" s="364">
        <f t="shared" si="28"/>
        <v>0</v>
      </c>
      <c r="AI100" s="364">
        <f t="shared" si="29"/>
        <v>0</v>
      </c>
      <c r="AJ100" s="364">
        <f t="shared" si="30"/>
        <v>-1</v>
      </c>
      <c r="AK100" s="364">
        <f t="shared" si="31"/>
        <v>0</v>
      </c>
      <c r="AL100" s="348">
        <f t="shared" si="32"/>
        <v>-1</v>
      </c>
      <c r="AM100" s="369"/>
      <c r="AN100" s="322">
        <v>-1</v>
      </c>
      <c r="AO100" s="231">
        <v>0</v>
      </c>
      <c r="AP100" s="228">
        <v>0</v>
      </c>
      <c r="AQ100" s="231">
        <v>0</v>
      </c>
      <c r="AR100" s="231">
        <v>0</v>
      </c>
      <c r="AS100" s="231">
        <v>0</v>
      </c>
      <c r="AT100" s="231">
        <v>0</v>
      </c>
      <c r="AU100" s="323">
        <v>0</v>
      </c>
      <c r="AV100" s="231">
        <v>0</v>
      </c>
      <c r="AW100" s="231">
        <v>0</v>
      </c>
      <c r="AX100" s="231">
        <v>0</v>
      </c>
      <c r="AY100" s="231">
        <v>0</v>
      </c>
      <c r="AZ100" s="230">
        <v>0</v>
      </c>
      <c r="BA100" s="2" t="s">
        <v>1232</v>
      </c>
      <c r="BF100" s="232"/>
    </row>
    <row r="101" spans="1:58" s="2" customFormat="1" ht="15" customHeight="1" x14ac:dyDescent="0.25">
      <c r="A101" s="241" t="s">
        <v>917</v>
      </c>
      <c r="B101" s="2" t="s">
        <v>5</v>
      </c>
      <c r="D101" s="241" t="s">
        <v>918</v>
      </c>
      <c r="E101" s="241" t="s">
        <v>919</v>
      </c>
      <c r="F101" s="359"/>
      <c r="G101" s="318">
        <v>43516</v>
      </c>
      <c r="H101" s="358" t="s">
        <v>1027</v>
      </c>
      <c r="I101" s="367" t="s">
        <v>1048</v>
      </c>
      <c r="J101" s="2">
        <v>512524</v>
      </c>
      <c r="K101" s="2">
        <v>173600</v>
      </c>
      <c r="L101" s="293"/>
      <c r="M101" s="364">
        <v>2</v>
      </c>
      <c r="N101" s="364">
        <v>0</v>
      </c>
      <c r="O101" s="364">
        <v>0</v>
      </c>
      <c r="P101" s="364">
        <v>0</v>
      </c>
      <c r="Q101" s="364"/>
      <c r="R101" s="364"/>
      <c r="S101" s="364"/>
      <c r="T101" s="365">
        <v>2</v>
      </c>
      <c r="U101" s="364"/>
      <c r="V101" s="364">
        <v>0</v>
      </c>
      <c r="W101" s="364">
        <v>0</v>
      </c>
      <c r="X101" s="364">
        <v>1</v>
      </c>
      <c r="Y101" s="364">
        <v>0</v>
      </c>
      <c r="Z101" s="364"/>
      <c r="AA101" s="364"/>
      <c r="AB101" s="364"/>
      <c r="AC101" s="365">
        <v>1</v>
      </c>
      <c r="AD101" s="364"/>
      <c r="AE101" s="364">
        <f t="shared" si="25"/>
        <v>-2</v>
      </c>
      <c r="AF101" s="364">
        <f t="shared" si="26"/>
        <v>0</v>
      </c>
      <c r="AG101" s="364">
        <f t="shared" si="27"/>
        <v>1</v>
      </c>
      <c r="AH101" s="364">
        <f t="shared" si="28"/>
        <v>0</v>
      </c>
      <c r="AI101" s="364">
        <f t="shared" si="29"/>
        <v>0</v>
      </c>
      <c r="AJ101" s="364">
        <f t="shared" si="30"/>
        <v>0</v>
      </c>
      <c r="AK101" s="364">
        <f t="shared" si="31"/>
        <v>0</v>
      </c>
      <c r="AL101" s="348">
        <f t="shared" si="32"/>
        <v>-1</v>
      </c>
      <c r="AM101" s="369"/>
      <c r="AN101" s="322">
        <v>-1</v>
      </c>
      <c r="AO101" s="231">
        <v>0</v>
      </c>
      <c r="AP101" s="228">
        <v>0</v>
      </c>
      <c r="AQ101" s="231">
        <v>0</v>
      </c>
      <c r="AR101" s="231">
        <v>0</v>
      </c>
      <c r="AS101" s="231">
        <v>0</v>
      </c>
      <c r="AT101" s="231">
        <v>0</v>
      </c>
      <c r="AU101" s="242">
        <v>0</v>
      </c>
      <c r="AV101" s="231">
        <v>0</v>
      </c>
      <c r="AW101" s="231">
        <v>0</v>
      </c>
      <c r="AX101" s="231">
        <v>0</v>
      </c>
      <c r="AY101" s="231">
        <v>0</v>
      </c>
      <c r="AZ101" s="230">
        <v>0</v>
      </c>
      <c r="BA101" s="2" t="s">
        <v>1231</v>
      </c>
      <c r="BF101" s="232"/>
    </row>
    <row r="102" spans="1:58" s="2" customFormat="1" ht="15" customHeight="1" x14ac:dyDescent="0.25">
      <c r="A102" s="241" t="s">
        <v>269</v>
      </c>
      <c r="B102" s="2" t="s">
        <v>5</v>
      </c>
      <c r="D102" s="241" t="s">
        <v>270</v>
      </c>
      <c r="E102" s="241" t="s">
        <v>271</v>
      </c>
      <c r="F102" s="359"/>
      <c r="G102" s="318">
        <v>43405</v>
      </c>
      <c r="H102" s="358" t="s">
        <v>1027</v>
      </c>
      <c r="I102" s="367" t="s">
        <v>1048</v>
      </c>
      <c r="J102" s="2">
        <v>522363</v>
      </c>
      <c r="K102" s="2">
        <v>177795</v>
      </c>
      <c r="L102" s="293"/>
      <c r="M102" s="364">
        <v>1</v>
      </c>
      <c r="N102" s="364">
        <v>0</v>
      </c>
      <c r="O102" s="364">
        <v>0</v>
      </c>
      <c r="P102" s="364">
        <v>0</v>
      </c>
      <c r="Q102" s="372">
        <v>1</v>
      </c>
      <c r="R102" s="364"/>
      <c r="S102" s="364"/>
      <c r="T102" s="365">
        <v>2</v>
      </c>
      <c r="U102" s="364"/>
      <c r="V102" s="364">
        <v>0</v>
      </c>
      <c r="W102" s="364">
        <v>0</v>
      </c>
      <c r="X102" s="364">
        <v>0</v>
      </c>
      <c r="Y102" s="364">
        <v>0</v>
      </c>
      <c r="Z102" s="364"/>
      <c r="AA102" s="372">
        <v>1</v>
      </c>
      <c r="AB102" s="364"/>
      <c r="AC102" s="365">
        <v>1</v>
      </c>
      <c r="AD102" s="364"/>
      <c r="AE102" s="364">
        <f t="shared" si="25"/>
        <v>-1</v>
      </c>
      <c r="AF102" s="364">
        <f t="shared" si="26"/>
        <v>0</v>
      </c>
      <c r="AG102" s="364">
        <f t="shared" si="27"/>
        <v>0</v>
      </c>
      <c r="AH102" s="364">
        <f t="shared" si="28"/>
        <v>0</v>
      </c>
      <c r="AI102" s="364">
        <f t="shared" si="29"/>
        <v>-1</v>
      </c>
      <c r="AJ102" s="364">
        <f t="shared" si="30"/>
        <v>1</v>
      </c>
      <c r="AK102" s="364">
        <f t="shared" si="31"/>
        <v>0</v>
      </c>
      <c r="AL102" s="348">
        <f t="shared" si="32"/>
        <v>-1</v>
      </c>
      <c r="AM102" s="369"/>
      <c r="AN102" s="322">
        <v>-1</v>
      </c>
      <c r="AO102" s="231">
        <v>0</v>
      </c>
      <c r="AP102" s="228">
        <v>0</v>
      </c>
      <c r="AQ102" s="231">
        <v>0</v>
      </c>
      <c r="AR102" s="231">
        <v>0</v>
      </c>
      <c r="AS102" s="231">
        <v>0</v>
      </c>
      <c r="AT102" s="231">
        <v>0</v>
      </c>
      <c r="AU102" s="323">
        <v>0</v>
      </c>
      <c r="AV102" s="231">
        <v>0</v>
      </c>
      <c r="AW102" s="231">
        <v>0</v>
      </c>
      <c r="AX102" s="231">
        <v>0</v>
      </c>
      <c r="AY102" s="231">
        <v>0</v>
      </c>
      <c r="AZ102" s="230">
        <v>0</v>
      </c>
      <c r="BA102" s="2" t="s">
        <v>1225</v>
      </c>
      <c r="BF102" s="232"/>
    </row>
    <row r="103" spans="1:58" s="2" customFormat="1" ht="15" customHeight="1" x14ac:dyDescent="0.25">
      <c r="A103" s="2" t="s">
        <v>218</v>
      </c>
      <c r="B103" s="2" t="s">
        <v>5</v>
      </c>
      <c r="D103" s="358" t="s">
        <v>219</v>
      </c>
      <c r="E103" s="358" t="s">
        <v>220</v>
      </c>
      <c r="F103" s="319">
        <v>43234</v>
      </c>
      <c r="G103" s="319">
        <v>43234</v>
      </c>
      <c r="H103" s="358" t="s">
        <v>1027</v>
      </c>
      <c r="I103" s="367" t="s">
        <v>1048</v>
      </c>
      <c r="J103" s="2">
        <v>515074</v>
      </c>
      <c r="K103" s="2">
        <v>174033</v>
      </c>
      <c r="L103" s="293"/>
      <c r="M103" s="364">
        <v>0</v>
      </c>
      <c r="N103" s="364">
        <v>0</v>
      </c>
      <c r="O103" s="364">
        <v>0</v>
      </c>
      <c r="P103" s="364">
        <v>1</v>
      </c>
      <c r="Q103" s="364"/>
      <c r="R103" s="364"/>
      <c r="S103" s="364"/>
      <c r="T103" s="366">
        <v>1</v>
      </c>
      <c r="U103" s="364"/>
      <c r="V103" s="364">
        <v>1</v>
      </c>
      <c r="W103" s="364">
        <v>0</v>
      </c>
      <c r="X103" s="364">
        <v>1</v>
      </c>
      <c r="Y103" s="364">
        <v>0</v>
      </c>
      <c r="Z103" s="364"/>
      <c r="AA103" s="364"/>
      <c r="AB103" s="364"/>
      <c r="AC103" s="366">
        <v>2</v>
      </c>
      <c r="AD103" s="364"/>
      <c r="AE103" s="364">
        <f t="shared" si="25"/>
        <v>1</v>
      </c>
      <c r="AF103" s="364">
        <f t="shared" si="26"/>
        <v>0</v>
      </c>
      <c r="AG103" s="364">
        <f t="shared" si="27"/>
        <v>1</v>
      </c>
      <c r="AH103" s="364">
        <f t="shared" si="28"/>
        <v>-1</v>
      </c>
      <c r="AI103" s="364">
        <f t="shared" si="29"/>
        <v>0</v>
      </c>
      <c r="AJ103" s="364">
        <f t="shared" si="30"/>
        <v>0</v>
      </c>
      <c r="AK103" s="364">
        <f t="shared" si="31"/>
        <v>0</v>
      </c>
      <c r="AL103" s="348">
        <f t="shared" si="32"/>
        <v>1</v>
      </c>
      <c r="AM103" s="369"/>
      <c r="AN103" s="322">
        <v>1</v>
      </c>
      <c r="AO103" s="231">
        <v>0</v>
      </c>
      <c r="AP103" s="228">
        <v>0</v>
      </c>
      <c r="AQ103" s="231">
        <v>0</v>
      </c>
      <c r="AR103" s="231">
        <v>0</v>
      </c>
      <c r="AS103" s="231">
        <v>0</v>
      </c>
      <c r="AT103" s="231">
        <v>0</v>
      </c>
      <c r="AU103" s="323">
        <v>0</v>
      </c>
      <c r="AV103" s="231">
        <v>0</v>
      </c>
      <c r="AW103" s="231">
        <v>0</v>
      </c>
      <c r="AX103" s="231">
        <v>0</v>
      </c>
      <c r="AY103" s="231">
        <v>0</v>
      </c>
      <c r="AZ103" s="230">
        <v>0</v>
      </c>
      <c r="BA103" s="2" t="s">
        <v>1219</v>
      </c>
      <c r="BF103" s="232"/>
    </row>
    <row r="104" spans="1:58" s="2" customFormat="1" ht="15" customHeight="1" x14ac:dyDescent="0.25">
      <c r="A104" s="241" t="s">
        <v>697</v>
      </c>
      <c r="B104" s="2" t="s">
        <v>22</v>
      </c>
      <c r="D104" s="241" t="s">
        <v>698</v>
      </c>
      <c r="E104" s="241" t="s">
        <v>699</v>
      </c>
      <c r="F104" s="359"/>
      <c r="G104" s="318">
        <v>43554</v>
      </c>
      <c r="H104" s="358" t="s">
        <v>1027</v>
      </c>
      <c r="I104" s="367" t="s">
        <v>1048</v>
      </c>
      <c r="J104" s="2">
        <v>515678</v>
      </c>
      <c r="K104" s="2">
        <v>171479</v>
      </c>
      <c r="L104" s="293"/>
      <c r="M104" s="364">
        <v>0</v>
      </c>
      <c r="N104" s="364">
        <v>0</v>
      </c>
      <c r="O104" s="364">
        <v>0</v>
      </c>
      <c r="P104" s="364">
        <v>0</v>
      </c>
      <c r="Q104" s="364"/>
      <c r="R104" s="364"/>
      <c r="S104" s="364"/>
      <c r="T104" s="365">
        <v>0</v>
      </c>
      <c r="U104" s="364"/>
      <c r="V104" s="364">
        <v>1</v>
      </c>
      <c r="W104" s="364">
        <v>0</v>
      </c>
      <c r="X104" s="364">
        <v>0</v>
      </c>
      <c r="Y104" s="364">
        <v>0</v>
      </c>
      <c r="Z104" s="364"/>
      <c r="AA104" s="364"/>
      <c r="AB104" s="364"/>
      <c r="AC104" s="365">
        <v>1</v>
      </c>
      <c r="AD104" s="364"/>
      <c r="AE104" s="364">
        <f t="shared" si="25"/>
        <v>1</v>
      </c>
      <c r="AF104" s="364">
        <f t="shared" si="26"/>
        <v>0</v>
      </c>
      <c r="AG104" s="364">
        <f t="shared" si="27"/>
        <v>0</v>
      </c>
      <c r="AH104" s="364">
        <f t="shared" si="28"/>
        <v>0</v>
      </c>
      <c r="AI104" s="364">
        <f t="shared" si="29"/>
        <v>0</v>
      </c>
      <c r="AJ104" s="364">
        <f t="shared" si="30"/>
        <v>0</v>
      </c>
      <c r="AK104" s="364">
        <f t="shared" si="31"/>
        <v>0</v>
      </c>
      <c r="AL104" s="348">
        <f t="shared" si="32"/>
        <v>1</v>
      </c>
      <c r="AM104" s="369"/>
      <c r="AN104" s="322">
        <v>1</v>
      </c>
      <c r="AO104" s="231">
        <v>0</v>
      </c>
      <c r="AP104" s="228">
        <v>0</v>
      </c>
      <c r="AQ104" s="231">
        <v>0</v>
      </c>
      <c r="AR104" s="231">
        <v>0</v>
      </c>
      <c r="AS104" s="231">
        <v>0</v>
      </c>
      <c r="AT104" s="231">
        <v>0</v>
      </c>
      <c r="AU104" s="323">
        <v>0</v>
      </c>
      <c r="AV104" s="231">
        <v>0</v>
      </c>
      <c r="AW104" s="231">
        <v>0</v>
      </c>
      <c r="AX104" s="231">
        <v>0</v>
      </c>
      <c r="AY104" s="231">
        <v>0</v>
      </c>
      <c r="AZ104" s="230">
        <v>0</v>
      </c>
      <c r="BA104" s="2" t="s">
        <v>1215</v>
      </c>
      <c r="BF104" s="232"/>
    </row>
    <row r="105" spans="1:58" s="2" customFormat="1" ht="15" customHeight="1" x14ac:dyDescent="0.25">
      <c r="A105" s="241" t="s">
        <v>746</v>
      </c>
      <c r="B105" s="2" t="s">
        <v>5</v>
      </c>
      <c r="D105" s="241" t="s">
        <v>747</v>
      </c>
      <c r="E105" s="241" t="s">
        <v>748</v>
      </c>
      <c r="F105" s="359"/>
      <c r="G105" s="318">
        <v>43554</v>
      </c>
      <c r="H105" s="358" t="s">
        <v>1027</v>
      </c>
      <c r="I105" s="367" t="s">
        <v>1048</v>
      </c>
      <c r="J105" s="2">
        <v>515214</v>
      </c>
      <c r="K105" s="2">
        <v>171265</v>
      </c>
      <c r="L105" s="293"/>
      <c r="M105" s="364">
        <v>0</v>
      </c>
      <c r="N105" s="364">
        <v>0</v>
      </c>
      <c r="O105" s="364">
        <v>1</v>
      </c>
      <c r="P105" s="364">
        <v>0</v>
      </c>
      <c r="Q105" s="364"/>
      <c r="R105" s="364"/>
      <c r="S105" s="364"/>
      <c r="T105" s="365">
        <v>1</v>
      </c>
      <c r="U105" s="364"/>
      <c r="V105" s="364">
        <v>2</v>
      </c>
      <c r="W105" s="364">
        <v>0</v>
      </c>
      <c r="X105" s="364">
        <v>0</v>
      </c>
      <c r="Y105" s="364">
        <v>0</v>
      </c>
      <c r="Z105" s="364"/>
      <c r="AA105" s="364"/>
      <c r="AB105" s="364"/>
      <c r="AC105" s="365">
        <v>2</v>
      </c>
      <c r="AD105" s="364"/>
      <c r="AE105" s="364">
        <f t="shared" si="25"/>
        <v>2</v>
      </c>
      <c r="AF105" s="364">
        <f t="shared" si="26"/>
        <v>0</v>
      </c>
      <c r="AG105" s="364">
        <f t="shared" si="27"/>
        <v>-1</v>
      </c>
      <c r="AH105" s="364">
        <f t="shared" si="28"/>
        <v>0</v>
      </c>
      <c r="AI105" s="364">
        <f t="shared" si="29"/>
        <v>0</v>
      </c>
      <c r="AJ105" s="364">
        <f t="shared" si="30"/>
        <v>0</v>
      </c>
      <c r="AK105" s="364">
        <f t="shared" si="31"/>
        <v>0</v>
      </c>
      <c r="AL105" s="348">
        <f t="shared" si="32"/>
        <v>1</v>
      </c>
      <c r="AM105" s="369"/>
      <c r="AN105" s="322">
        <v>1</v>
      </c>
      <c r="AO105" s="231">
        <v>0</v>
      </c>
      <c r="AP105" s="228">
        <v>0</v>
      </c>
      <c r="AQ105" s="231">
        <v>0</v>
      </c>
      <c r="AR105" s="231">
        <v>0</v>
      </c>
      <c r="AS105" s="231">
        <v>0</v>
      </c>
      <c r="AT105" s="231">
        <v>0</v>
      </c>
      <c r="AU105" s="323">
        <v>0</v>
      </c>
      <c r="AV105" s="231">
        <v>0</v>
      </c>
      <c r="AW105" s="231">
        <v>0</v>
      </c>
      <c r="AX105" s="231">
        <v>0</v>
      </c>
      <c r="AY105" s="231">
        <v>0</v>
      </c>
      <c r="AZ105" s="230">
        <v>0</v>
      </c>
      <c r="BA105" s="2" t="s">
        <v>1265</v>
      </c>
      <c r="BF105" s="232"/>
    </row>
    <row r="106" spans="1:58" s="2" customFormat="1" ht="15" customHeight="1" x14ac:dyDescent="0.25">
      <c r="A106" s="2" t="s">
        <v>221</v>
      </c>
      <c r="B106" s="2" t="s">
        <v>5</v>
      </c>
      <c r="D106" s="358" t="s">
        <v>222</v>
      </c>
      <c r="E106" s="358" t="s">
        <v>223</v>
      </c>
      <c r="F106" s="370"/>
      <c r="G106" s="319">
        <v>43525</v>
      </c>
      <c r="H106" s="358" t="s">
        <v>1027</v>
      </c>
      <c r="I106" s="367" t="s">
        <v>1048</v>
      </c>
      <c r="J106" s="2">
        <v>512853</v>
      </c>
      <c r="K106" s="2">
        <v>170579</v>
      </c>
      <c r="L106" s="293"/>
      <c r="M106" s="364">
        <v>0</v>
      </c>
      <c r="N106" s="364">
        <v>2</v>
      </c>
      <c r="O106" s="364">
        <v>0</v>
      </c>
      <c r="P106" s="364">
        <v>0</v>
      </c>
      <c r="Q106" s="364"/>
      <c r="R106" s="364"/>
      <c r="S106" s="364"/>
      <c r="T106" s="366">
        <v>2</v>
      </c>
      <c r="U106" s="364"/>
      <c r="V106" s="364">
        <v>0</v>
      </c>
      <c r="W106" s="364">
        <v>0</v>
      </c>
      <c r="X106" s="364">
        <v>1</v>
      </c>
      <c r="Y106" s="364">
        <v>0</v>
      </c>
      <c r="Z106" s="364"/>
      <c r="AA106" s="364"/>
      <c r="AB106" s="364"/>
      <c r="AC106" s="366">
        <v>1</v>
      </c>
      <c r="AD106" s="364"/>
      <c r="AE106" s="364">
        <f t="shared" si="25"/>
        <v>0</v>
      </c>
      <c r="AF106" s="364">
        <f t="shared" si="26"/>
        <v>-2</v>
      </c>
      <c r="AG106" s="364">
        <f t="shared" si="27"/>
        <v>1</v>
      </c>
      <c r="AH106" s="364">
        <f t="shared" si="28"/>
        <v>0</v>
      </c>
      <c r="AI106" s="364">
        <f t="shared" si="29"/>
        <v>0</v>
      </c>
      <c r="AJ106" s="364">
        <f t="shared" si="30"/>
        <v>0</v>
      </c>
      <c r="AK106" s="364">
        <f t="shared" si="31"/>
        <v>0</v>
      </c>
      <c r="AL106" s="348">
        <f t="shared" si="32"/>
        <v>-1</v>
      </c>
      <c r="AM106" s="369"/>
      <c r="AN106" s="322">
        <v>-1</v>
      </c>
      <c r="AO106" s="231">
        <v>0</v>
      </c>
      <c r="AP106" s="228">
        <v>0</v>
      </c>
      <c r="AQ106" s="231">
        <v>0</v>
      </c>
      <c r="AR106" s="231">
        <v>0</v>
      </c>
      <c r="AS106" s="231">
        <v>0</v>
      </c>
      <c r="AT106" s="231">
        <v>0</v>
      </c>
      <c r="AU106" s="323">
        <v>0</v>
      </c>
      <c r="AV106" s="231">
        <v>0</v>
      </c>
      <c r="AW106" s="231">
        <v>0</v>
      </c>
      <c r="AX106" s="231">
        <v>0</v>
      </c>
      <c r="AY106" s="231">
        <v>0</v>
      </c>
      <c r="AZ106" s="230">
        <v>0</v>
      </c>
      <c r="BA106" s="2" t="s">
        <v>1228</v>
      </c>
      <c r="BF106" s="232"/>
    </row>
    <row r="107" spans="1:58" s="2" customFormat="1" ht="15" customHeight="1" x14ac:dyDescent="0.25">
      <c r="A107" s="2" t="s">
        <v>224</v>
      </c>
      <c r="B107" s="2" t="s">
        <v>26</v>
      </c>
      <c r="D107" s="358" t="s">
        <v>225</v>
      </c>
      <c r="E107" s="358" t="s">
        <v>226</v>
      </c>
      <c r="F107" s="370"/>
      <c r="G107" s="319">
        <v>43418</v>
      </c>
      <c r="H107" s="358" t="s">
        <v>1027</v>
      </c>
      <c r="I107" s="367" t="s">
        <v>1048</v>
      </c>
      <c r="J107" s="2">
        <v>512973</v>
      </c>
      <c r="K107" s="2">
        <v>169743</v>
      </c>
      <c r="L107" s="293"/>
      <c r="M107" s="364">
        <v>0</v>
      </c>
      <c r="N107" s="364">
        <v>1</v>
      </c>
      <c r="O107" s="364">
        <v>1</v>
      </c>
      <c r="P107" s="364">
        <v>0</v>
      </c>
      <c r="Q107" s="364"/>
      <c r="R107" s="364"/>
      <c r="S107" s="364"/>
      <c r="T107" s="366">
        <v>2</v>
      </c>
      <c r="U107" s="364"/>
      <c r="V107" s="364">
        <v>0</v>
      </c>
      <c r="W107" s="364">
        <v>0</v>
      </c>
      <c r="X107" s="364">
        <v>0</v>
      </c>
      <c r="Y107" s="364">
        <v>1</v>
      </c>
      <c r="Z107" s="364"/>
      <c r="AA107" s="364"/>
      <c r="AB107" s="364"/>
      <c r="AC107" s="366">
        <v>1</v>
      </c>
      <c r="AD107" s="364"/>
      <c r="AE107" s="364">
        <f t="shared" si="25"/>
        <v>0</v>
      </c>
      <c r="AF107" s="364">
        <f t="shared" si="26"/>
        <v>-1</v>
      </c>
      <c r="AG107" s="364">
        <f t="shared" si="27"/>
        <v>-1</v>
      </c>
      <c r="AH107" s="364">
        <f t="shared" si="28"/>
        <v>1</v>
      </c>
      <c r="AI107" s="364">
        <f t="shared" si="29"/>
        <v>0</v>
      </c>
      <c r="AJ107" s="364">
        <f t="shared" si="30"/>
        <v>0</v>
      </c>
      <c r="AK107" s="364">
        <f t="shared" si="31"/>
        <v>0</v>
      </c>
      <c r="AL107" s="348">
        <f t="shared" si="32"/>
        <v>-1</v>
      </c>
      <c r="AM107" s="369"/>
      <c r="AN107" s="322">
        <v>-1</v>
      </c>
      <c r="AO107" s="231">
        <v>0</v>
      </c>
      <c r="AP107" s="228">
        <v>0</v>
      </c>
      <c r="AQ107" s="231">
        <v>0</v>
      </c>
      <c r="AR107" s="231">
        <v>0</v>
      </c>
      <c r="AS107" s="231">
        <v>0</v>
      </c>
      <c r="AT107" s="231">
        <v>0</v>
      </c>
      <c r="AU107" s="323">
        <v>0</v>
      </c>
      <c r="AV107" s="231">
        <v>0</v>
      </c>
      <c r="AW107" s="231">
        <v>0</v>
      </c>
      <c r="AX107" s="231">
        <v>0</v>
      </c>
      <c r="AY107" s="231">
        <v>0</v>
      </c>
      <c r="AZ107" s="230">
        <v>0</v>
      </c>
      <c r="BA107" s="2" t="s">
        <v>1229</v>
      </c>
      <c r="BF107" s="232"/>
    </row>
    <row r="108" spans="1:58" s="2" customFormat="1" ht="15" customHeight="1" x14ac:dyDescent="0.25">
      <c r="A108" s="2" t="s">
        <v>228</v>
      </c>
      <c r="B108" s="2" t="s">
        <v>26</v>
      </c>
      <c r="D108" s="358" t="s">
        <v>229</v>
      </c>
      <c r="E108" s="358" t="s">
        <v>230</v>
      </c>
      <c r="F108" s="370"/>
      <c r="G108" s="319">
        <v>43375</v>
      </c>
      <c r="H108" s="358" t="s">
        <v>1027</v>
      </c>
      <c r="I108" s="367" t="s">
        <v>1048</v>
      </c>
      <c r="J108" s="2">
        <v>520298</v>
      </c>
      <c r="K108" s="2">
        <v>175843</v>
      </c>
      <c r="L108" s="293"/>
      <c r="M108" s="364">
        <v>0</v>
      </c>
      <c r="N108" s="364">
        <v>0</v>
      </c>
      <c r="O108" s="364">
        <v>0</v>
      </c>
      <c r="P108" s="364">
        <v>0</v>
      </c>
      <c r="Q108" s="364"/>
      <c r="R108" s="364"/>
      <c r="S108" s="364"/>
      <c r="T108" s="366">
        <v>0</v>
      </c>
      <c r="U108" s="364"/>
      <c r="V108" s="364">
        <v>0</v>
      </c>
      <c r="W108" s="364">
        <v>1</v>
      </c>
      <c r="X108" s="364">
        <v>0</v>
      </c>
      <c r="Y108" s="364">
        <v>0</v>
      </c>
      <c r="Z108" s="364"/>
      <c r="AA108" s="364"/>
      <c r="AB108" s="364"/>
      <c r="AC108" s="366">
        <v>1</v>
      </c>
      <c r="AD108" s="364"/>
      <c r="AE108" s="364">
        <f t="shared" si="25"/>
        <v>0</v>
      </c>
      <c r="AF108" s="364">
        <f t="shared" si="26"/>
        <v>1</v>
      </c>
      <c r="AG108" s="364">
        <f t="shared" si="27"/>
        <v>0</v>
      </c>
      <c r="AH108" s="364">
        <f t="shared" si="28"/>
        <v>0</v>
      </c>
      <c r="AI108" s="364">
        <f t="shared" si="29"/>
        <v>0</v>
      </c>
      <c r="AJ108" s="364">
        <f t="shared" si="30"/>
        <v>0</v>
      </c>
      <c r="AK108" s="364">
        <f t="shared" si="31"/>
        <v>0</v>
      </c>
      <c r="AL108" s="348">
        <f t="shared" si="32"/>
        <v>1</v>
      </c>
      <c r="AM108" s="369"/>
      <c r="AN108" s="322">
        <v>1</v>
      </c>
      <c r="AO108" s="231">
        <v>0</v>
      </c>
      <c r="AP108" s="228">
        <v>0</v>
      </c>
      <c r="AQ108" s="231">
        <v>0</v>
      </c>
      <c r="AR108" s="231">
        <v>0</v>
      </c>
      <c r="AS108" s="231">
        <v>0</v>
      </c>
      <c r="AT108" s="231">
        <v>0</v>
      </c>
      <c r="AU108" s="323">
        <v>0</v>
      </c>
      <c r="AV108" s="231">
        <v>0</v>
      </c>
      <c r="AW108" s="231">
        <v>0</v>
      </c>
      <c r="AX108" s="231">
        <v>0</v>
      </c>
      <c r="AY108" s="231">
        <v>0</v>
      </c>
      <c r="AZ108" s="230">
        <v>0</v>
      </c>
      <c r="BA108" s="2" t="s">
        <v>1267</v>
      </c>
      <c r="BC108" s="2" t="s">
        <v>1445</v>
      </c>
      <c r="BF108" s="232"/>
    </row>
    <row r="109" spans="1:58" s="2" customFormat="1" ht="15" customHeight="1" x14ac:dyDescent="0.25">
      <c r="A109" s="2" t="s">
        <v>231</v>
      </c>
      <c r="B109" s="2" t="s">
        <v>26</v>
      </c>
      <c r="D109" s="358" t="s">
        <v>232</v>
      </c>
      <c r="E109" s="358" t="s">
        <v>233</v>
      </c>
      <c r="F109" s="370"/>
      <c r="G109" s="319">
        <v>43489</v>
      </c>
      <c r="H109" s="358" t="s">
        <v>1027</v>
      </c>
      <c r="I109" s="367" t="s">
        <v>1048</v>
      </c>
      <c r="J109" s="2">
        <v>515641</v>
      </c>
      <c r="K109" s="2">
        <v>168852</v>
      </c>
      <c r="L109" s="293"/>
      <c r="M109" s="364">
        <v>0</v>
      </c>
      <c r="N109" s="364">
        <v>0</v>
      </c>
      <c r="O109" s="364">
        <v>0</v>
      </c>
      <c r="P109" s="364">
        <v>0</v>
      </c>
      <c r="Q109" s="364"/>
      <c r="R109" s="364"/>
      <c r="S109" s="364"/>
      <c r="T109" s="366">
        <v>0</v>
      </c>
      <c r="U109" s="364"/>
      <c r="V109" s="364">
        <v>0</v>
      </c>
      <c r="W109" s="364">
        <v>2</v>
      </c>
      <c r="X109" s="364">
        <v>0</v>
      </c>
      <c r="Y109" s="364">
        <v>0</v>
      </c>
      <c r="Z109" s="364"/>
      <c r="AA109" s="364"/>
      <c r="AB109" s="364"/>
      <c r="AC109" s="366">
        <v>2</v>
      </c>
      <c r="AD109" s="364"/>
      <c r="AE109" s="364">
        <f t="shared" si="25"/>
        <v>0</v>
      </c>
      <c r="AF109" s="364">
        <f t="shared" si="26"/>
        <v>2</v>
      </c>
      <c r="AG109" s="364">
        <f t="shared" si="27"/>
        <v>0</v>
      </c>
      <c r="AH109" s="364">
        <f t="shared" si="28"/>
        <v>0</v>
      </c>
      <c r="AI109" s="364">
        <f t="shared" si="29"/>
        <v>0</v>
      </c>
      <c r="AJ109" s="364">
        <f t="shared" si="30"/>
        <v>0</v>
      </c>
      <c r="AK109" s="364">
        <f t="shared" si="31"/>
        <v>0</v>
      </c>
      <c r="AL109" s="348">
        <f t="shared" si="32"/>
        <v>2</v>
      </c>
      <c r="AM109" s="369"/>
      <c r="AN109" s="322">
        <v>2</v>
      </c>
      <c r="AO109" s="231">
        <v>0</v>
      </c>
      <c r="AP109" s="228">
        <v>0</v>
      </c>
      <c r="AQ109" s="231">
        <v>0</v>
      </c>
      <c r="AR109" s="231">
        <v>0</v>
      </c>
      <c r="AS109" s="231">
        <v>0</v>
      </c>
      <c r="AT109" s="231">
        <v>0</v>
      </c>
      <c r="AU109" s="323">
        <v>0</v>
      </c>
      <c r="AV109" s="231">
        <v>0</v>
      </c>
      <c r="AW109" s="231">
        <v>0</v>
      </c>
      <c r="AX109" s="231">
        <v>0</v>
      </c>
      <c r="AY109" s="231">
        <v>0</v>
      </c>
      <c r="AZ109" s="230">
        <v>0</v>
      </c>
      <c r="BA109" s="2" t="s">
        <v>1229</v>
      </c>
      <c r="BF109" s="232"/>
    </row>
    <row r="110" spans="1:58" s="2" customFormat="1" ht="15" customHeight="1" x14ac:dyDescent="0.25">
      <c r="A110" s="2" t="s">
        <v>234</v>
      </c>
      <c r="B110" s="2" t="s">
        <v>26</v>
      </c>
      <c r="C110" s="2" t="s">
        <v>1037</v>
      </c>
      <c r="D110" s="358" t="s">
        <v>235</v>
      </c>
      <c r="E110" s="358" t="s">
        <v>236</v>
      </c>
      <c r="F110" s="370"/>
      <c r="G110" s="319">
        <v>43518</v>
      </c>
      <c r="H110" s="358" t="s">
        <v>1027</v>
      </c>
      <c r="I110" s="367" t="s">
        <v>1048</v>
      </c>
      <c r="J110" s="2">
        <v>514454</v>
      </c>
      <c r="K110" s="2">
        <v>174275</v>
      </c>
      <c r="L110" s="293"/>
      <c r="M110" s="364">
        <v>0</v>
      </c>
      <c r="N110" s="364">
        <v>0</v>
      </c>
      <c r="O110" s="364">
        <v>0</v>
      </c>
      <c r="P110" s="364">
        <v>0</v>
      </c>
      <c r="Q110" s="364"/>
      <c r="R110" s="364"/>
      <c r="S110" s="364"/>
      <c r="T110" s="366">
        <v>0</v>
      </c>
      <c r="U110" s="364"/>
      <c r="V110" s="364">
        <v>2</v>
      </c>
      <c r="W110" s="364">
        <v>0</v>
      </c>
      <c r="X110" s="364">
        <v>0</v>
      </c>
      <c r="Y110" s="364">
        <v>0</v>
      </c>
      <c r="Z110" s="364"/>
      <c r="AA110" s="364"/>
      <c r="AB110" s="364"/>
      <c r="AC110" s="366">
        <v>2</v>
      </c>
      <c r="AD110" s="364"/>
      <c r="AE110" s="364">
        <f t="shared" si="25"/>
        <v>2</v>
      </c>
      <c r="AF110" s="364">
        <f t="shared" si="26"/>
        <v>0</v>
      </c>
      <c r="AG110" s="364">
        <f t="shared" si="27"/>
        <v>0</v>
      </c>
      <c r="AH110" s="364">
        <f t="shared" si="28"/>
        <v>0</v>
      </c>
      <c r="AI110" s="364">
        <f t="shared" si="29"/>
        <v>0</v>
      </c>
      <c r="AJ110" s="364">
        <f t="shared" si="30"/>
        <v>0</v>
      </c>
      <c r="AK110" s="364">
        <f t="shared" si="31"/>
        <v>0</v>
      </c>
      <c r="AL110" s="348">
        <f t="shared" si="32"/>
        <v>2</v>
      </c>
      <c r="AM110" s="369"/>
      <c r="AN110" s="322">
        <v>2</v>
      </c>
      <c r="AO110" s="231">
        <v>0</v>
      </c>
      <c r="AP110" s="228">
        <v>0</v>
      </c>
      <c r="AQ110" s="231">
        <v>0</v>
      </c>
      <c r="AR110" s="231">
        <v>0</v>
      </c>
      <c r="AS110" s="231">
        <v>0</v>
      </c>
      <c r="AT110" s="231">
        <v>0</v>
      </c>
      <c r="AU110" s="323">
        <v>0</v>
      </c>
      <c r="AV110" s="231">
        <v>0</v>
      </c>
      <c r="AW110" s="231">
        <v>0</v>
      </c>
      <c r="AX110" s="231">
        <v>0</v>
      </c>
      <c r="AY110" s="231">
        <v>0</v>
      </c>
      <c r="AZ110" s="230">
        <v>0</v>
      </c>
      <c r="BA110" s="2" t="s">
        <v>1219</v>
      </c>
      <c r="BF110" s="232"/>
    </row>
    <row r="111" spans="1:58" s="2" customFormat="1" ht="15" customHeight="1" x14ac:dyDescent="0.25">
      <c r="A111" s="2" t="s">
        <v>237</v>
      </c>
      <c r="B111" s="2" t="s">
        <v>26</v>
      </c>
      <c r="D111" s="358" t="s">
        <v>238</v>
      </c>
      <c r="E111" s="358" t="s">
        <v>239</v>
      </c>
      <c r="F111" s="370"/>
      <c r="G111" s="319">
        <v>43553</v>
      </c>
      <c r="H111" s="358" t="s">
        <v>1027</v>
      </c>
      <c r="I111" s="367" t="s">
        <v>1048</v>
      </c>
      <c r="J111" s="2">
        <v>516416</v>
      </c>
      <c r="K111" s="2">
        <v>173450</v>
      </c>
      <c r="L111" s="293"/>
      <c r="M111" s="364">
        <v>1</v>
      </c>
      <c r="N111" s="364">
        <v>1</v>
      </c>
      <c r="O111" s="364">
        <v>0</v>
      </c>
      <c r="P111" s="364">
        <v>0</v>
      </c>
      <c r="Q111" s="364"/>
      <c r="R111" s="364"/>
      <c r="S111" s="364"/>
      <c r="T111" s="366">
        <v>2</v>
      </c>
      <c r="U111" s="364"/>
      <c r="V111" s="364">
        <v>0</v>
      </c>
      <c r="W111" s="364">
        <v>0</v>
      </c>
      <c r="X111" s="364">
        <v>0</v>
      </c>
      <c r="Y111" s="364">
        <v>0</v>
      </c>
      <c r="Z111" s="364"/>
      <c r="AA111" s="364"/>
      <c r="AB111" s="364"/>
      <c r="AC111" s="366">
        <v>0</v>
      </c>
      <c r="AD111" s="364"/>
      <c r="AE111" s="364">
        <f t="shared" si="25"/>
        <v>-1</v>
      </c>
      <c r="AF111" s="364">
        <f t="shared" si="26"/>
        <v>-1</v>
      </c>
      <c r="AG111" s="364">
        <f t="shared" si="27"/>
        <v>0</v>
      </c>
      <c r="AH111" s="364">
        <f t="shared" si="28"/>
        <v>0</v>
      </c>
      <c r="AI111" s="364">
        <f t="shared" si="29"/>
        <v>0</v>
      </c>
      <c r="AJ111" s="364">
        <f t="shared" si="30"/>
        <v>0</v>
      </c>
      <c r="AK111" s="364">
        <f t="shared" si="31"/>
        <v>0</v>
      </c>
      <c r="AL111" s="348">
        <f t="shared" si="32"/>
        <v>-2</v>
      </c>
      <c r="AM111" s="369"/>
      <c r="AN111" s="322">
        <v>-2</v>
      </c>
      <c r="AO111" s="231">
        <v>0</v>
      </c>
      <c r="AP111" s="228">
        <v>0</v>
      </c>
      <c r="AQ111" s="231">
        <v>0</v>
      </c>
      <c r="AR111" s="231">
        <v>0</v>
      </c>
      <c r="AS111" s="231">
        <v>0</v>
      </c>
      <c r="AT111" s="231">
        <v>0</v>
      </c>
      <c r="AU111" s="323">
        <v>0</v>
      </c>
      <c r="AV111" s="231">
        <v>0</v>
      </c>
      <c r="AW111" s="231">
        <v>0</v>
      </c>
      <c r="AX111" s="231">
        <v>0</v>
      </c>
      <c r="AY111" s="231">
        <v>0</v>
      </c>
      <c r="AZ111" s="230">
        <v>0</v>
      </c>
      <c r="BA111" s="2" t="s">
        <v>1238</v>
      </c>
      <c r="BD111" s="2" t="s">
        <v>1217</v>
      </c>
      <c r="BF111" s="232"/>
    </row>
    <row r="112" spans="1:58" s="2" customFormat="1" ht="15" customHeight="1" x14ac:dyDescent="0.25">
      <c r="A112" s="2" t="s">
        <v>240</v>
      </c>
      <c r="B112" s="2" t="s">
        <v>26</v>
      </c>
      <c r="D112" s="358" t="s">
        <v>241</v>
      </c>
      <c r="E112" s="358" t="s">
        <v>242</v>
      </c>
      <c r="F112" s="370"/>
      <c r="G112" s="319">
        <v>43531</v>
      </c>
      <c r="H112" s="358" t="s">
        <v>1027</v>
      </c>
      <c r="I112" s="367" t="s">
        <v>1048</v>
      </c>
      <c r="J112" s="2">
        <v>522111</v>
      </c>
      <c r="K112" s="2">
        <v>176797</v>
      </c>
      <c r="L112" s="293"/>
      <c r="M112" s="364">
        <v>0</v>
      </c>
      <c r="N112" s="364">
        <v>0</v>
      </c>
      <c r="O112" s="364">
        <v>0</v>
      </c>
      <c r="P112" s="364">
        <v>0</v>
      </c>
      <c r="Q112" s="372">
        <v>1</v>
      </c>
      <c r="R112" s="364"/>
      <c r="S112" s="364"/>
      <c r="T112" s="366">
        <v>1</v>
      </c>
      <c r="U112" s="364"/>
      <c r="V112" s="364">
        <v>1</v>
      </c>
      <c r="W112" s="364">
        <v>0</v>
      </c>
      <c r="X112" s="364">
        <v>0</v>
      </c>
      <c r="Y112" s="364">
        <v>0</v>
      </c>
      <c r="Z112" s="364"/>
      <c r="AA112" s="364"/>
      <c r="AB112" s="364"/>
      <c r="AC112" s="366">
        <v>1</v>
      </c>
      <c r="AD112" s="364"/>
      <c r="AE112" s="364">
        <f t="shared" si="25"/>
        <v>1</v>
      </c>
      <c r="AF112" s="364">
        <f t="shared" si="26"/>
        <v>0</v>
      </c>
      <c r="AG112" s="364">
        <f t="shared" si="27"/>
        <v>0</v>
      </c>
      <c r="AH112" s="364">
        <f t="shared" si="28"/>
        <v>0</v>
      </c>
      <c r="AI112" s="364">
        <f t="shared" si="29"/>
        <v>-1</v>
      </c>
      <c r="AJ112" s="364">
        <f t="shared" si="30"/>
        <v>0</v>
      </c>
      <c r="AK112" s="364">
        <f t="shared" si="31"/>
        <v>0</v>
      </c>
      <c r="AL112" s="348">
        <f t="shared" si="32"/>
        <v>0</v>
      </c>
      <c r="AM112" s="232"/>
      <c r="AN112" s="322">
        <v>0</v>
      </c>
      <c r="AO112" s="231">
        <v>0</v>
      </c>
      <c r="AP112" s="228">
        <v>0</v>
      </c>
      <c r="AQ112" s="231">
        <v>0</v>
      </c>
      <c r="AR112" s="231">
        <v>0</v>
      </c>
      <c r="AS112" s="231">
        <v>0</v>
      </c>
      <c r="AT112" s="231">
        <v>0</v>
      </c>
      <c r="AU112" s="323">
        <v>0</v>
      </c>
      <c r="AV112" s="231">
        <v>0</v>
      </c>
      <c r="AW112" s="231">
        <v>0</v>
      </c>
      <c r="AX112" s="231">
        <v>0</v>
      </c>
      <c r="AY112" s="231">
        <v>0</v>
      </c>
      <c r="AZ112" s="230">
        <v>0</v>
      </c>
      <c r="BA112" s="2" t="s">
        <v>1225</v>
      </c>
      <c r="BF112" s="232"/>
    </row>
    <row r="113" spans="1:58" s="2" customFormat="1" ht="15" customHeight="1" x14ac:dyDescent="0.25">
      <c r="A113" s="241" t="s">
        <v>465</v>
      </c>
      <c r="B113" s="2" t="s">
        <v>9</v>
      </c>
      <c r="D113" s="241" t="s">
        <v>466</v>
      </c>
      <c r="E113" s="241" t="s">
        <v>467</v>
      </c>
      <c r="F113" s="371">
        <v>41138</v>
      </c>
      <c r="H113" s="358" t="s">
        <v>1050</v>
      </c>
      <c r="I113" s="367" t="s">
        <v>1048</v>
      </c>
      <c r="J113" s="2">
        <v>517856</v>
      </c>
      <c r="K113" s="2">
        <v>172364</v>
      </c>
      <c r="L113" s="293"/>
      <c r="M113" s="364">
        <v>0</v>
      </c>
      <c r="N113" s="364">
        <v>0</v>
      </c>
      <c r="O113" s="364">
        <v>0</v>
      </c>
      <c r="P113" s="364">
        <v>1</v>
      </c>
      <c r="Q113" s="364"/>
      <c r="R113" s="364"/>
      <c r="S113" s="364"/>
      <c r="T113" s="365">
        <v>1</v>
      </c>
      <c r="U113" s="364"/>
      <c r="V113" s="364">
        <v>1</v>
      </c>
      <c r="W113" s="364">
        <v>0</v>
      </c>
      <c r="X113" s="364">
        <v>0</v>
      </c>
      <c r="Y113" s="364">
        <v>2</v>
      </c>
      <c r="Z113" s="364"/>
      <c r="AA113" s="364"/>
      <c r="AB113" s="364"/>
      <c r="AC113" s="365">
        <v>3</v>
      </c>
      <c r="AD113" s="364"/>
      <c r="AE113" s="364">
        <f t="shared" si="25"/>
        <v>1</v>
      </c>
      <c r="AF113" s="364">
        <f t="shared" si="26"/>
        <v>0</v>
      </c>
      <c r="AG113" s="364">
        <f t="shared" si="27"/>
        <v>0</v>
      </c>
      <c r="AH113" s="364">
        <f t="shared" si="28"/>
        <v>1</v>
      </c>
      <c r="AI113" s="364">
        <f t="shared" si="29"/>
        <v>0</v>
      </c>
      <c r="AJ113" s="364">
        <f t="shared" si="30"/>
        <v>0</v>
      </c>
      <c r="AK113" s="364">
        <f t="shared" si="31"/>
        <v>0</v>
      </c>
      <c r="AL113" s="348">
        <f t="shared" si="32"/>
        <v>2</v>
      </c>
      <c r="AM113" s="232"/>
      <c r="AN113" s="322">
        <v>0</v>
      </c>
      <c r="AO113" s="231">
        <v>0</v>
      </c>
      <c r="AP113" s="228">
        <v>0</v>
      </c>
      <c r="AQ113" s="231">
        <v>0</v>
      </c>
      <c r="AR113" s="231">
        <v>0</v>
      </c>
      <c r="AS113" s="231">
        <v>0</v>
      </c>
      <c r="AT113" s="231">
        <v>0</v>
      </c>
      <c r="AU113" s="323">
        <v>0</v>
      </c>
      <c r="AV113" s="231">
        <v>0</v>
      </c>
      <c r="AW113" s="231">
        <v>0</v>
      </c>
      <c r="AX113" s="231">
        <v>0</v>
      </c>
      <c r="AY113" s="231">
        <v>0</v>
      </c>
      <c r="AZ113" s="230">
        <v>0</v>
      </c>
      <c r="BA113" s="2" t="s">
        <v>1443</v>
      </c>
      <c r="BF113" s="232"/>
    </row>
    <row r="114" spans="1:58" s="2" customFormat="1" ht="15" customHeight="1" x14ac:dyDescent="0.25">
      <c r="A114" s="241" t="s">
        <v>766</v>
      </c>
      <c r="B114" s="2" t="s">
        <v>9</v>
      </c>
      <c r="D114" s="241" t="s">
        <v>767</v>
      </c>
      <c r="E114" s="241" t="s">
        <v>768</v>
      </c>
      <c r="F114" s="371">
        <v>40568</v>
      </c>
      <c r="H114" s="358" t="s">
        <v>1050</v>
      </c>
      <c r="I114" s="367" t="s">
        <v>1048</v>
      </c>
      <c r="J114" s="2">
        <v>513713</v>
      </c>
      <c r="K114" s="2">
        <v>169858</v>
      </c>
      <c r="L114" s="293"/>
      <c r="M114" s="364">
        <v>0</v>
      </c>
      <c r="N114" s="364">
        <v>0</v>
      </c>
      <c r="O114" s="364">
        <v>1</v>
      </c>
      <c r="P114" s="364">
        <v>0</v>
      </c>
      <c r="Q114" s="364"/>
      <c r="R114" s="364"/>
      <c r="S114" s="364"/>
      <c r="T114" s="365">
        <v>1</v>
      </c>
      <c r="U114" s="364"/>
      <c r="V114" s="364">
        <v>1</v>
      </c>
      <c r="W114" s="364">
        <v>0</v>
      </c>
      <c r="X114" s="364">
        <v>0</v>
      </c>
      <c r="Y114" s="364">
        <v>1</v>
      </c>
      <c r="Z114" s="364"/>
      <c r="AA114" s="364"/>
      <c r="AB114" s="364"/>
      <c r="AC114" s="365">
        <v>2</v>
      </c>
      <c r="AD114" s="364"/>
      <c r="AE114" s="364">
        <f t="shared" si="25"/>
        <v>1</v>
      </c>
      <c r="AF114" s="364">
        <f t="shared" si="26"/>
        <v>0</v>
      </c>
      <c r="AG114" s="364">
        <f t="shared" si="27"/>
        <v>-1</v>
      </c>
      <c r="AH114" s="364">
        <f t="shared" si="28"/>
        <v>1</v>
      </c>
      <c r="AI114" s="364">
        <f t="shared" si="29"/>
        <v>0</v>
      </c>
      <c r="AJ114" s="364">
        <f t="shared" si="30"/>
        <v>0</v>
      </c>
      <c r="AK114" s="364">
        <f t="shared" si="31"/>
        <v>0</v>
      </c>
      <c r="AL114" s="348">
        <f t="shared" si="32"/>
        <v>1</v>
      </c>
      <c r="AM114" s="232"/>
      <c r="AN114" s="322">
        <v>0</v>
      </c>
      <c r="AO114" s="231">
        <v>0</v>
      </c>
      <c r="AP114" s="228">
        <v>0</v>
      </c>
      <c r="AQ114" s="231">
        <v>0</v>
      </c>
      <c r="AR114" s="231">
        <v>0</v>
      </c>
      <c r="AS114" s="231">
        <v>0</v>
      </c>
      <c r="AT114" s="231">
        <v>0</v>
      </c>
      <c r="AU114" s="323">
        <v>0</v>
      </c>
      <c r="AV114" s="231">
        <v>0</v>
      </c>
      <c r="AW114" s="231">
        <v>0</v>
      </c>
      <c r="AX114" s="231">
        <v>0</v>
      </c>
      <c r="AY114" s="231">
        <v>0</v>
      </c>
      <c r="AZ114" s="230">
        <v>0</v>
      </c>
      <c r="BA114" s="2" t="s">
        <v>1229</v>
      </c>
      <c r="BF114" s="232"/>
    </row>
    <row r="115" spans="1:58" s="2" customFormat="1" ht="15" customHeight="1" x14ac:dyDescent="0.25">
      <c r="A115" s="241" t="s">
        <v>263</v>
      </c>
      <c r="B115" s="2" t="s">
        <v>9</v>
      </c>
      <c r="D115" s="241" t="s">
        <v>264</v>
      </c>
      <c r="E115" s="241" t="s">
        <v>265</v>
      </c>
      <c r="F115" s="371">
        <v>40817</v>
      </c>
      <c r="H115" s="358" t="s">
        <v>1050</v>
      </c>
      <c r="I115" s="367" t="s">
        <v>1048</v>
      </c>
      <c r="J115" s="2">
        <v>522437</v>
      </c>
      <c r="K115" s="2">
        <v>178040</v>
      </c>
      <c r="L115" s="293">
        <v>2</v>
      </c>
      <c r="M115" s="364">
        <v>6</v>
      </c>
      <c r="N115" s="364">
        <v>2</v>
      </c>
      <c r="O115" s="364">
        <v>4</v>
      </c>
      <c r="P115" s="364">
        <v>2</v>
      </c>
      <c r="Q115" s="364"/>
      <c r="R115" s="364"/>
      <c r="S115" s="364"/>
      <c r="T115" s="365">
        <v>16</v>
      </c>
      <c r="U115" s="364">
        <v>4</v>
      </c>
      <c r="V115" s="364">
        <v>3</v>
      </c>
      <c r="W115" s="364">
        <v>5</v>
      </c>
      <c r="X115" s="364">
        <v>6</v>
      </c>
      <c r="Y115" s="364">
        <v>0</v>
      </c>
      <c r="Z115" s="364"/>
      <c r="AA115" s="364"/>
      <c r="AB115" s="364"/>
      <c r="AC115" s="365">
        <v>18</v>
      </c>
      <c r="AD115" s="364">
        <f>U115-L115</f>
        <v>2</v>
      </c>
      <c r="AE115" s="364">
        <f t="shared" si="25"/>
        <v>-3</v>
      </c>
      <c r="AF115" s="364">
        <f t="shared" si="26"/>
        <v>3</v>
      </c>
      <c r="AG115" s="364">
        <f t="shared" si="27"/>
        <v>2</v>
      </c>
      <c r="AH115" s="364">
        <f t="shared" si="28"/>
        <v>-2</v>
      </c>
      <c r="AI115" s="364">
        <f t="shared" si="29"/>
        <v>0</v>
      </c>
      <c r="AJ115" s="364">
        <f t="shared" si="30"/>
        <v>0</v>
      </c>
      <c r="AK115" s="364">
        <f t="shared" si="31"/>
        <v>0</v>
      </c>
      <c r="AL115" s="348">
        <f t="shared" si="32"/>
        <v>2</v>
      </c>
      <c r="AM115" s="232"/>
      <c r="AN115" s="322">
        <v>0</v>
      </c>
      <c r="AO115" s="231">
        <v>2</v>
      </c>
      <c r="AP115" s="228">
        <v>0</v>
      </c>
      <c r="AQ115" s="231">
        <v>0</v>
      </c>
      <c r="AR115" s="231">
        <v>0</v>
      </c>
      <c r="AS115" s="231">
        <v>0</v>
      </c>
      <c r="AT115" s="231">
        <v>0</v>
      </c>
      <c r="AU115" s="323">
        <v>0</v>
      </c>
      <c r="AV115" s="231">
        <v>0</v>
      </c>
      <c r="AW115" s="231">
        <v>0</v>
      </c>
      <c r="AX115" s="231">
        <v>0</v>
      </c>
      <c r="AY115" s="231">
        <v>0</v>
      </c>
      <c r="AZ115" s="230">
        <v>0</v>
      </c>
      <c r="BA115" s="2" t="s">
        <v>1225</v>
      </c>
      <c r="BE115" s="2" t="s">
        <v>1214</v>
      </c>
      <c r="BF115" s="232"/>
    </row>
    <row r="116" spans="1:58" ht="15" customHeight="1" x14ac:dyDescent="0.25">
      <c r="A116" s="241" t="s">
        <v>1020</v>
      </c>
      <c r="B116" s="2" t="s">
        <v>9</v>
      </c>
      <c r="D116" s="241" t="s">
        <v>1021</v>
      </c>
      <c r="E116" s="241" t="s">
        <v>1022</v>
      </c>
      <c r="F116" s="376">
        <v>41440</v>
      </c>
      <c r="G116" s="241"/>
      <c r="H116" s="349" t="s">
        <v>1050</v>
      </c>
      <c r="I116" s="367" t="s">
        <v>1048</v>
      </c>
      <c r="J116" s="2">
        <v>515372</v>
      </c>
      <c r="K116" s="2">
        <v>171266</v>
      </c>
      <c r="L116" s="293"/>
      <c r="M116" s="364">
        <v>0</v>
      </c>
      <c r="N116" s="364">
        <v>0</v>
      </c>
      <c r="O116" s="364">
        <v>0</v>
      </c>
      <c r="P116" s="364">
        <v>0</v>
      </c>
      <c r="Q116" s="364"/>
      <c r="R116" s="364"/>
      <c r="S116" s="364"/>
      <c r="T116" s="365">
        <v>0</v>
      </c>
      <c r="U116" s="364"/>
      <c r="V116" s="364">
        <v>0</v>
      </c>
      <c r="W116" s="364">
        <v>0</v>
      </c>
      <c r="X116" s="364">
        <v>1</v>
      </c>
      <c r="Y116" s="364">
        <v>0</v>
      </c>
      <c r="Z116" s="364"/>
      <c r="AA116" s="364"/>
      <c r="AB116" s="364"/>
      <c r="AC116" s="365">
        <v>1</v>
      </c>
      <c r="AD116" s="364"/>
      <c r="AE116" s="364">
        <f t="shared" si="25"/>
        <v>0</v>
      </c>
      <c r="AF116" s="364">
        <f t="shared" si="26"/>
        <v>0</v>
      </c>
      <c r="AG116" s="364">
        <f t="shared" si="27"/>
        <v>1</v>
      </c>
      <c r="AH116" s="364">
        <f t="shared" si="28"/>
        <v>0</v>
      </c>
      <c r="AI116" s="364">
        <f t="shared" si="29"/>
        <v>0</v>
      </c>
      <c r="AJ116" s="364">
        <f t="shared" si="30"/>
        <v>0</v>
      </c>
      <c r="AK116" s="364">
        <f t="shared" si="31"/>
        <v>0</v>
      </c>
      <c r="AL116" s="348">
        <f t="shared" si="32"/>
        <v>1</v>
      </c>
      <c r="AN116" s="322">
        <v>0</v>
      </c>
      <c r="AO116" s="231">
        <v>1</v>
      </c>
      <c r="AP116" s="228">
        <v>0</v>
      </c>
      <c r="AQ116" s="231">
        <v>0</v>
      </c>
      <c r="AR116" s="231">
        <v>0</v>
      </c>
      <c r="AS116" s="231">
        <v>0</v>
      </c>
      <c r="AT116" s="231">
        <v>0</v>
      </c>
      <c r="AU116" s="242">
        <v>0</v>
      </c>
      <c r="AV116" s="231">
        <v>0</v>
      </c>
      <c r="AW116" s="231">
        <v>0</v>
      </c>
      <c r="AX116" s="231">
        <v>0</v>
      </c>
      <c r="AY116" s="231">
        <v>0</v>
      </c>
      <c r="AZ116" s="230">
        <v>0</v>
      </c>
      <c r="BA116" s="2" t="s">
        <v>1215</v>
      </c>
    </row>
    <row r="117" spans="1:58" ht="15" customHeight="1" x14ac:dyDescent="0.25">
      <c r="A117" s="241" t="s">
        <v>586</v>
      </c>
      <c r="B117" s="2" t="s">
        <v>9</v>
      </c>
      <c r="D117" s="241" t="s">
        <v>587</v>
      </c>
      <c r="E117" s="241" t="s">
        <v>588</v>
      </c>
      <c r="F117" s="371">
        <v>40609</v>
      </c>
      <c r="H117" s="358" t="s">
        <v>1050</v>
      </c>
      <c r="I117" s="367" t="s">
        <v>1048</v>
      </c>
      <c r="J117" s="2">
        <v>517650</v>
      </c>
      <c r="K117" s="2">
        <v>169624</v>
      </c>
      <c r="L117" s="293"/>
      <c r="M117" s="364">
        <v>0</v>
      </c>
      <c r="N117" s="364">
        <v>0</v>
      </c>
      <c r="O117" s="364">
        <v>0</v>
      </c>
      <c r="P117" s="364">
        <v>0</v>
      </c>
      <c r="Q117" s="364"/>
      <c r="R117" s="364"/>
      <c r="S117" s="364"/>
      <c r="T117" s="365">
        <v>0</v>
      </c>
      <c r="U117" s="364"/>
      <c r="V117" s="364">
        <v>4</v>
      </c>
      <c r="W117" s="364">
        <v>7</v>
      </c>
      <c r="X117" s="364">
        <v>0</v>
      </c>
      <c r="Y117" s="364">
        <v>0</v>
      </c>
      <c r="Z117" s="364"/>
      <c r="AA117" s="364"/>
      <c r="AB117" s="364"/>
      <c r="AC117" s="365">
        <v>11</v>
      </c>
      <c r="AD117" s="364"/>
      <c r="AE117" s="364">
        <f t="shared" si="25"/>
        <v>4</v>
      </c>
      <c r="AF117" s="364">
        <f t="shared" si="26"/>
        <v>7</v>
      </c>
      <c r="AG117" s="364">
        <f t="shared" si="27"/>
        <v>0</v>
      </c>
      <c r="AH117" s="364">
        <f t="shared" si="28"/>
        <v>0</v>
      </c>
      <c r="AI117" s="364">
        <f t="shared" si="29"/>
        <v>0</v>
      </c>
      <c r="AJ117" s="364">
        <f t="shared" si="30"/>
        <v>0</v>
      </c>
      <c r="AK117" s="364">
        <f t="shared" si="31"/>
        <v>0</v>
      </c>
      <c r="AL117" s="348">
        <f t="shared" si="32"/>
        <v>11</v>
      </c>
      <c r="AM117" s="232"/>
      <c r="AN117" s="322">
        <v>0</v>
      </c>
      <c r="AO117" s="231">
        <v>0</v>
      </c>
      <c r="AP117" s="228">
        <v>11</v>
      </c>
      <c r="AQ117" s="231">
        <v>0</v>
      </c>
      <c r="AR117" s="231">
        <v>0</v>
      </c>
      <c r="AS117" s="231">
        <v>0</v>
      </c>
      <c r="AT117" s="231">
        <v>0</v>
      </c>
      <c r="AU117" s="323" t="s">
        <v>39</v>
      </c>
      <c r="AV117" s="231">
        <v>0</v>
      </c>
      <c r="AW117" s="231">
        <v>0</v>
      </c>
      <c r="AX117" s="231">
        <v>0</v>
      </c>
      <c r="AY117" s="231">
        <v>0</v>
      </c>
      <c r="AZ117" s="230">
        <v>0</v>
      </c>
      <c r="BA117" s="2" t="s">
        <v>1230</v>
      </c>
      <c r="BC117" s="2" t="s">
        <v>1230</v>
      </c>
      <c r="BE117" s="2" t="s">
        <v>1214</v>
      </c>
    </row>
    <row r="118" spans="1:58" ht="15" customHeight="1" x14ac:dyDescent="0.25">
      <c r="A118" s="241" t="s">
        <v>975</v>
      </c>
      <c r="B118" s="2" t="s">
        <v>9</v>
      </c>
      <c r="D118" s="241" t="s">
        <v>976</v>
      </c>
      <c r="E118" s="241" t="s">
        <v>977</v>
      </c>
      <c r="F118" s="371">
        <v>42077</v>
      </c>
      <c r="H118" s="358" t="s">
        <v>1050</v>
      </c>
      <c r="I118" s="367" t="s">
        <v>1048</v>
      </c>
      <c r="J118" s="2">
        <v>516095</v>
      </c>
      <c r="K118" s="2">
        <v>173690</v>
      </c>
      <c r="L118" s="293"/>
      <c r="M118" s="364">
        <v>0</v>
      </c>
      <c r="N118" s="364">
        <v>0</v>
      </c>
      <c r="O118" s="364">
        <v>0</v>
      </c>
      <c r="P118" s="364">
        <v>0</v>
      </c>
      <c r="Q118" s="364"/>
      <c r="R118" s="364"/>
      <c r="S118" s="364"/>
      <c r="T118" s="365">
        <v>0</v>
      </c>
      <c r="U118" s="364"/>
      <c r="V118" s="364">
        <v>24</v>
      </c>
      <c r="W118" s="364">
        <v>79</v>
      </c>
      <c r="X118" s="364">
        <v>12</v>
      </c>
      <c r="Y118" s="364">
        <v>0</v>
      </c>
      <c r="Z118" s="364"/>
      <c r="AA118" s="364"/>
      <c r="AB118" s="364"/>
      <c r="AC118" s="365">
        <v>115</v>
      </c>
      <c r="AD118" s="364"/>
      <c r="AE118" s="364">
        <f t="shared" si="25"/>
        <v>24</v>
      </c>
      <c r="AF118" s="364">
        <f t="shared" si="26"/>
        <v>79</v>
      </c>
      <c r="AG118" s="364">
        <f t="shared" si="27"/>
        <v>12</v>
      </c>
      <c r="AH118" s="364">
        <f t="shared" si="28"/>
        <v>0</v>
      </c>
      <c r="AI118" s="364">
        <f t="shared" si="29"/>
        <v>0</v>
      </c>
      <c r="AJ118" s="364">
        <f t="shared" si="30"/>
        <v>0</v>
      </c>
      <c r="AK118" s="364">
        <f t="shared" si="31"/>
        <v>0</v>
      </c>
      <c r="AL118" s="348">
        <f t="shared" si="32"/>
        <v>115</v>
      </c>
      <c r="AN118" s="322">
        <v>0</v>
      </c>
      <c r="AO118" s="231">
        <v>101</v>
      </c>
      <c r="AP118" s="228">
        <v>24</v>
      </c>
      <c r="AQ118" s="231">
        <v>0</v>
      </c>
      <c r="AR118" s="231">
        <v>0</v>
      </c>
      <c r="AS118" s="231">
        <v>0</v>
      </c>
      <c r="AT118" s="231">
        <v>0</v>
      </c>
      <c r="AU118" s="242" t="s">
        <v>39</v>
      </c>
      <c r="AV118" s="231">
        <v>0</v>
      </c>
      <c r="AW118" s="231">
        <v>0</v>
      </c>
      <c r="AX118" s="231">
        <v>0</v>
      </c>
      <c r="AY118" s="231">
        <v>0</v>
      </c>
      <c r="AZ118" s="230">
        <v>0</v>
      </c>
      <c r="BA118" s="2" t="s">
        <v>1442</v>
      </c>
      <c r="BD118" s="2" t="s">
        <v>1217</v>
      </c>
    </row>
    <row r="119" spans="1:58" ht="15" customHeight="1" x14ac:dyDescent="0.25">
      <c r="A119" s="241" t="s">
        <v>480</v>
      </c>
      <c r="B119" s="2" t="s">
        <v>26</v>
      </c>
      <c r="D119" s="241" t="s">
        <v>481</v>
      </c>
      <c r="E119" s="241" t="s">
        <v>482</v>
      </c>
      <c r="F119" s="371">
        <v>42601</v>
      </c>
      <c r="H119" s="358" t="s">
        <v>1050</v>
      </c>
      <c r="I119" s="367" t="s">
        <v>1048</v>
      </c>
      <c r="J119" s="2">
        <v>518397</v>
      </c>
      <c r="K119" s="2">
        <v>173968</v>
      </c>
      <c r="L119" s="293"/>
      <c r="M119" s="364">
        <v>0</v>
      </c>
      <c r="N119" s="364">
        <v>0</v>
      </c>
      <c r="O119" s="364">
        <v>0</v>
      </c>
      <c r="P119" s="364">
        <v>2</v>
      </c>
      <c r="Q119" s="364"/>
      <c r="R119" s="364"/>
      <c r="S119" s="364"/>
      <c r="T119" s="365">
        <v>2</v>
      </c>
      <c r="U119" s="364"/>
      <c r="V119" s="364">
        <v>0</v>
      </c>
      <c r="W119" s="364">
        <v>0</v>
      </c>
      <c r="X119" s="364">
        <v>0</v>
      </c>
      <c r="Y119" s="364">
        <v>1</v>
      </c>
      <c r="Z119" s="364"/>
      <c r="AA119" s="364"/>
      <c r="AB119" s="364"/>
      <c r="AC119" s="365">
        <v>1</v>
      </c>
      <c r="AD119" s="364"/>
      <c r="AE119" s="364">
        <f t="shared" si="25"/>
        <v>0</v>
      </c>
      <c r="AF119" s="364">
        <f t="shared" si="26"/>
        <v>0</v>
      </c>
      <c r="AG119" s="364">
        <f t="shared" si="27"/>
        <v>0</v>
      </c>
      <c r="AH119" s="364">
        <f t="shared" si="28"/>
        <v>-1</v>
      </c>
      <c r="AI119" s="364">
        <f t="shared" si="29"/>
        <v>0</v>
      </c>
      <c r="AJ119" s="364">
        <f t="shared" si="30"/>
        <v>0</v>
      </c>
      <c r="AK119" s="364">
        <f t="shared" si="31"/>
        <v>0</v>
      </c>
      <c r="AL119" s="348">
        <f t="shared" si="32"/>
        <v>-1</v>
      </c>
      <c r="AM119" s="232"/>
      <c r="AN119" s="322">
        <v>0</v>
      </c>
      <c r="AO119" s="231">
        <v>0</v>
      </c>
      <c r="AP119" s="228">
        <v>0</v>
      </c>
      <c r="AQ119" s="231">
        <v>0</v>
      </c>
      <c r="AR119" s="231">
        <v>0</v>
      </c>
      <c r="AS119" s="231">
        <v>0</v>
      </c>
      <c r="AT119" s="231">
        <v>0</v>
      </c>
      <c r="AU119" s="323">
        <v>0</v>
      </c>
      <c r="AV119" s="231">
        <v>0</v>
      </c>
      <c r="AW119" s="231">
        <v>0</v>
      </c>
      <c r="AX119" s="231">
        <v>0</v>
      </c>
      <c r="AY119" s="231">
        <v>0</v>
      </c>
      <c r="AZ119" s="230">
        <v>0</v>
      </c>
      <c r="BA119" s="2" t="s">
        <v>1443</v>
      </c>
      <c r="BE119" s="2" t="s">
        <v>1214</v>
      </c>
    </row>
    <row r="120" spans="1:58" ht="15" customHeight="1" x14ac:dyDescent="0.25">
      <c r="A120" s="241" t="s">
        <v>275</v>
      </c>
      <c r="B120" s="2" t="s">
        <v>26</v>
      </c>
      <c r="C120" s="2" t="s">
        <v>1037</v>
      </c>
      <c r="D120" s="241" t="s">
        <v>276</v>
      </c>
      <c r="E120" s="241" t="s">
        <v>277</v>
      </c>
      <c r="F120" s="371">
        <v>42186</v>
      </c>
      <c r="H120" s="358" t="s">
        <v>1050</v>
      </c>
      <c r="I120" s="367" t="s">
        <v>1048</v>
      </c>
      <c r="J120" s="2">
        <v>522336</v>
      </c>
      <c r="K120" s="2">
        <v>177503</v>
      </c>
      <c r="L120" s="293"/>
      <c r="M120" s="364">
        <v>0</v>
      </c>
      <c r="N120" s="364">
        <v>0</v>
      </c>
      <c r="O120" s="364">
        <v>0</v>
      </c>
      <c r="P120" s="364">
        <v>0</v>
      </c>
      <c r="Q120" s="364"/>
      <c r="R120" s="364"/>
      <c r="S120" s="364"/>
      <c r="T120" s="365">
        <v>0</v>
      </c>
      <c r="U120" s="364"/>
      <c r="V120" s="364">
        <v>0</v>
      </c>
      <c r="W120" s="364">
        <v>0</v>
      </c>
      <c r="X120" s="364">
        <v>1</v>
      </c>
      <c r="Y120" s="364">
        <v>0</v>
      </c>
      <c r="Z120" s="364"/>
      <c r="AA120" s="364"/>
      <c r="AB120" s="364"/>
      <c r="AC120" s="365">
        <v>1</v>
      </c>
      <c r="AD120" s="364"/>
      <c r="AE120" s="364">
        <f t="shared" si="25"/>
        <v>0</v>
      </c>
      <c r="AF120" s="364">
        <f t="shared" si="26"/>
        <v>0</v>
      </c>
      <c r="AG120" s="364">
        <f t="shared" si="27"/>
        <v>1</v>
      </c>
      <c r="AH120" s="364">
        <f t="shared" si="28"/>
        <v>0</v>
      </c>
      <c r="AI120" s="364">
        <f t="shared" si="29"/>
        <v>0</v>
      </c>
      <c r="AJ120" s="364">
        <f t="shared" si="30"/>
        <v>0</v>
      </c>
      <c r="AK120" s="364">
        <f t="shared" si="31"/>
        <v>0</v>
      </c>
      <c r="AL120" s="348">
        <f t="shared" si="32"/>
        <v>1</v>
      </c>
      <c r="AM120" s="232"/>
      <c r="AN120" s="322">
        <v>0</v>
      </c>
      <c r="AO120" s="231">
        <v>1</v>
      </c>
      <c r="AP120" s="228">
        <v>0</v>
      </c>
      <c r="AQ120" s="231">
        <v>0</v>
      </c>
      <c r="AR120" s="231">
        <v>0</v>
      </c>
      <c r="AS120" s="231">
        <v>0</v>
      </c>
      <c r="AT120" s="231">
        <v>0</v>
      </c>
      <c r="AU120" s="323">
        <v>0</v>
      </c>
      <c r="AV120" s="231">
        <v>0</v>
      </c>
      <c r="AW120" s="231">
        <v>0</v>
      </c>
      <c r="AX120" s="231">
        <v>0</v>
      </c>
      <c r="AY120" s="231">
        <v>0</v>
      </c>
      <c r="AZ120" s="230">
        <v>0</v>
      </c>
      <c r="BA120" s="2" t="s">
        <v>1225</v>
      </c>
    </row>
    <row r="121" spans="1:58" ht="15" customHeight="1" x14ac:dyDescent="0.25">
      <c r="A121" s="241" t="s">
        <v>367</v>
      </c>
      <c r="B121" s="2" t="s">
        <v>9</v>
      </c>
      <c r="D121" s="241" t="s">
        <v>368</v>
      </c>
      <c r="E121" s="241" t="s">
        <v>369</v>
      </c>
      <c r="F121" s="359">
        <v>43344</v>
      </c>
      <c r="H121" s="358" t="s">
        <v>1050</v>
      </c>
      <c r="I121" s="367" t="s">
        <v>1048</v>
      </c>
      <c r="J121" s="2">
        <v>520452</v>
      </c>
      <c r="K121" s="2">
        <v>175621</v>
      </c>
      <c r="L121" s="293"/>
      <c r="M121" s="364">
        <v>0</v>
      </c>
      <c r="N121" s="364">
        <v>0</v>
      </c>
      <c r="O121" s="364">
        <v>0</v>
      </c>
      <c r="P121" s="364">
        <v>0</v>
      </c>
      <c r="Q121" s="364"/>
      <c r="R121" s="364"/>
      <c r="S121" s="364"/>
      <c r="T121" s="365">
        <v>0</v>
      </c>
      <c r="U121" s="364"/>
      <c r="V121" s="364">
        <v>0</v>
      </c>
      <c r="W121" s="364">
        <v>1</v>
      </c>
      <c r="X121" s="364">
        <v>0</v>
      </c>
      <c r="Y121" s="364">
        <v>0</v>
      </c>
      <c r="Z121" s="364"/>
      <c r="AA121" s="364"/>
      <c r="AB121" s="364"/>
      <c r="AC121" s="365">
        <v>1</v>
      </c>
      <c r="AD121" s="364"/>
      <c r="AE121" s="364">
        <f t="shared" si="25"/>
        <v>0</v>
      </c>
      <c r="AF121" s="364">
        <f t="shared" si="26"/>
        <v>1</v>
      </c>
      <c r="AG121" s="364">
        <f t="shared" si="27"/>
        <v>0</v>
      </c>
      <c r="AH121" s="364">
        <f t="shared" si="28"/>
        <v>0</v>
      </c>
      <c r="AI121" s="364">
        <f t="shared" si="29"/>
        <v>0</v>
      </c>
      <c r="AJ121" s="364">
        <f t="shared" si="30"/>
        <v>0</v>
      </c>
      <c r="AK121" s="364">
        <f t="shared" si="31"/>
        <v>0</v>
      </c>
      <c r="AL121" s="348">
        <f t="shared" si="32"/>
        <v>1</v>
      </c>
      <c r="AM121" s="232"/>
      <c r="AN121" s="322">
        <v>0</v>
      </c>
      <c r="AO121" s="231">
        <v>0</v>
      </c>
      <c r="AP121" s="228">
        <v>1</v>
      </c>
      <c r="AQ121" s="231">
        <v>0</v>
      </c>
      <c r="AR121" s="231">
        <v>0</v>
      </c>
      <c r="AS121" s="231">
        <v>0</v>
      </c>
      <c r="AT121" s="231">
        <v>0</v>
      </c>
      <c r="AU121" s="323" t="s">
        <v>39</v>
      </c>
      <c r="AV121" s="231">
        <v>0</v>
      </c>
      <c r="AW121" s="231">
        <v>0</v>
      </c>
      <c r="AX121" s="231">
        <v>0</v>
      </c>
      <c r="AY121" s="231">
        <v>0</v>
      </c>
      <c r="AZ121" s="230">
        <v>0</v>
      </c>
      <c r="BA121" s="2" t="s">
        <v>1212</v>
      </c>
    </row>
    <row r="122" spans="1:58" ht="15" customHeight="1" x14ac:dyDescent="0.25">
      <c r="A122" s="2" t="s">
        <v>43</v>
      </c>
      <c r="B122" s="2" t="s">
        <v>5</v>
      </c>
      <c r="D122" s="241" t="s">
        <v>44</v>
      </c>
      <c r="E122" s="358" t="s">
        <v>45</v>
      </c>
      <c r="F122" s="370">
        <v>43009</v>
      </c>
      <c r="H122" s="358" t="s">
        <v>1050</v>
      </c>
      <c r="I122" s="367" t="s">
        <v>1048</v>
      </c>
      <c r="J122" s="2">
        <v>520243</v>
      </c>
      <c r="K122" s="2">
        <v>175216</v>
      </c>
      <c r="L122" s="293"/>
      <c r="M122" s="364">
        <v>1</v>
      </c>
      <c r="N122" s="364">
        <v>1</v>
      </c>
      <c r="O122" s="364">
        <v>1</v>
      </c>
      <c r="P122" s="364">
        <v>0</v>
      </c>
      <c r="Q122" s="364"/>
      <c r="R122" s="364"/>
      <c r="S122" s="364"/>
      <c r="T122" s="366">
        <v>3</v>
      </c>
      <c r="U122" s="364"/>
      <c r="V122" s="364">
        <v>0</v>
      </c>
      <c r="W122" s="364">
        <v>0</v>
      </c>
      <c r="X122" s="364">
        <v>0</v>
      </c>
      <c r="Y122" s="364">
        <v>1</v>
      </c>
      <c r="Z122" s="364"/>
      <c r="AA122" s="364"/>
      <c r="AB122" s="364"/>
      <c r="AC122" s="366">
        <v>1</v>
      </c>
      <c r="AD122" s="364"/>
      <c r="AE122" s="364">
        <f t="shared" si="25"/>
        <v>-1</v>
      </c>
      <c r="AF122" s="364">
        <f t="shared" si="26"/>
        <v>-1</v>
      </c>
      <c r="AG122" s="364">
        <f t="shared" si="27"/>
        <v>-1</v>
      </c>
      <c r="AH122" s="364">
        <f t="shared" si="28"/>
        <v>1</v>
      </c>
      <c r="AI122" s="364">
        <f t="shared" si="29"/>
        <v>0</v>
      </c>
      <c r="AJ122" s="364">
        <f t="shared" si="30"/>
        <v>0</v>
      </c>
      <c r="AK122" s="364">
        <f t="shared" si="31"/>
        <v>0</v>
      </c>
      <c r="AL122" s="348">
        <f t="shared" si="32"/>
        <v>-2</v>
      </c>
      <c r="AM122" s="232"/>
      <c r="AN122" s="322">
        <v>0</v>
      </c>
      <c r="AO122" s="231">
        <v>-2</v>
      </c>
      <c r="AP122" s="228">
        <v>0</v>
      </c>
      <c r="AQ122" s="231">
        <v>0</v>
      </c>
      <c r="AR122" s="231">
        <v>0</v>
      </c>
      <c r="AS122" s="231">
        <v>0</v>
      </c>
      <c r="AT122" s="231">
        <v>0</v>
      </c>
      <c r="AU122" s="323">
        <v>0</v>
      </c>
      <c r="AV122" s="231">
        <v>0</v>
      </c>
      <c r="AW122" s="231">
        <v>0</v>
      </c>
      <c r="AX122" s="231">
        <v>0</v>
      </c>
      <c r="AY122" s="231">
        <v>0</v>
      </c>
      <c r="AZ122" s="230">
        <v>0</v>
      </c>
      <c r="BA122" s="2" t="s">
        <v>1212</v>
      </c>
    </row>
    <row r="123" spans="1:58" ht="15" customHeight="1" x14ac:dyDescent="0.25">
      <c r="A123" s="241" t="s">
        <v>929</v>
      </c>
      <c r="B123" s="2" t="s">
        <v>60</v>
      </c>
      <c r="D123" s="241" t="s">
        <v>930</v>
      </c>
      <c r="E123" s="241" t="s">
        <v>931</v>
      </c>
      <c r="F123" s="371">
        <v>42522</v>
      </c>
      <c r="H123" s="358" t="s">
        <v>1050</v>
      </c>
      <c r="I123" s="367" t="s">
        <v>1048</v>
      </c>
      <c r="J123" s="2">
        <v>513482</v>
      </c>
      <c r="K123" s="2">
        <v>173963</v>
      </c>
      <c r="L123" s="293"/>
      <c r="M123" s="364">
        <v>0</v>
      </c>
      <c r="N123" s="364">
        <v>1</v>
      </c>
      <c r="O123" s="364">
        <v>0</v>
      </c>
      <c r="P123" s="364">
        <v>0</v>
      </c>
      <c r="Q123" s="364"/>
      <c r="R123" s="364"/>
      <c r="S123" s="364"/>
      <c r="T123" s="365">
        <v>1</v>
      </c>
      <c r="U123" s="364"/>
      <c r="V123" s="364">
        <v>4</v>
      </c>
      <c r="W123" s="364">
        <v>0</v>
      </c>
      <c r="X123" s="364">
        <v>0</v>
      </c>
      <c r="Y123" s="364">
        <v>0</v>
      </c>
      <c r="Z123" s="364"/>
      <c r="AA123" s="364"/>
      <c r="AB123" s="364"/>
      <c r="AC123" s="365">
        <v>4</v>
      </c>
      <c r="AD123" s="364"/>
      <c r="AE123" s="364">
        <f t="shared" si="25"/>
        <v>4</v>
      </c>
      <c r="AF123" s="364">
        <f t="shared" si="26"/>
        <v>-1</v>
      </c>
      <c r="AG123" s="364">
        <f t="shared" si="27"/>
        <v>0</v>
      </c>
      <c r="AH123" s="364">
        <f t="shared" si="28"/>
        <v>0</v>
      </c>
      <c r="AI123" s="364">
        <f t="shared" si="29"/>
        <v>0</v>
      </c>
      <c r="AJ123" s="364">
        <f t="shared" si="30"/>
        <v>0</v>
      </c>
      <c r="AK123" s="364">
        <f t="shared" si="31"/>
        <v>0</v>
      </c>
      <c r="AL123" s="348">
        <f t="shared" si="32"/>
        <v>3</v>
      </c>
      <c r="AN123" s="322">
        <v>0</v>
      </c>
      <c r="AO123" s="231">
        <v>3</v>
      </c>
      <c r="AP123" s="228">
        <v>0</v>
      </c>
      <c r="AQ123" s="231">
        <v>0</v>
      </c>
      <c r="AR123" s="231">
        <v>0</v>
      </c>
      <c r="AS123" s="231">
        <v>0</v>
      </c>
      <c r="AT123" s="231">
        <v>0</v>
      </c>
      <c r="AU123" s="242">
        <v>0</v>
      </c>
      <c r="AV123" s="231">
        <v>0</v>
      </c>
      <c r="AW123" s="231">
        <v>0</v>
      </c>
      <c r="AX123" s="231">
        <v>0</v>
      </c>
      <c r="AY123" s="231">
        <v>0</v>
      </c>
      <c r="AZ123" s="230">
        <v>0</v>
      </c>
      <c r="BA123" s="2" t="s">
        <v>1231</v>
      </c>
    </row>
    <row r="124" spans="1:58" ht="15" customHeight="1" x14ac:dyDescent="0.25">
      <c r="A124" s="241" t="s">
        <v>894</v>
      </c>
      <c r="B124" s="2" t="s">
        <v>26</v>
      </c>
      <c r="C124" s="2" t="s">
        <v>1037</v>
      </c>
      <c r="D124" s="241" t="s">
        <v>895</v>
      </c>
      <c r="E124" s="241" t="s">
        <v>896</v>
      </c>
      <c r="F124" s="371">
        <v>42916</v>
      </c>
      <c r="H124" s="358" t="s">
        <v>1050</v>
      </c>
      <c r="I124" s="367" t="s">
        <v>1048</v>
      </c>
      <c r="J124" s="2">
        <v>515206</v>
      </c>
      <c r="K124" s="2">
        <v>173341</v>
      </c>
      <c r="L124" s="293"/>
      <c r="M124" s="364">
        <v>0</v>
      </c>
      <c r="N124" s="364">
        <v>0</v>
      </c>
      <c r="O124" s="364">
        <v>0</v>
      </c>
      <c r="P124" s="364">
        <v>0</v>
      </c>
      <c r="Q124" s="364"/>
      <c r="R124" s="364"/>
      <c r="S124" s="364"/>
      <c r="T124" s="365">
        <v>0</v>
      </c>
      <c r="U124" s="364"/>
      <c r="V124" s="364">
        <v>1</v>
      </c>
      <c r="W124" s="364">
        <v>5</v>
      </c>
      <c r="X124" s="364">
        <v>0</v>
      </c>
      <c r="Y124" s="364">
        <v>0</v>
      </c>
      <c r="Z124" s="364"/>
      <c r="AA124" s="364"/>
      <c r="AB124" s="364"/>
      <c r="AC124" s="365">
        <v>6</v>
      </c>
      <c r="AD124" s="364"/>
      <c r="AE124" s="364">
        <f t="shared" ref="AE124:AE155" si="33">V124-M124</f>
        <v>1</v>
      </c>
      <c r="AF124" s="364">
        <f t="shared" ref="AF124:AF155" si="34">W124-N124</f>
        <v>5</v>
      </c>
      <c r="AG124" s="364">
        <f t="shared" ref="AG124:AG155" si="35">X124-O124</f>
        <v>0</v>
      </c>
      <c r="AH124" s="364">
        <f t="shared" ref="AH124:AH155" si="36">Y124-P124</f>
        <v>0</v>
      </c>
      <c r="AI124" s="364">
        <f t="shared" ref="AI124:AI155" si="37">Z124-Q124</f>
        <v>0</v>
      </c>
      <c r="AJ124" s="364">
        <f t="shared" ref="AJ124:AJ155" si="38">AA124-R124</f>
        <v>0</v>
      </c>
      <c r="AK124" s="364">
        <f t="shared" ref="AK124:AK155" si="39">AB124-S124</f>
        <v>0</v>
      </c>
      <c r="AL124" s="348">
        <v>6</v>
      </c>
      <c r="AN124" s="322">
        <v>0</v>
      </c>
      <c r="AO124" s="231">
        <v>6</v>
      </c>
      <c r="AP124" s="228">
        <v>0</v>
      </c>
      <c r="AQ124" s="231">
        <v>0</v>
      </c>
      <c r="AR124" s="231">
        <v>0</v>
      </c>
      <c r="AS124" s="231">
        <v>0</v>
      </c>
      <c r="AT124" s="231">
        <v>0</v>
      </c>
      <c r="AU124" s="242">
        <v>0</v>
      </c>
      <c r="AV124" s="231">
        <v>0</v>
      </c>
      <c r="AW124" s="231">
        <v>0</v>
      </c>
      <c r="AX124" s="231">
        <v>0</v>
      </c>
      <c r="AY124" s="231">
        <v>0</v>
      </c>
      <c r="AZ124" s="230">
        <v>0</v>
      </c>
      <c r="BA124" s="2" t="s">
        <v>1236</v>
      </c>
    </row>
    <row r="125" spans="1:58" ht="15" customHeight="1" x14ac:dyDescent="0.25">
      <c r="A125" s="241" t="s">
        <v>654</v>
      </c>
      <c r="B125" s="2" t="s">
        <v>26</v>
      </c>
      <c r="D125" s="241" t="s">
        <v>655</v>
      </c>
      <c r="E125" s="241" t="s">
        <v>656</v>
      </c>
      <c r="F125" s="371">
        <v>43194</v>
      </c>
      <c r="H125" s="358" t="s">
        <v>1050</v>
      </c>
      <c r="I125" s="367" t="s">
        <v>1048</v>
      </c>
      <c r="J125" s="2">
        <v>515537</v>
      </c>
      <c r="K125" s="2">
        <v>170973</v>
      </c>
      <c r="L125" s="293"/>
      <c r="M125" s="364">
        <v>1</v>
      </c>
      <c r="N125" s="364">
        <v>0</v>
      </c>
      <c r="O125" s="364">
        <v>0</v>
      </c>
      <c r="P125" s="364">
        <v>0</v>
      </c>
      <c r="Q125" s="364"/>
      <c r="R125" s="364"/>
      <c r="S125" s="364"/>
      <c r="T125" s="365">
        <v>1</v>
      </c>
      <c r="U125" s="364"/>
      <c r="V125" s="364">
        <v>2</v>
      </c>
      <c r="W125" s="364">
        <v>4</v>
      </c>
      <c r="X125" s="364">
        <v>0</v>
      </c>
      <c r="Y125" s="364">
        <v>0</v>
      </c>
      <c r="Z125" s="364"/>
      <c r="AA125" s="364"/>
      <c r="AB125" s="364"/>
      <c r="AC125" s="365">
        <v>6</v>
      </c>
      <c r="AD125" s="364"/>
      <c r="AE125" s="364">
        <f t="shared" si="33"/>
        <v>1</v>
      </c>
      <c r="AF125" s="364">
        <f t="shared" si="34"/>
        <v>4</v>
      </c>
      <c r="AG125" s="364">
        <f t="shared" si="35"/>
        <v>0</v>
      </c>
      <c r="AH125" s="364">
        <f t="shared" si="36"/>
        <v>0</v>
      </c>
      <c r="AI125" s="364">
        <f t="shared" si="37"/>
        <v>0</v>
      </c>
      <c r="AJ125" s="364">
        <f t="shared" si="38"/>
        <v>0</v>
      </c>
      <c r="AK125" s="364">
        <f t="shared" si="39"/>
        <v>0</v>
      </c>
      <c r="AL125" s="348">
        <f t="shared" ref="AL125:AL156" si="40">AC125-T125</f>
        <v>5</v>
      </c>
      <c r="AM125" s="232"/>
      <c r="AN125" s="322">
        <v>0</v>
      </c>
      <c r="AO125" s="231">
        <v>0</v>
      </c>
      <c r="AP125" s="228">
        <v>5</v>
      </c>
      <c r="AQ125" s="231">
        <v>0</v>
      </c>
      <c r="AR125" s="231">
        <v>0</v>
      </c>
      <c r="AS125" s="231">
        <v>0</v>
      </c>
      <c r="AT125" s="231">
        <v>0</v>
      </c>
      <c r="AU125" s="323" t="s">
        <v>39</v>
      </c>
      <c r="AV125" s="231">
        <v>0</v>
      </c>
      <c r="AW125" s="231">
        <v>0</v>
      </c>
      <c r="AX125" s="231">
        <v>0</v>
      </c>
      <c r="AY125" s="231">
        <v>0</v>
      </c>
      <c r="AZ125" s="230">
        <v>0</v>
      </c>
      <c r="BA125" s="2" t="s">
        <v>1215</v>
      </c>
      <c r="BD125" s="2" t="s">
        <v>1215</v>
      </c>
    </row>
    <row r="126" spans="1:58" ht="15" customHeight="1" x14ac:dyDescent="0.25">
      <c r="A126" s="2" t="s">
        <v>57</v>
      </c>
      <c r="B126" s="2" t="s">
        <v>60</v>
      </c>
      <c r="D126" s="358" t="s">
        <v>58</v>
      </c>
      <c r="E126" s="358" t="s">
        <v>59</v>
      </c>
      <c r="F126" s="319">
        <v>42552</v>
      </c>
      <c r="G126" s="318"/>
      <c r="H126" s="358" t="s">
        <v>1050</v>
      </c>
      <c r="I126" s="367" t="s">
        <v>1048</v>
      </c>
      <c r="J126" s="2">
        <v>517917</v>
      </c>
      <c r="K126" s="2">
        <v>175196</v>
      </c>
      <c r="L126" s="293"/>
      <c r="M126" s="364">
        <v>0</v>
      </c>
      <c r="N126" s="364">
        <v>0</v>
      </c>
      <c r="O126" s="364">
        <v>0</v>
      </c>
      <c r="P126" s="364">
        <v>0</v>
      </c>
      <c r="Q126" s="364"/>
      <c r="R126" s="364"/>
      <c r="S126" s="364"/>
      <c r="T126" s="366">
        <v>0</v>
      </c>
      <c r="U126" s="364"/>
      <c r="V126" s="364">
        <v>0</v>
      </c>
      <c r="W126" s="364">
        <v>5</v>
      </c>
      <c r="X126" s="364">
        <v>3</v>
      </c>
      <c r="Y126" s="364">
        <v>0</v>
      </c>
      <c r="Z126" s="364"/>
      <c r="AA126" s="364"/>
      <c r="AB126" s="364"/>
      <c r="AC126" s="366">
        <v>8</v>
      </c>
      <c r="AD126" s="364"/>
      <c r="AE126" s="364">
        <f t="shared" si="33"/>
        <v>0</v>
      </c>
      <c r="AF126" s="364">
        <f t="shared" si="34"/>
        <v>5</v>
      </c>
      <c r="AG126" s="364">
        <f t="shared" si="35"/>
        <v>3</v>
      </c>
      <c r="AH126" s="364">
        <f t="shared" si="36"/>
        <v>0</v>
      </c>
      <c r="AI126" s="364">
        <f t="shared" si="37"/>
        <v>0</v>
      </c>
      <c r="AJ126" s="364">
        <f t="shared" si="38"/>
        <v>0</v>
      </c>
      <c r="AK126" s="364">
        <f t="shared" si="39"/>
        <v>0</v>
      </c>
      <c r="AL126" s="348">
        <f t="shared" si="40"/>
        <v>8</v>
      </c>
      <c r="AM126" s="232"/>
      <c r="AN126" s="322">
        <v>0</v>
      </c>
      <c r="AO126" s="231">
        <v>8</v>
      </c>
      <c r="AP126" s="228">
        <v>0</v>
      </c>
      <c r="AQ126" s="231">
        <v>0</v>
      </c>
      <c r="AR126" s="231">
        <v>0</v>
      </c>
      <c r="AS126" s="231">
        <v>0</v>
      </c>
      <c r="AT126" s="231">
        <v>0</v>
      </c>
      <c r="AU126" s="323">
        <v>0</v>
      </c>
      <c r="AV126" s="231">
        <v>0</v>
      </c>
      <c r="AW126" s="231">
        <v>0</v>
      </c>
      <c r="AX126" s="231">
        <v>0</v>
      </c>
      <c r="AY126" s="231">
        <v>0</v>
      </c>
      <c r="AZ126" s="230">
        <v>0</v>
      </c>
      <c r="BA126" s="2" t="s">
        <v>1235</v>
      </c>
      <c r="BD126" s="2" t="s">
        <v>1213</v>
      </c>
    </row>
    <row r="127" spans="1:58" ht="15" customHeight="1" x14ac:dyDescent="0.25">
      <c r="A127" s="241" t="s">
        <v>501</v>
      </c>
      <c r="B127" s="2" t="s">
        <v>9</v>
      </c>
      <c r="D127" s="241" t="s">
        <v>502</v>
      </c>
      <c r="E127" s="241" t="s">
        <v>503</v>
      </c>
      <c r="F127" s="371">
        <v>42839</v>
      </c>
      <c r="H127" s="358" t="s">
        <v>1050</v>
      </c>
      <c r="I127" s="367" t="s">
        <v>1048</v>
      </c>
      <c r="J127" s="2">
        <v>518627</v>
      </c>
      <c r="K127" s="2">
        <v>175012</v>
      </c>
      <c r="L127" s="293"/>
      <c r="M127" s="364">
        <v>0</v>
      </c>
      <c r="N127" s="364">
        <v>0</v>
      </c>
      <c r="O127" s="364">
        <v>0</v>
      </c>
      <c r="P127" s="364">
        <v>0</v>
      </c>
      <c r="Q127" s="364"/>
      <c r="R127" s="364"/>
      <c r="S127" s="364"/>
      <c r="T127" s="365">
        <v>0</v>
      </c>
      <c r="U127" s="364"/>
      <c r="V127" s="364">
        <v>0</v>
      </c>
      <c r="W127" s="364">
        <v>0</v>
      </c>
      <c r="X127" s="364">
        <v>0</v>
      </c>
      <c r="Y127" s="364">
        <v>4</v>
      </c>
      <c r="Z127" s="364"/>
      <c r="AA127" s="364"/>
      <c r="AB127" s="364"/>
      <c r="AC127" s="365">
        <v>4</v>
      </c>
      <c r="AD127" s="364"/>
      <c r="AE127" s="364">
        <f t="shared" si="33"/>
        <v>0</v>
      </c>
      <c r="AF127" s="364">
        <f t="shared" si="34"/>
        <v>0</v>
      </c>
      <c r="AG127" s="364">
        <f t="shared" si="35"/>
        <v>0</v>
      </c>
      <c r="AH127" s="364">
        <f t="shared" si="36"/>
        <v>4</v>
      </c>
      <c r="AI127" s="364">
        <f t="shared" si="37"/>
        <v>0</v>
      </c>
      <c r="AJ127" s="364">
        <f t="shared" si="38"/>
        <v>0</v>
      </c>
      <c r="AK127" s="364">
        <f t="shared" si="39"/>
        <v>0</v>
      </c>
      <c r="AL127" s="348">
        <f t="shared" si="40"/>
        <v>4</v>
      </c>
      <c r="AM127" s="232"/>
      <c r="AN127" s="322">
        <v>0</v>
      </c>
      <c r="AO127" s="231">
        <v>4</v>
      </c>
      <c r="AP127" s="228">
        <v>0</v>
      </c>
      <c r="AQ127" s="231">
        <v>0</v>
      </c>
      <c r="AR127" s="231">
        <v>0</v>
      </c>
      <c r="AS127" s="231">
        <v>0</v>
      </c>
      <c r="AT127" s="231">
        <v>0</v>
      </c>
      <c r="AU127" s="323">
        <v>0</v>
      </c>
      <c r="AV127" s="231">
        <v>0</v>
      </c>
      <c r="AW127" s="231">
        <v>0</v>
      </c>
      <c r="AX127" s="231">
        <v>0</v>
      </c>
      <c r="AY127" s="231">
        <v>0</v>
      </c>
      <c r="AZ127" s="230">
        <v>0</v>
      </c>
      <c r="BA127" s="2" t="s">
        <v>1235</v>
      </c>
    </row>
    <row r="128" spans="1:58" ht="15" customHeight="1" x14ac:dyDescent="0.25">
      <c r="A128" s="241" t="s">
        <v>952</v>
      </c>
      <c r="B128" s="2" t="s">
        <v>26</v>
      </c>
      <c r="C128" s="2" t="s">
        <v>1037</v>
      </c>
      <c r="D128" s="241" t="s">
        <v>950</v>
      </c>
      <c r="E128" s="241" t="s">
        <v>953</v>
      </c>
      <c r="F128" s="371">
        <v>43132</v>
      </c>
      <c r="H128" s="358" t="s">
        <v>1050</v>
      </c>
      <c r="I128" s="367" t="s">
        <v>1048</v>
      </c>
      <c r="J128" s="2">
        <v>515764</v>
      </c>
      <c r="K128" s="2">
        <v>173105</v>
      </c>
      <c r="L128" s="293"/>
      <c r="M128" s="364">
        <v>0</v>
      </c>
      <c r="N128" s="364">
        <v>0</v>
      </c>
      <c r="O128" s="364">
        <v>0</v>
      </c>
      <c r="P128" s="364">
        <v>0</v>
      </c>
      <c r="Q128" s="364"/>
      <c r="R128" s="364"/>
      <c r="S128" s="364"/>
      <c r="T128" s="365">
        <v>0</v>
      </c>
      <c r="U128" s="364"/>
      <c r="V128" s="364">
        <v>6</v>
      </c>
      <c r="W128" s="364">
        <v>0</v>
      </c>
      <c r="X128" s="364">
        <v>0</v>
      </c>
      <c r="Y128" s="364">
        <v>0</v>
      </c>
      <c r="Z128" s="364"/>
      <c r="AA128" s="364"/>
      <c r="AB128" s="364"/>
      <c r="AC128" s="365">
        <v>6</v>
      </c>
      <c r="AD128" s="364"/>
      <c r="AE128" s="364">
        <f t="shared" si="33"/>
        <v>6</v>
      </c>
      <c r="AF128" s="364">
        <f t="shared" si="34"/>
        <v>0</v>
      </c>
      <c r="AG128" s="364">
        <f t="shared" si="35"/>
        <v>0</v>
      </c>
      <c r="AH128" s="364">
        <f t="shared" si="36"/>
        <v>0</v>
      </c>
      <c r="AI128" s="364">
        <f t="shared" si="37"/>
        <v>0</v>
      </c>
      <c r="AJ128" s="364">
        <f t="shared" si="38"/>
        <v>0</v>
      </c>
      <c r="AK128" s="364">
        <f t="shared" si="39"/>
        <v>0</v>
      </c>
      <c r="AL128" s="348">
        <f t="shared" si="40"/>
        <v>6</v>
      </c>
      <c r="AN128" s="322">
        <v>0</v>
      </c>
      <c r="AO128" s="231">
        <v>6</v>
      </c>
      <c r="AP128" s="228">
        <v>0</v>
      </c>
      <c r="AQ128" s="231">
        <v>0</v>
      </c>
      <c r="AR128" s="231">
        <v>0</v>
      </c>
      <c r="AS128" s="231">
        <v>0</v>
      </c>
      <c r="AT128" s="231">
        <v>0</v>
      </c>
      <c r="AU128" s="242">
        <v>0</v>
      </c>
      <c r="AV128" s="231">
        <v>0</v>
      </c>
      <c r="AW128" s="231">
        <v>0</v>
      </c>
      <c r="AX128" s="231">
        <v>0</v>
      </c>
      <c r="AY128" s="231">
        <v>0</v>
      </c>
      <c r="AZ128" s="230">
        <v>0</v>
      </c>
      <c r="BA128" s="2" t="s">
        <v>1236</v>
      </c>
      <c r="BD128" s="2" t="s">
        <v>1217</v>
      </c>
    </row>
    <row r="129" spans="1:58" ht="15" customHeight="1" x14ac:dyDescent="0.25">
      <c r="A129" s="241" t="s">
        <v>387</v>
      </c>
      <c r="B129" s="2" t="s">
        <v>9</v>
      </c>
      <c r="D129" s="241" t="s">
        <v>388</v>
      </c>
      <c r="E129" s="241" t="s">
        <v>389</v>
      </c>
      <c r="F129" s="359">
        <v>43276</v>
      </c>
      <c r="H129" s="358" t="s">
        <v>1050</v>
      </c>
      <c r="I129" s="367" t="s">
        <v>1048</v>
      </c>
      <c r="J129" s="2">
        <v>521414</v>
      </c>
      <c r="K129" s="2">
        <v>175749</v>
      </c>
      <c r="L129" s="293"/>
      <c r="M129" s="364">
        <v>0</v>
      </c>
      <c r="N129" s="364">
        <v>0</v>
      </c>
      <c r="O129" s="364">
        <v>0</v>
      </c>
      <c r="P129" s="364">
        <v>0</v>
      </c>
      <c r="Q129" s="364"/>
      <c r="R129" s="364"/>
      <c r="S129" s="364"/>
      <c r="T129" s="365">
        <v>0</v>
      </c>
      <c r="U129" s="364"/>
      <c r="V129" s="364">
        <v>2</v>
      </c>
      <c r="W129" s="364">
        <v>6</v>
      </c>
      <c r="X129" s="364">
        <v>0</v>
      </c>
      <c r="Y129" s="364">
        <v>0</v>
      </c>
      <c r="Z129" s="364"/>
      <c r="AA129" s="364"/>
      <c r="AB129" s="364"/>
      <c r="AC129" s="365">
        <v>8</v>
      </c>
      <c r="AD129" s="364"/>
      <c r="AE129" s="364">
        <f t="shared" si="33"/>
        <v>2</v>
      </c>
      <c r="AF129" s="364">
        <f t="shared" si="34"/>
        <v>6</v>
      </c>
      <c r="AG129" s="364">
        <f t="shared" si="35"/>
        <v>0</v>
      </c>
      <c r="AH129" s="364">
        <f t="shared" si="36"/>
        <v>0</v>
      </c>
      <c r="AI129" s="364">
        <f t="shared" si="37"/>
        <v>0</v>
      </c>
      <c r="AJ129" s="364">
        <f t="shared" si="38"/>
        <v>0</v>
      </c>
      <c r="AK129" s="364">
        <f t="shared" si="39"/>
        <v>0</v>
      </c>
      <c r="AL129" s="348">
        <f t="shared" si="40"/>
        <v>8</v>
      </c>
      <c r="AM129" s="232"/>
      <c r="AN129" s="322">
        <v>0</v>
      </c>
      <c r="AO129" s="231">
        <v>0</v>
      </c>
      <c r="AP129" s="228">
        <v>8</v>
      </c>
      <c r="AQ129" s="231">
        <v>0</v>
      </c>
      <c r="AR129" s="231">
        <v>0</v>
      </c>
      <c r="AS129" s="231">
        <v>0</v>
      </c>
      <c r="AT129" s="231">
        <v>0</v>
      </c>
      <c r="AU129" s="323" t="s">
        <v>39</v>
      </c>
      <c r="AV129" s="231">
        <v>0</v>
      </c>
      <c r="AW129" s="231">
        <v>0</v>
      </c>
      <c r="AX129" s="231">
        <v>0</v>
      </c>
      <c r="AY129" s="231">
        <v>0</v>
      </c>
      <c r="AZ129" s="230">
        <v>0</v>
      </c>
      <c r="BA129" s="2" t="s">
        <v>1267</v>
      </c>
      <c r="BC129" s="2" t="s">
        <v>1447</v>
      </c>
    </row>
    <row r="130" spans="1:58" ht="15" customHeight="1" x14ac:dyDescent="0.25">
      <c r="A130" s="241" t="s">
        <v>364</v>
      </c>
      <c r="B130" s="2" t="s">
        <v>60</v>
      </c>
      <c r="D130" s="241" t="s">
        <v>365</v>
      </c>
      <c r="E130" s="241" t="s">
        <v>366</v>
      </c>
      <c r="F130" s="359">
        <v>43114</v>
      </c>
      <c r="G130" s="318">
        <v>43708</v>
      </c>
      <c r="H130" s="358" t="s">
        <v>1050</v>
      </c>
      <c r="I130" s="367" t="s">
        <v>1048</v>
      </c>
      <c r="J130" s="2">
        <v>520471</v>
      </c>
      <c r="K130" s="2">
        <v>175586</v>
      </c>
      <c r="L130" s="293"/>
      <c r="M130" s="364">
        <v>0</v>
      </c>
      <c r="N130" s="364">
        <v>0</v>
      </c>
      <c r="O130" s="364">
        <v>0</v>
      </c>
      <c r="P130" s="364">
        <v>1</v>
      </c>
      <c r="Q130" s="364"/>
      <c r="R130" s="364"/>
      <c r="S130" s="364"/>
      <c r="T130" s="365">
        <v>1</v>
      </c>
      <c r="U130" s="364"/>
      <c r="V130" s="364">
        <v>1</v>
      </c>
      <c r="W130" s="364">
        <v>2</v>
      </c>
      <c r="X130" s="364">
        <v>0</v>
      </c>
      <c r="Y130" s="364">
        <v>0</v>
      </c>
      <c r="Z130" s="364"/>
      <c r="AA130" s="364"/>
      <c r="AB130" s="364"/>
      <c r="AC130" s="365">
        <v>3</v>
      </c>
      <c r="AD130" s="364"/>
      <c r="AE130" s="364">
        <f t="shared" si="33"/>
        <v>1</v>
      </c>
      <c r="AF130" s="364">
        <f t="shared" si="34"/>
        <v>2</v>
      </c>
      <c r="AG130" s="364">
        <f t="shared" si="35"/>
        <v>0</v>
      </c>
      <c r="AH130" s="364">
        <f t="shared" si="36"/>
        <v>-1</v>
      </c>
      <c r="AI130" s="364">
        <f t="shared" si="37"/>
        <v>0</v>
      </c>
      <c r="AJ130" s="364">
        <f t="shared" si="38"/>
        <v>0</v>
      </c>
      <c r="AK130" s="364">
        <f t="shared" si="39"/>
        <v>0</v>
      </c>
      <c r="AL130" s="348">
        <f t="shared" si="40"/>
        <v>2</v>
      </c>
      <c r="AM130" s="232"/>
      <c r="AN130" s="322">
        <v>0</v>
      </c>
      <c r="AO130" s="231">
        <v>2</v>
      </c>
      <c r="AP130" s="228">
        <v>0</v>
      </c>
      <c r="AQ130" s="231">
        <v>0</v>
      </c>
      <c r="AR130" s="231">
        <v>0</v>
      </c>
      <c r="AS130" s="231">
        <v>0</v>
      </c>
      <c r="AT130" s="231">
        <v>0</v>
      </c>
      <c r="AU130" s="323">
        <v>0</v>
      </c>
      <c r="AV130" s="231">
        <v>0</v>
      </c>
      <c r="AW130" s="231">
        <v>0</v>
      </c>
      <c r="AX130" s="231">
        <v>0</v>
      </c>
      <c r="AY130" s="231">
        <v>0</v>
      </c>
      <c r="AZ130" s="230">
        <v>0</v>
      </c>
      <c r="BA130" s="2" t="s">
        <v>1212</v>
      </c>
      <c r="BD130" s="2" t="s">
        <v>1212</v>
      </c>
    </row>
    <row r="131" spans="1:58" ht="15" customHeight="1" x14ac:dyDescent="0.25">
      <c r="A131" s="241" t="s">
        <v>996</v>
      </c>
      <c r="B131" s="2" t="s">
        <v>26</v>
      </c>
      <c r="D131" s="241" t="s">
        <v>997</v>
      </c>
      <c r="E131" s="241" t="s">
        <v>998</v>
      </c>
      <c r="F131" s="371">
        <v>42856</v>
      </c>
      <c r="H131" s="358" t="s">
        <v>1050</v>
      </c>
      <c r="I131" s="367" t="s">
        <v>1048</v>
      </c>
      <c r="J131" s="2">
        <v>518248</v>
      </c>
      <c r="K131" s="2">
        <v>175334</v>
      </c>
      <c r="L131" s="293"/>
      <c r="M131" s="364">
        <v>0</v>
      </c>
      <c r="N131" s="364">
        <v>1</v>
      </c>
      <c r="O131" s="364">
        <v>0</v>
      </c>
      <c r="P131" s="364">
        <v>0</v>
      </c>
      <c r="Q131" s="364"/>
      <c r="R131" s="364"/>
      <c r="S131" s="364"/>
      <c r="T131" s="365">
        <v>1</v>
      </c>
      <c r="U131" s="364"/>
      <c r="V131" s="364">
        <v>0</v>
      </c>
      <c r="W131" s="364">
        <v>0</v>
      </c>
      <c r="X131" s="364">
        <v>0</v>
      </c>
      <c r="Y131" s="364">
        <v>1</v>
      </c>
      <c r="Z131" s="364"/>
      <c r="AA131" s="364"/>
      <c r="AB131" s="364"/>
      <c r="AC131" s="365">
        <v>1</v>
      </c>
      <c r="AD131" s="364"/>
      <c r="AE131" s="364">
        <f t="shared" si="33"/>
        <v>0</v>
      </c>
      <c r="AF131" s="364">
        <f t="shared" si="34"/>
        <v>-1</v>
      </c>
      <c r="AG131" s="364">
        <f t="shared" si="35"/>
        <v>0</v>
      </c>
      <c r="AH131" s="364">
        <f t="shared" si="36"/>
        <v>1</v>
      </c>
      <c r="AI131" s="364">
        <f t="shared" si="37"/>
        <v>0</v>
      </c>
      <c r="AJ131" s="364">
        <f t="shared" si="38"/>
        <v>0</v>
      </c>
      <c r="AK131" s="364">
        <f t="shared" si="39"/>
        <v>0</v>
      </c>
      <c r="AL131" s="348">
        <f t="shared" si="40"/>
        <v>0</v>
      </c>
      <c r="AN131" s="322">
        <v>0</v>
      </c>
      <c r="AO131" s="231">
        <v>0</v>
      </c>
      <c r="AP131" s="228">
        <v>0</v>
      </c>
      <c r="AQ131" s="231">
        <v>0</v>
      </c>
      <c r="AR131" s="231">
        <v>0</v>
      </c>
      <c r="AS131" s="231">
        <v>0</v>
      </c>
      <c r="AT131" s="231">
        <v>0</v>
      </c>
      <c r="AU131" s="242">
        <v>0</v>
      </c>
      <c r="AV131" s="231">
        <v>0</v>
      </c>
      <c r="AW131" s="231">
        <v>0</v>
      </c>
      <c r="AX131" s="231">
        <v>0</v>
      </c>
      <c r="AY131" s="231">
        <v>0</v>
      </c>
      <c r="AZ131" s="230">
        <v>0</v>
      </c>
      <c r="BA131" s="2" t="s">
        <v>1234</v>
      </c>
      <c r="BD131" s="2" t="s">
        <v>1213</v>
      </c>
    </row>
    <row r="132" spans="1:58" ht="15" customHeight="1" x14ac:dyDescent="0.25">
      <c r="A132" s="241" t="s">
        <v>792</v>
      </c>
      <c r="B132" s="2" t="s">
        <v>26</v>
      </c>
      <c r="C132" s="2" t="s">
        <v>1037</v>
      </c>
      <c r="D132" s="241" t="s">
        <v>793</v>
      </c>
      <c r="E132" s="241" t="s">
        <v>794</v>
      </c>
      <c r="F132" s="371">
        <v>42430</v>
      </c>
      <c r="H132" s="358" t="s">
        <v>1050</v>
      </c>
      <c r="I132" s="367" t="s">
        <v>1048</v>
      </c>
      <c r="J132" s="2">
        <v>513125</v>
      </c>
      <c r="K132" s="2">
        <v>169836</v>
      </c>
      <c r="L132" s="293"/>
      <c r="M132" s="364">
        <v>0</v>
      </c>
      <c r="N132" s="364">
        <v>0</v>
      </c>
      <c r="O132" s="364">
        <v>0</v>
      </c>
      <c r="P132" s="364">
        <v>0</v>
      </c>
      <c r="Q132" s="364"/>
      <c r="R132" s="364"/>
      <c r="S132" s="364"/>
      <c r="T132" s="365">
        <v>0</v>
      </c>
      <c r="U132" s="364"/>
      <c r="V132" s="364">
        <v>0</v>
      </c>
      <c r="W132" s="364">
        <v>0</v>
      </c>
      <c r="X132" s="364">
        <v>1</v>
      </c>
      <c r="Y132" s="364">
        <v>0</v>
      </c>
      <c r="Z132" s="364"/>
      <c r="AA132" s="364"/>
      <c r="AB132" s="364"/>
      <c r="AC132" s="365">
        <v>1</v>
      </c>
      <c r="AD132" s="364"/>
      <c r="AE132" s="364">
        <f t="shared" si="33"/>
        <v>0</v>
      </c>
      <c r="AF132" s="364">
        <f t="shared" si="34"/>
        <v>0</v>
      </c>
      <c r="AG132" s="364">
        <f t="shared" si="35"/>
        <v>1</v>
      </c>
      <c r="AH132" s="364">
        <f t="shared" si="36"/>
        <v>0</v>
      </c>
      <c r="AI132" s="364">
        <f t="shared" si="37"/>
        <v>0</v>
      </c>
      <c r="AJ132" s="364">
        <f t="shared" si="38"/>
        <v>0</v>
      </c>
      <c r="AK132" s="364">
        <f t="shared" si="39"/>
        <v>0</v>
      </c>
      <c r="AL132" s="348">
        <f t="shared" si="40"/>
        <v>1</v>
      </c>
      <c r="AM132" s="232"/>
      <c r="AN132" s="322">
        <v>0</v>
      </c>
      <c r="AO132" s="231">
        <v>1</v>
      </c>
      <c r="AP132" s="228">
        <v>0</v>
      </c>
      <c r="AQ132" s="231">
        <v>0</v>
      </c>
      <c r="AR132" s="231">
        <v>0</v>
      </c>
      <c r="AS132" s="231">
        <v>0</v>
      </c>
      <c r="AT132" s="231">
        <v>0</v>
      </c>
      <c r="AU132" s="323">
        <v>0</v>
      </c>
      <c r="AV132" s="231">
        <v>0</v>
      </c>
      <c r="AW132" s="231">
        <v>0</v>
      </c>
      <c r="AX132" s="231">
        <v>0</v>
      </c>
      <c r="AY132" s="231">
        <v>0</v>
      </c>
      <c r="AZ132" s="230">
        <v>0</v>
      </c>
      <c r="BA132" s="2" t="s">
        <v>1229</v>
      </c>
    </row>
    <row r="133" spans="1:58" ht="15" customHeight="1" x14ac:dyDescent="0.25">
      <c r="A133" s="241" t="s">
        <v>691</v>
      </c>
      <c r="B133" s="2" t="s">
        <v>9</v>
      </c>
      <c r="D133" s="241" t="s">
        <v>692</v>
      </c>
      <c r="E133" s="241" t="s">
        <v>693</v>
      </c>
      <c r="F133" s="371">
        <v>43010</v>
      </c>
      <c r="H133" s="358" t="s">
        <v>1050</v>
      </c>
      <c r="I133" s="367" t="s">
        <v>1048</v>
      </c>
      <c r="J133" s="2">
        <v>515646</v>
      </c>
      <c r="K133" s="2">
        <v>171303</v>
      </c>
      <c r="L133" s="293"/>
      <c r="M133" s="364">
        <v>0</v>
      </c>
      <c r="N133" s="364">
        <v>0</v>
      </c>
      <c r="O133" s="364">
        <v>1</v>
      </c>
      <c r="P133" s="364">
        <v>0</v>
      </c>
      <c r="Q133" s="364"/>
      <c r="R133" s="364"/>
      <c r="S133" s="364"/>
      <c r="T133" s="365">
        <v>1</v>
      </c>
      <c r="U133" s="364"/>
      <c r="V133" s="364">
        <v>0</v>
      </c>
      <c r="W133" s="364">
        <v>2</v>
      </c>
      <c r="X133" s="364">
        <v>1</v>
      </c>
      <c r="Y133" s="364">
        <v>0</v>
      </c>
      <c r="Z133" s="364"/>
      <c r="AA133" s="364"/>
      <c r="AB133" s="364"/>
      <c r="AC133" s="365">
        <v>3</v>
      </c>
      <c r="AD133" s="364"/>
      <c r="AE133" s="364">
        <f t="shared" si="33"/>
        <v>0</v>
      </c>
      <c r="AF133" s="364">
        <f t="shared" si="34"/>
        <v>2</v>
      </c>
      <c r="AG133" s="364">
        <f t="shared" si="35"/>
        <v>0</v>
      </c>
      <c r="AH133" s="364">
        <f t="shared" si="36"/>
        <v>0</v>
      </c>
      <c r="AI133" s="364">
        <f t="shared" si="37"/>
        <v>0</v>
      </c>
      <c r="AJ133" s="364">
        <f t="shared" si="38"/>
        <v>0</v>
      </c>
      <c r="AK133" s="364">
        <f t="shared" si="39"/>
        <v>0</v>
      </c>
      <c r="AL133" s="348">
        <f t="shared" si="40"/>
        <v>2</v>
      </c>
      <c r="AM133" s="232"/>
      <c r="AN133" s="322">
        <v>0</v>
      </c>
      <c r="AO133" s="231">
        <v>0</v>
      </c>
      <c r="AP133" s="228">
        <v>2</v>
      </c>
      <c r="AQ133" s="231">
        <v>0</v>
      </c>
      <c r="AR133" s="231">
        <v>0</v>
      </c>
      <c r="AS133" s="231">
        <v>0</v>
      </c>
      <c r="AT133" s="231">
        <v>0</v>
      </c>
      <c r="AU133" s="323" t="s">
        <v>39</v>
      </c>
      <c r="AV133" s="231">
        <v>0</v>
      </c>
      <c r="AW133" s="231">
        <v>0</v>
      </c>
      <c r="AX133" s="231">
        <v>0</v>
      </c>
      <c r="AY133" s="231">
        <v>0</v>
      </c>
      <c r="AZ133" s="230">
        <v>0</v>
      </c>
      <c r="BA133" s="2" t="s">
        <v>1215</v>
      </c>
    </row>
    <row r="134" spans="1:58" ht="15" customHeight="1" x14ac:dyDescent="0.25">
      <c r="A134" s="241" t="s">
        <v>486</v>
      </c>
      <c r="B134" s="2" t="s">
        <v>5</v>
      </c>
      <c r="D134" s="241" t="s">
        <v>487</v>
      </c>
      <c r="E134" s="241" t="s">
        <v>488</v>
      </c>
      <c r="F134" s="371">
        <v>43160</v>
      </c>
      <c r="G134" s="318">
        <v>43799</v>
      </c>
      <c r="H134" s="358" t="s">
        <v>1050</v>
      </c>
      <c r="I134" s="367" t="s">
        <v>1048</v>
      </c>
      <c r="J134" s="2">
        <v>518586</v>
      </c>
      <c r="K134" s="2">
        <v>174575</v>
      </c>
      <c r="L134" s="293"/>
      <c r="M134" s="364">
        <v>1</v>
      </c>
      <c r="N134" s="364">
        <v>3</v>
      </c>
      <c r="O134" s="364">
        <v>0</v>
      </c>
      <c r="P134" s="364">
        <v>0</v>
      </c>
      <c r="Q134" s="364"/>
      <c r="R134" s="364"/>
      <c r="S134" s="364"/>
      <c r="T134" s="365">
        <v>4</v>
      </c>
      <c r="U134" s="364"/>
      <c r="V134" s="364">
        <v>0</v>
      </c>
      <c r="W134" s="364">
        <v>0</v>
      </c>
      <c r="X134" s="364">
        <v>0</v>
      </c>
      <c r="Y134" s="364">
        <v>1</v>
      </c>
      <c r="Z134" s="364"/>
      <c r="AA134" s="364"/>
      <c r="AB134" s="364"/>
      <c r="AC134" s="365">
        <v>1</v>
      </c>
      <c r="AD134" s="364"/>
      <c r="AE134" s="364">
        <f t="shared" si="33"/>
        <v>-1</v>
      </c>
      <c r="AF134" s="364">
        <f t="shared" si="34"/>
        <v>-3</v>
      </c>
      <c r="AG134" s="364">
        <f t="shared" si="35"/>
        <v>0</v>
      </c>
      <c r="AH134" s="364">
        <f t="shared" si="36"/>
        <v>1</v>
      </c>
      <c r="AI134" s="364">
        <f t="shared" si="37"/>
        <v>0</v>
      </c>
      <c r="AJ134" s="364">
        <f t="shared" si="38"/>
        <v>0</v>
      </c>
      <c r="AK134" s="364">
        <f t="shared" si="39"/>
        <v>0</v>
      </c>
      <c r="AL134" s="348">
        <f t="shared" si="40"/>
        <v>-3</v>
      </c>
      <c r="AM134" s="369"/>
      <c r="AN134" s="322">
        <v>0</v>
      </c>
      <c r="AO134" s="231">
        <v>-3</v>
      </c>
      <c r="AP134" s="228">
        <v>0</v>
      </c>
      <c r="AQ134" s="231">
        <v>0</v>
      </c>
      <c r="AR134" s="231">
        <v>0</v>
      </c>
      <c r="AS134" s="231">
        <v>0</v>
      </c>
      <c r="AT134" s="231">
        <v>0</v>
      </c>
      <c r="AU134" s="323">
        <v>0</v>
      </c>
      <c r="AV134" s="231">
        <v>0</v>
      </c>
      <c r="AW134" s="231">
        <v>0</v>
      </c>
      <c r="AX134" s="231">
        <v>0</v>
      </c>
      <c r="AY134" s="231">
        <v>0</v>
      </c>
      <c r="AZ134" s="230">
        <v>0</v>
      </c>
      <c r="BA134" s="2" t="s">
        <v>1235</v>
      </c>
    </row>
    <row r="135" spans="1:58" ht="15" customHeight="1" x14ac:dyDescent="0.25">
      <c r="A135" s="241" t="s">
        <v>888</v>
      </c>
      <c r="B135" s="2" t="s">
        <v>9</v>
      </c>
      <c r="D135" s="241" t="s">
        <v>889</v>
      </c>
      <c r="E135" s="241" t="s">
        <v>890</v>
      </c>
      <c r="F135" s="359">
        <v>43497</v>
      </c>
      <c r="H135" s="358" t="s">
        <v>1050</v>
      </c>
      <c r="I135" s="367" t="s">
        <v>1048</v>
      </c>
      <c r="J135" s="2">
        <v>515114</v>
      </c>
      <c r="K135" s="2">
        <v>172749</v>
      </c>
      <c r="L135" s="293"/>
      <c r="M135" s="364">
        <v>0</v>
      </c>
      <c r="N135" s="364">
        <v>0</v>
      </c>
      <c r="O135" s="364">
        <v>0</v>
      </c>
      <c r="P135" s="364">
        <v>0</v>
      </c>
      <c r="Q135" s="364"/>
      <c r="R135" s="364"/>
      <c r="S135" s="364"/>
      <c r="T135" s="365">
        <v>0</v>
      </c>
      <c r="U135" s="364"/>
      <c r="V135" s="364">
        <v>1</v>
      </c>
      <c r="W135" s="364">
        <v>0</v>
      </c>
      <c r="X135" s="364">
        <v>0</v>
      </c>
      <c r="Y135" s="364">
        <v>0</v>
      </c>
      <c r="Z135" s="364"/>
      <c r="AA135" s="364"/>
      <c r="AB135" s="364"/>
      <c r="AC135" s="365">
        <v>1</v>
      </c>
      <c r="AD135" s="364"/>
      <c r="AE135" s="364">
        <f t="shared" si="33"/>
        <v>1</v>
      </c>
      <c r="AF135" s="364">
        <f t="shared" si="34"/>
        <v>0</v>
      </c>
      <c r="AG135" s="364">
        <f t="shared" si="35"/>
        <v>0</v>
      </c>
      <c r="AH135" s="364">
        <f t="shared" si="36"/>
        <v>0</v>
      </c>
      <c r="AI135" s="364">
        <f t="shared" si="37"/>
        <v>0</v>
      </c>
      <c r="AJ135" s="364">
        <f t="shared" si="38"/>
        <v>0</v>
      </c>
      <c r="AK135" s="364">
        <f t="shared" si="39"/>
        <v>0</v>
      </c>
      <c r="AL135" s="348">
        <f t="shared" si="40"/>
        <v>1</v>
      </c>
      <c r="AN135" s="322">
        <v>0</v>
      </c>
      <c r="AO135" s="231">
        <v>1</v>
      </c>
      <c r="AP135" s="228">
        <v>0</v>
      </c>
      <c r="AQ135" s="231">
        <v>0</v>
      </c>
      <c r="AR135" s="231">
        <v>0</v>
      </c>
      <c r="AS135" s="231">
        <v>0</v>
      </c>
      <c r="AT135" s="231">
        <v>0</v>
      </c>
      <c r="AU135" s="242">
        <v>0</v>
      </c>
      <c r="AV135" s="231">
        <v>0</v>
      </c>
      <c r="AW135" s="231">
        <v>0</v>
      </c>
      <c r="AX135" s="231">
        <v>0</v>
      </c>
      <c r="AY135" s="231">
        <v>0</v>
      </c>
      <c r="AZ135" s="230">
        <v>0</v>
      </c>
      <c r="BA135" s="2" t="s">
        <v>1239</v>
      </c>
      <c r="BC135" s="2" t="s">
        <v>1431</v>
      </c>
    </row>
    <row r="136" spans="1:58" ht="15" customHeight="1" x14ac:dyDescent="0.25">
      <c r="A136" s="241" t="s">
        <v>920</v>
      </c>
      <c r="B136" s="2" t="s">
        <v>9</v>
      </c>
      <c r="D136" s="241" t="s">
        <v>921</v>
      </c>
      <c r="E136" s="241" t="s">
        <v>922</v>
      </c>
      <c r="F136" s="371">
        <v>43255</v>
      </c>
      <c r="H136" s="358" t="s">
        <v>1050</v>
      </c>
      <c r="I136" s="367" t="s">
        <v>1048</v>
      </c>
      <c r="J136" s="2">
        <v>512819</v>
      </c>
      <c r="K136" s="2">
        <v>173657</v>
      </c>
      <c r="L136" s="293"/>
      <c r="M136" s="364">
        <v>0</v>
      </c>
      <c r="N136" s="364">
        <v>1</v>
      </c>
      <c r="O136" s="364">
        <v>0</v>
      </c>
      <c r="P136" s="364">
        <v>0</v>
      </c>
      <c r="Q136" s="364"/>
      <c r="R136" s="364"/>
      <c r="S136" s="364"/>
      <c r="T136" s="365">
        <v>1</v>
      </c>
      <c r="U136" s="364"/>
      <c r="V136" s="364">
        <v>0</v>
      </c>
      <c r="W136" s="364">
        <v>0</v>
      </c>
      <c r="X136" s="364">
        <v>0</v>
      </c>
      <c r="Y136" s="364">
        <v>2</v>
      </c>
      <c r="Z136" s="364"/>
      <c r="AA136" s="364"/>
      <c r="AB136" s="364"/>
      <c r="AC136" s="365">
        <v>2</v>
      </c>
      <c r="AD136" s="364"/>
      <c r="AE136" s="364">
        <f t="shared" si="33"/>
        <v>0</v>
      </c>
      <c r="AF136" s="364">
        <f t="shared" si="34"/>
        <v>-1</v>
      </c>
      <c r="AG136" s="364">
        <f t="shared" si="35"/>
        <v>0</v>
      </c>
      <c r="AH136" s="364">
        <f t="shared" si="36"/>
        <v>2</v>
      </c>
      <c r="AI136" s="364">
        <f t="shared" si="37"/>
        <v>0</v>
      </c>
      <c r="AJ136" s="364">
        <f t="shared" si="38"/>
        <v>0</v>
      </c>
      <c r="AK136" s="364">
        <f t="shared" si="39"/>
        <v>0</v>
      </c>
      <c r="AL136" s="348">
        <f t="shared" si="40"/>
        <v>1</v>
      </c>
      <c r="AN136" s="322">
        <v>0</v>
      </c>
      <c r="AO136" s="231">
        <v>0</v>
      </c>
      <c r="AP136" s="228">
        <v>1</v>
      </c>
      <c r="AQ136" s="231">
        <v>0</v>
      </c>
      <c r="AR136" s="231">
        <v>0</v>
      </c>
      <c r="AS136" s="231">
        <v>0</v>
      </c>
      <c r="AT136" s="231">
        <v>0</v>
      </c>
      <c r="AU136" s="323" t="s">
        <v>39</v>
      </c>
      <c r="AV136" s="231">
        <v>0</v>
      </c>
      <c r="AW136" s="231">
        <v>0</v>
      </c>
      <c r="AX136" s="231">
        <v>0</v>
      </c>
      <c r="AY136" s="231">
        <v>0</v>
      </c>
      <c r="AZ136" s="230">
        <v>0</v>
      </c>
      <c r="BA136" s="2" t="s">
        <v>1231</v>
      </c>
    </row>
    <row r="137" spans="1:58" ht="15" customHeight="1" x14ac:dyDescent="0.25">
      <c r="A137" s="241" t="s">
        <v>843</v>
      </c>
      <c r="B137" s="2" t="s">
        <v>9</v>
      </c>
      <c r="D137" s="241" t="s">
        <v>844</v>
      </c>
      <c r="E137" s="241" t="s">
        <v>845</v>
      </c>
      <c r="F137" s="371">
        <v>43132</v>
      </c>
      <c r="H137" s="358" t="s">
        <v>1050</v>
      </c>
      <c r="I137" s="367" t="s">
        <v>1048</v>
      </c>
      <c r="J137" s="2">
        <v>516222</v>
      </c>
      <c r="K137" s="2">
        <v>174079</v>
      </c>
      <c r="L137" s="293"/>
      <c r="M137" s="364">
        <v>0</v>
      </c>
      <c r="N137" s="364">
        <v>0</v>
      </c>
      <c r="O137" s="364">
        <v>0</v>
      </c>
      <c r="P137" s="364">
        <v>0</v>
      </c>
      <c r="Q137" s="372">
        <v>1</v>
      </c>
      <c r="R137" s="364"/>
      <c r="S137" s="364"/>
      <c r="T137" s="365">
        <v>1</v>
      </c>
      <c r="U137" s="364"/>
      <c r="V137" s="364">
        <v>0</v>
      </c>
      <c r="W137" s="364">
        <v>0</v>
      </c>
      <c r="X137" s="364">
        <v>0</v>
      </c>
      <c r="Y137" s="364">
        <v>0</v>
      </c>
      <c r="Z137" s="372">
        <v>2</v>
      </c>
      <c r="AA137" s="364"/>
      <c r="AB137" s="364"/>
      <c r="AC137" s="365">
        <v>2</v>
      </c>
      <c r="AD137" s="364"/>
      <c r="AE137" s="364">
        <f t="shared" si="33"/>
        <v>0</v>
      </c>
      <c r="AF137" s="364">
        <f t="shared" si="34"/>
        <v>0</v>
      </c>
      <c r="AG137" s="364">
        <f t="shared" si="35"/>
        <v>0</v>
      </c>
      <c r="AH137" s="364">
        <f t="shared" si="36"/>
        <v>0</v>
      </c>
      <c r="AI137" s="364">
        <f t="shared" si="37"/>
        <v>1</v>
      </c>
      <c r="AJ137" s="364">
        <f t="shared" si="38"/>
        <v>0</v>
      </c>
      <c r="AK137" s="364">
        <f t="shared" si="39"/>
        <v>0</v>
      </c>
      <c r="AL137" s="348">
        <f t="shared" si="40"/>
        <v>1</v>
      </c>
      <c r="AN137" s="322">
        <v>0</v>
      </c>
      <c r="AO137" s="231">
        <v>1</v>
      </c>
      <c r="AP137" s="228">
        <v>0</v>
      </c>
      <c r="AQ137" s="231">
        <v>0</v>
      </c>
      <c r="AR137" s="231">
        <v>0</v>
      </c>
      <c r="AS137" s="231">
        <v>0</v>
      </c>
      <c r="AT137" s="231">
        <v>0</v>
      </c>
      <c r="AU137" s="242">
        <v>0</v>
      </c>
      <c r="AV137" s="231">
        <v>0</v>
      </c>
      <c r="AW137" s="231">
        <v>0</v>
      </c>
      <c r="AX137" s="231">
        <v>0</v>
      </c>
      <c r="AY137" s="231">
        <v>0</v>
      </c>
      <c r="AZ137" s="230">
        <v>0</v>
      </c>
      <c r="BA137" s="2" t="s">
        <v>1442</v>
      </c>
    </row>
    <row r="138" spans="1:58" ht="15" customHeight="1" x14ac:dyDescent="0.25">
      <c r="A138" s="241" t="s">
        <v>537</v>
      </c>
      <c r="B138" s="2" t="s">
        <v>9</v>
      </c>
      <c r="D138" s="241" t="s">
        <v>538</v>
      </c>
      <c r="E138" s="241" t="s">
        <v>1569</v>
      </c>
      <c r="F138" s="371">
        <v>43191</v>
      </c>
      <c r="H138" s="358" t="s">
        <v>1050</v>
      </c>
      <c r="I138" s="367" t="s">
        <v>1048</v>
      </c>
      <c r="J138" s="2">
        <v>519022</v>
      </c>
      <c r="K138" s="2">
        <v>175824</v>
      </c>
      <c r="L138" s="293"/>
      <c r="M138" s="364">
        <v>0</v>
      </c>
      <c r="N138" s="364">
        <v>0</v>
      </c>
      <c r="O138" s="364">
        <v>0</v>
      </c>
      <c r="P138" s="364">
        <v>0</v>
      </c>
      <c r="Q138" s="364"/>
      <c r="R138" s="364"/>
      <c r="S138" s="364"/>
      <c r="T138" s="365">
        <v>0</v>
      </c>
      <c r="U138" s="364"/>
      <c r="V138" s="364">
        <v>0</v>
      </c>
      <c r="W138" s="364">
        <v>4</v>
      </c>
      <c r="X138" s="364">
        <v>0</v>
      </c>
      <c r="Y138" s="364">
        <v>0</v>
      </c>
      <c r="Z138" s="364"/>
      <c r="AA138" s="364"/>
      <c r="AB138" s="364"/>
      <c r="AC138" s="365">
        <v>4</v>
      </c>
      <c r="AD138" s="364"/>
      <c r="AE138" s="364">
        <f t="shared" si="33"/>
        <v>0</v>
      </c>
      <c r="AF138" s="364">
        <f t="shared" si="34"/>
        <v>4</v>
      </c>
      <c r="AG138" s="364">
        <f t="shared" si="35"/>
        <v>0</v>
      </c>
      <c r="AH138" s="364">
        <f t="shared" si="36"/>
        <v>0</v>
      </c>
      <c r="AI138" s="364">
        <f t="shared" si="37"/>
        <v>0</v>
      </c>
      <c r="AJ138" s="364">
        <f t="shared" si="38"/>
        <v>0</v>
      </c>
      <c r="AK138" s="364">
        <f t="shared" si="39"/>
        <v>0</v>
      </c>
      <c r="AL138" s="348">
        <f t="shared" si="40"/>
        <v>4</v>
      </c>
      <c r="AM138" s="232"/>
      <c r="AN138" s="322">
        <v>0</v>
      </c>
      <c r="AO138" s="231">
        <v>4</v>
      </c>
      <c r="AP138" s="228">
        <v>0</v>
      </c>
      <c r="AQ138" s="231">
        <v>0</v>
      </c>
      <c r="AR138" s="231">
        <v>0</v>
      </c>
      <c r="AS138" s="231">
        <v>0</v>
      </c>
      <c r="AT138" s="231">
        <v>0</v>
      </c>
      <c r="AU138" s="323">
        <v>0</v>
      </c>
      <c r="AV138" s="231">
        <v>0</v>
      </c>
      <c r="AW138" s="231">
        <v>0</v>
      </c>
      <c r="AX138" s="231">
        <v>0</v>
      </c>
      <c r="AY138" s="231">
        <v>0</v>
      </c>
      <c r="AZ138" s="230">
        <v>0</v>
      </c>
      <c r="BA138" s="2" t="s">
        <v>1232</v>
      </c>
    </row>
    <row r="139" spans="1:58" ht="15" customHeight="1" x14ac:dyDescent="0.25">
      <c r="A139" s="241" t="s">
        <v>815</v>
      </c>
      <c r="B139" s="2" t="s">
        <v>9</v>
      </c>
      <c r="D139" s="241" t="s">
        <v>191</v>
      </c>
      <c r="E139" s="241" t="s">
        <v>816</v>
      </c>
      <c r="F139" s="371">
        <v>42502</v>
      </c>
      <c r="H139" s="358" t="s">
        <v>1050</v>
      </c>
      <c r="I139" s="367" t="s">
        <v>1048</v>
      </c>
      <c r="J139" s="2">
        <v>516657</v>
      </c>
      <c r="K139" s="2">
        <v>173659</v>
      </c>
      <c r="L139" s="293"/>
      <c r="M139" s="364">
        <v>0</v>
      </c>
      <c r="N139" s="364">
        <v>0</v>
      </c>
      <c r="O139" s="364">
        <v>0</v>
      </c>
      <c r="P139" s="364">
        <v>0</v>
      </c>
      <c r="Q139" s="364"/>
      <c r="R139" s="364"/>
      <c r="S139" s="364"/>
      <c r="T139" s="365">
        <v>0</v>
      </c>
      <c r="U139" s="364"/>
      <c r="V139" s="364">
        <v>0</v>
      </c>
      <c r="W139" s="364">
        <v>0</v>
      </c>
      <c r="X139" s="364">
        <v>1</v>
      </c>
      <c r="Y139" s="364">
        <v>0</v>
      </c>
      <c r="Z139" s="364"/>
      <c r="AA139" s="364"/>
      <c r="AB139" s="364"/>
      <c r="AC139" s="365">
        <v>1</v>
      </c>
      <c r="AD139" s="364"/>
      <c r="AE139" s="364">
        <f t="shared" si="33"/>
        <v>0</v>
      </c>
      <c r="AF139" s="364">
        <f t="shared" si="34"/>
        <v>0</v>
      </c>
      <c r="AG139" s="364">
        <f t="shared" si="35"/>
        <v>1</v>
      </c>
      <c r="AH139" s="364">
        <f t="shared" si="36"/>
        <v>0</v>
      </c>
      <c r="AI139" s="364">
        <f t="shared" si="37"/>
        <v>0</v>
      </c>
      <c r="AJ139" s="364">
        <f t="shared" si="38"/>
        <v>0</v>
      </c>
      <c r="AK139" s="364">
        <f t="shared" si="39"/>
        <v>0</v>
      </c>
      <c r="AL139" s="348">
        <f t="shared" si="40"/>
        <v>1</v>
      </c>
      <c r="AN139" s="322">
        <v>0</v>
      </c>
      <c r="AO139" s="231">
        <v>0</v>
      </c>
      <c r="AP139" s="228">
        <v>1</v>
      </c>
      <c r="AQ139" s="231">
        <v>0</v>
      </c>
      <c r="AR139" s="231">
        <v>0</v>
      </c>
      <c r="AS139" s="231">
        <v>0</v>
      </c>
      <c r="AT139" s="231">
        <v>0</v>
      </c>
      <c r="AU139" s="323" t="s">
        <v>39</v>
      </c>
      <c r="AV139" s="231">
        <v>0</v>
      </c>
      <c r="AW139" s="231">
        <v>0</v>
      </c>
      <c r="AX139" s="231">
        <v>0</v>
      </c>
      <c r="AY139" s="231">
        <v>0</v>
      </c>
      <c r="AZ139" s="230">
        <v>0</v>
      </c>
      <c r="BA139" s="2" t="s">
        <v>1238</v>
      </c>
    </row>
    <row r="140" spans="1:58" ht="15" customHeight="1" x14ac:dyDescent="0.25">
      <c r="A140" s="241" t="s">
        <v>636</v>
      </c>
      <c r="B140" s="2" t="s">
        <v>26</v>
      </c>
      <c r="D140" s="241" t="s">
        <v>637</v>
      </c>
      <c r="E140" s="241" t="s">
        <v>638</v>
      </c>
      <c r="F140" s="371">
        <v>43160</v>
      </c>
      <c r="H140" s="358" t="s">
        <v>1050</v>
      </c>
      <c r="I140" s="367" t="s">
        <v>1048</v>
      </c>
      <c r="J140" s="2">
        <v>516013</v>
      </c>
      <c r="K140" s="2">
        <v>171023</v>
      </c>
      <c r="L140" s="293"/>
      <c r="M140" s="364">
        <v>0</v>
      </c>
      <c r="N140" s="364">
        <v>0</v>
      </c>
      <c r="O140" s="364">
        <v>0</v>
      </c>
      <c r="P140" s="364">
        <v>0</v>
      </c>
      <c r="Q140" s="364"/>
      <c r="R140" s="364"/>
      <c r="S140" s="364"/>
      <c r="T140" s="365">
        <v>0</v>
      </c>
      <c r="U140" s="364"/>
      <c r="V140" s="364">
        <v>0</v>
      </c>
      <c r="W140" s="364">
        <v>6</v>
      </c>
      <c r="X140" s="364">
        <v>0</v>
      </c>
      <c r="Y140" s="364">
        <v>0</v>
      </c>
      <c r="Z140" s="364"/>
      <c r="AA140" s="364"/>
      <c r="AB140" s="364"/>
      <c r="AC140" s="365">
        <v>6</v>
      </c>
      <c r="AD140" s="364"/>
      <c r="AE140" s="364">
        <f t="shared" si="33"/>
        <v>0</v>
      </c>
      <c r="AF140" s="364">
        <f t="shared" si="34"/>
        <v>6</v>
      </c>
      <c r="AG140" s="364">
        <f t="shared" si="35"/>
        <v>0</v>
      </c>
      <c r="AH140" s="364">
        <f t="shared" si="36"/>
        <v>0</v>
      </c>
      <c r="AI140" s="364">
        <f t="shared" si="37"/>
        <v>0</v>
      </c>
      <c r="AJ140" s="364">
        <f t="shared" si="38"/>
        <v>0</v>
      </c>
      <c r="AK140" s="364">
        <f t="shared" si="39"/>
        <v>0</v>
      </c>
      <c r="AL140" s="348">
        <f t="shared" si="40"/>
        <v>6</v>
      </c>
      <c r="AM140" s="232"/>
      <c r="AN140" s="322">
        <v>0</v>
      </c>
      <c r="AO140" s="231">
        <v>0</v>
      </c>
      <c r="AP140" s="228">
        <v>6</v>
      </c>
      <c r="AQ140" s="231">
        <v>0</v>
      </c>
      <c r="AR140" s="231">
        <v>0</v>
      </c>
      <c r="AS140" s="231">
        <v>0</v>
      </c>
      <c r="AT140" s="231">
        <v>0</v>
      </c>
      <c r="AU140" s="323" t="s">
        <v>39</v>
      </c>
      <c r="AV140" s="231">
        <v>0</v>
      </c>
      <c r="AW140" s="231">
        <v>0</v>
      </c>
      <c r="AX140" s="231">
        <v>0</v>
      </c>
      <c r="AY140" s="231">
        <v>0</v>
      </c>
      <c r="AZ140" s="230">
        <v>0</v>
      </c>
      <c r="BA140" s="2" t="s">
        <v>1215</v>
      </c>
    </row>
    <row r="141" spans="1:58" ht="15" customHeight="1" x14ac:dyDescent="0.25">
      <c r="A141" s="241" t="s">
        <v>721</v>
      </c>
      <c r="B141" s="2" t="s">
        <v>5</v>
      </c>
      <c r="D141" s="241" t="s">
        <v>1026</v>
      </c>
      <c r="E141" s="241" t="s">
        <v>722</v>
      </c>
      <c r="H141" s="358" t="s">
        <v>1050</v>
      </c>
      <c r="I141" s="367" t="s">
        <v>1048</v>
      </c>
      <c r="J141" s="2">
        <v>514482</v>
      </c>
      <c r="K141" s="2">
        <v>170638</v>
      </c>
      <c r="L141" s="293"/>
      <c r="M141" s="364">
        <v>1</v>
      </c>
      <c r="N141" s="364">
        <v>0</v>
      </c>
      <c r="O141" s="364">
        <v>1</v>
      </c>
      <c r="P141" s="364">
        <v>0</v>
      </c>
      <c r="Q141" s="364"/>
      <c r="R141" s="364"/>
      <c r="S141" s="364"/>
      <c r="T141" s="365">
        <v>2</v>
      </c>
      <c r="U141" s="364"/>
      <c r="V141" s="364">
        <v>0</v>
      </c>
      <c r="W141" s="364">
        <v>0</v>
      </c>
      <c r="X141" s="364">
        <v>0</v>
      </c>
      <c r="Y141" s="364">
        <v>1</v>
      </c>
      <c r="Z141" s="364"/>
      <c r="AA141" s="364"/>
      <c r="AB141" s="364"/>
      <c r="AC141" s="365">
        <v>1</v>
      </c>
      <c r="AD141" s="364"/>
      <c r="AE141" s="364">
        <f t="shared" si="33"/>
        <v>-1</v>
      </c>
      <c r="AF141" s="364">
        <f t="shared" si="34"/>
        <v>0</v>
      </c>
      <c r="AG141" s="364">
        <f t="shared" si="35"/>
        <v>-1</v>
      </c>
      <c r="AH141" s="364">
        <f t="shared" si="36"/>
        <v>1</v>
      </c>
      <c r="AI141" s="364">
        <f t="shared" si="37"/>
        <v>0</v>
      </c>
      <c r="AJ141" s="364">
        <f t="shared" si="38"/>
        <v>0</v>
      </c>
      <c r="AK141" s="364">
        <f t="shared" si="39"/>
        <v>0</v>
      </c>
      <c r="AL141" s="348">
        <f t="shared" si="40"/>
        <v>-1</v>
      </c>
      <c r="AM141" s="232"/>
      <c r="AN141" s="322">
        <v>0</v>
      </c>
      <c r="AO141" s="231">
        <v>0</v>
      </c>
      <c r="AP141" s="228">
        <v>0</v>
      </c>
      <c r="AQ141" s="231">
        <v>0</v>
      </c>
      <c r="AR141" s="231">
        <v>0</v>
      </c>
      <c r="AS141" s="231">
        <v>0</v>
      </c>
      <c r="AT141" s="231">
        <v>0</v>
      </c>
      <c r="AU141" s="323">
        <v>0</v>
      </c>
      <c r="AV141" s="231">
        <v>0</v>
      </c>
      <c r="AW141" s="231">
        <v>0</v>
      </c>
      <c r="AX141" s="231">
        <v>0</v>
      </c>
      <c r="AY141" s="231">
        <v>0</v>
      </c>
      <c r="AZ141" s="230">
        <v>0</v>
      </c>
      <c r="BA141" s="2" t="s">
        <v>1265</v>
      </c>
    </row>
    <row r="142" spans="1:58" ht="15" customHeight="1" x14ac:dyDescent="0.25">
      <c r="A142" s="241" t="s">
        <v>867</v>
      </c>
      <c r="B142" s="2" t="s">
        <v>9</v>
      </c>
      <c r="D142" s="241" t="s">
        <v>868</v>
      </c>
      <c r="E142" s="241" t="s">
        <v>869</v>
      </c>
      <c r="F142" s="359">
        <v>43374</v>
      </c>
      <c r="H142" s="358" t="s">
        <v>1050</v>
      </c>
      <c r="I142" s="2" t="s">
        <v>1047</v>
      </c>
      <c r="J142" s="2">
        <v>514619</v>
      </c>
      <c r="K142" s="2">
        <v>172123</v>
      </c>
      <c r="L142" s="293"/>
      <c r="M142" s="364">
        <v>0</v>
      </c>
      <c r="N142" s="364">
        <v>0</v>
      </c>
      <c r="O142" s="364">
        <v>0</v>
      </c>
      <c r="P142" s="364">
        <v>0</v>
      </c>
      <c r="Q142" s="364"/>
      <c r="R142" s="364"/>
      <c r="S142" s="364"/>
      <c r="T142" s="365">
        <v>0</v>
      </c>
      <c r="U142" s="364"/>
      <c r="V142" s="364">
        <v>0</v>
      </c>
      <c r="W142" s="364">
        <v>1</v>
      </c>
      <c r="X142" s="364">
        <v>0</v>
      </c>
      <c r="Y142" s="364">
        <v>0</v>
      </c>
      <c r="Z142" s="364"/>
      <c r="AA142" s="364"/>
      <c r="AB142" s="364"/>
      <c r="AC142" s="365">
        <v>1</v>
      </c>
      <c r="AD142" s="364"/>
      <c r="AE142" s="364">
        <f t="shared" si="33"/>
        <v>0</v>
      </c>
      <c r="AF142" s="364">
        <f t="shared" si="34"/>
        <v>1</v>
      </c>
      <c r="AG142" s="364">
        <f t="shared" si="35"/>
        <v>0</v>
      </c>
      <c r="AH142" s="364">
        <f t="shared" si="36"/>
        <v>0</v>
      </c>
      <c r="AI142" s="364">
        <f t="shared" si="37"/>
        <v>0</v>
      </c>
      <c r="AJ142" s="364">
        <f t="shared" si="38"/>
        <v>0</v>
      </c>
      <c r="AK142" s="364">
        <f t="shared" si="39"/>
        <v>0</v>
      </c>
      <c r="AL142" s="348">
        <f t="shared" si="40"/>
        <v>1</v>
      </c>
      <c r="AN142" s="322">
        <v>0</v>
      </c>
      <c r="AO142" s="231">
        <v>1</v>
      </c>
      <c r="AP142" s="228">
        <v>0</v>
      </c>
      <c r="AQ142" s="231">
        <v>0</v>
      </c>
      <c r="AR142" s="231">
        <v>0</v>
      </c>
      <c r="AS142" s="231">
        <v>0</v>
      </c>
      <c r="AT142" s="231">
        <v>0</v>
      </c>
      <c r="AU142" s="242">
        <v>0</v>
      </c>
      <c r="AV142" s="231">
        <v>0</v>
      </c>
      <c r="AW142" s="231">
        <v>0</v>
      </c>
      <c r="AX142" s="231">
        <v>0</v>
      </c>
      <c r="AY142" s="231">
        <v>0</v>
      </c>
      <c r="AZ142" s="230">
        <v>0</v>
      </c>
      <c r="BA142" s="2" t="s">
        <v>1239</v>
      </c>
      <c r="BF142" s="232" t="s">
        <v>39</v>
      </c>
    </row>
    <row r="143" spans="1:58" ht="15" customHeight="1" x14ac:dyDescent="0.25">
      <c r="A143" s="241" t="s">
        <v>826</v>
      </c>
      <c r="B143" s="2" t="s">
        <v>22</v>
      </c>
      <c r="D143" s="350" t="s">
        <v>1492</v>
      </c>
      <c r="E143" s="241" t="s">
        <v>827</v>
      </c>
      <c r="F143" s="371">
        <v>42891</v>
      </c>
      <c r="H143" s="358" t="s">
        <v>1050</v>
      </c>
      <c r="I143" s="367" t="s">
        <v>1048</v>
      </c>
      <c r="J143" s="2">
        <v>517353</v>
      </c>
      <c r="K143" s="2">
        <v>174325</v>
      </c>
      <c r="L143" s="293"/>
      <c r="M143" s="364">
        <v>0</v>
      </c>
      <c r="N143" s="364">
        <v>1</v>
      </c>
      <c r="O143" s="364">
        <v>0</v>
      </c>
      <c r="P143" s="364">
        <v>0</v>
      </c>
      <c r="Q143" s="364"/>
      <c r="R143" s="364"/>
      <c r="S143" s="364"/>
      <c r="T143" s="365">
        <v>1</v>
      </c>
      <c r="U143" s="364">
        <v>1</v>
      </c>
      <c r="V143" s="364">
        <v>1</v>
      </c>
      <c r="W143" s="364">
        <v>0</v>
      </c>
      <c r="X143" s="364">
        <v>0</v>
      </c>
      <c r="Y143" s="364">
        <v>0</v>
      </c>
      <c r="Z143" s="364"/>
      <c r="AA143" s="364"/>
      <c r="AB143" s="364"/>
      <c r="AC143" s="365">
        <v>2</v>
      </c>
      <c r="AD143" s="364">
        <f>U143-L143</f>
        <v>1</v>
      </c>
      <c r="AE143" s="364">
        <f t="shared" si="33"/>
        <v>1</v>
      </c>
      <c r="AF143" s="364">
        <f t="shared" si="34"/>
        <v>-1</v>
      </c>
      <c r="AG143" s="364">
        <f t="shared" si="35"/>
        <v>0</v>
      </c>
      <c r="AH143" s="364">
        <f t="shared" si="36"/>
        <v>0</v>
      </c>
      <c r="AI143" s="364">
        <f t="shared" si="37"/>
        <v>0</v>
      </c>
      <c r="AJ143" s="364">
        <f t="shared" si="38"/>
        <v>0</v>
      </c>
      <c r="AK143" s="364">
        <f t="shared" si="39"/>
        <v>0</v>
      </c>
      <c r="AL143" s="348">
        <f t="shared" si="40"/>
        <v>1</v>
      </c>
      <c r="AN143" s="322">
        <v>0</v>
      </c>
      <c r="AO143" s="231">
        <v>1</v>
      </c>
      <c r="AP143" s="228">
        <v>0</v>
      </c>
      <c r="AQ143" s="231">
        <v>0</v>
      </c>
      <c r="AR143" s="231">
        <v>0</v>
      </c>
      <c r="AS143" s="231">
        <v>0</v>
      </c>
      <c r="AT143" s="231">
        <v>0</v>
      </c>
      <c r="AU143" s="242">
        <v>0</v>
      </c>
      <c r="AV143" s="231">
        <v>0</v>
      </c>
      <c r="AW143" s="231">
        <v>0</v>
      </c>
      <c r="AX143" s="231">
        <v>0</v>
      </c>
      <c r="AY143" s="231">
        <v>0</v>
      </c>
      <c r="AZ143" s="230">
        <v>0</v>
      </c>
      <c r="BA143" s="2" t="s">
        <v>1238</v>
      </c>
    </row>
    <row r="144" spans="1:58" ht="15" customHeight="1" x14ac:dyDescent="0.25">
      <c r="A144" s="241" t="s">
        <v>749</v>
      </c>
      <c r="B144" s="2" t="s">
        <v>9</v>
      </c>
      <c r="D144" s="241" t="s">
        <v>747</v>
      </c>
      <c r="E144" s="241" t="s">
        <v>750</v>
      </c>
      <c r="H144" s="358" t="s">
        <v>1050</v>
      </c>
      <c r="I144" s="367" t="s">
        <v>1048</v>
      </c>
      <c r="J144" s="2">
        <v>515214</v>
      </c>
      <c r="K144" s="2">
        <v>171265</v>
      </c>
      <c r="L144" s="293"/>
      <c r="M144" s="364">
        <v>0</v>
      </c>
      <c r="N144" s="364">
        <v>0</v>
      </c>
      <c r="O144" s="364">
        <v>0</v>
      </c>
      <c r="P144" s="364">
        <v>0</v>
      </c>
      <c r="Q144" s="364"/>
      <c r="R144" s="364"/>
      <c r="S144" s="364"/>
      <c r="T144" s="365">
        <v>0</v>
      </c>
      <c r="U144" s="364"/>
      <c r="V144" s="364">
        <v>0</v>
      </c>
      <c r="W144" s="364">
        <v>0</v>
      </c>
      <c r="X144" s="364">
        <v>1</v>
      </c>
      <c r="Y144" s="364">
        <v>0</v>
      </c>
      <c r="Z144" s="364"/>
      <c r="AA144" s="364"/>
      <c r="AB144" s="364"/>
      <c r="AC144" s="365">
        <v>1</v>
      </c>
      <c r="AD144" s="364"/>
      <c r="AE144" s="364">
        <f t="shared" si="33"/>
        <v>0</v>
      </c>
      <c r="AF144" s="364">
        <f t="shared" si="34"/>
        <v>0</v>
      </c>
      <c r="AG144" s="364">
        <f t="shared" si="35"/>
        <v>1</v>
      </c>
      <c r="AH144" s="364">
        <f t="shared" si="36"/>
        <v>0</v>
      </c>
      <c r="AI144" s="364">
        <f t="shared" si="37"/>
        <v>0</v>
      </c>
      <c r="AJ144" s="364">
        <f t="shared" si="38"/>
        <v>0</v>
      </c>
      <c r="AK144" s="364">
        <f t="shared" si="39"/>
        <v>0</v>
      </c>
      <c r="AL144" s="348">
        <f t="shared" si="40"/>
        <v>1</v>
      </c>
      <c r="AM144" s="232"/>
      <c r="AN144" s="322">
        <v>0</v>
      </c>
      <c r="AO144" s="231">
        <v>1</v>
      </c>
      <c r="AP144" s="228">
        <v>0</v>
      </c>
      <c r="AQ144" s="231">
        <v>0</v>
      </c>
      <c r="AR144" s="231">
        <v>0</v>
      </c>
      <c r="AS144" s="231">
        <v>0</v>
      </c>
      <c r="AT144" s="231">
        <v>0</v>
      </c>
      <c r="AU144" s="323">
        <v>0</v>
      </c>
      <c r="AV144" s="231">
        <v>0</v>
      </c>
      <c r="AW144" s="231">
        <v>0</v>
      </c>
      <c r="AX144" s="231">
        <v>0</v>
      </c>
      <c r="AY144" s="231">
        <v>0</v>
      </c>
      <c r="AZ144" s="230">
        <v>0</v>
      </c>
      <c r="BA144" s="2" t="s">
        <v>1265</v>
      </c>
      <c r="BF144" s="232" t="s">
        <v>39</v>
      </c>
    </row>
    <row r="145" spans="1:58" ht="15" customHeight="1" x14ac:dyDescent="0.25">
      <c r="A145" s="2" t="s">
        <v>96</v>
      </c>
      <c r="B145" s="2" t="s">
        <v>9</v>
      </c>
      <c r="D145" s="358" t="s">
        <v>1555</v>
      </c>
      <c r="E145" s="358" t="s">
        <v>97</v>
      </c>
      <c r="F145" s="319">
        <v>43040</v>
      </c>
      <c r="G145" s="318">
        <v>43646</v>
      </c>
      <c r="H145" s="358" t="s">
        <v>1050</v>
      </c>
      <c r="I145" s="2" t="s">
        <v>1047</v>
      </c>
      <c r="J145" s="2">
        <v>517536</v>
      </c>
      <c r="K145" s="2">
        <v>170257</v>
      </c>
      <c r="L145" s="293"/>
      <c r="M145" s="364">
        <v>0</v>
      </c>
      <c r="N145" s="364">
        <v>0</v>
      </c>
      <c r="O145" s="364">
        <v>0</v>
      </c>
      <c r="P145" s="364">
        <v>0</v>
      </c>
      <c r="Q145" s="364"/>
      <c r="R145" s="364"/>
      <c r="S145" s="364"/>
      <c r="T145" s="366">
        <v>0</v>
      </c>
      <c r="U145" s="364"/>
      <c r="V145" s="364">
        <v>2</v>
      </c>
      <c r="W145" s="364">
        <v>8</v>
      </c>
      <c r="X145" s="364">
        <v>5</v>
      </c>
      <c r="Y145" s="364">
        <v>0</v>
      </c>
      <c r="Z145" s="364"/>
      <c r="AA145" s="364"/>
      <c r="AB145" s="364"/>
      <c r="AC145" s="366">
        <v>15</v>
      </c>
      <c r="AD145" s="364"/>
      <c r="AE145" s="364">
        <f t="shared" si="33"/>
        <v>2</v>
      </c>
      <c r="AF145" s="364">
        <f t="shared" si="34"/>
        <v>8</v>
      </c>
      <c r="AG145" s="364">
        <f t="shared" si="35"/>
        <v>5</v>
      </c>
      <c r="AH145" s="364">
        <f t="shared" si="36"/>
        <v>0</v>
      </c>
      <c r="AI145" s="364">
        <f t="shared" si="37"/>
        <v>0</v>
      </c>
      <c r="AJ145" s="364">
        <f t="shared" si="38"/>
        <v>0</v>
      </c>
      <c r="AK145" s="364">
        <f t="shared" si="39"/>
        <v>0</v>
      </c>
      <c r="AL145" s="348">
        <f t="shared" si="40"/>
        <v>15</v>
      </c>
      <c r="AM145" s="232"/>
      <c r="AN145" s="322">
        <v>0</v>
      </c>
      <c r="AO145" s="231">
        <v>15</v>
      </c>
      <c r="AP145" s="228">
        <v>0</v>
      </c>
      <c r="AQ145" s="231">
        <v>0</v>
      </c>
      <c r="AR145" s="231">
        <v>0</v>
      </c>
      <c r="AS145" s="231">
        <v>0</v>
      </c>
      <c r="AT145" s="231">
        <v>0</v>
      </c>
      <c r="AU145" s="323">
        <v>0</v>
      </c>
      <c r="AV145" s="231">
        <v>0</v>
      </c>
      <c r="AW145" s="231">
        <v>0</v>
      </c>
      <c r="AX145" s="231">
        <v>0</v>
      </c>
      <c r="AY145" s="231">
        <v>0</v>
      </c>
      <c r="AZ145" s="230">
        <v>0</v>
      </c>
      <c r="BA145" s="2" t="s">
        <v>1230</v>
      </c>
    </row>
    <row r="146" spans="1:58" ht="15" customHeight="1" x14ac:dyDescent="0.25">
      <c r="A146" s="241" t="s">
        <v>795</v>
      </c>
      <c r="B146" s="2" t="s">
        <v>9</v>
      </c>
      <c r="D146" s="241" t="s">
        <v>796</v>
      </c>
      <c r="E146" s="241" t="s">
        <v>797</v>
      </c>
      <c r="H146" s="358" t="s">
        <v>1050</v>
      </c>
      <c r="I146" s="367" t="s">
        <v>1048</v>
      </c>
      <c r="J146" s="2">
        <v>513492</v>
      </c>
      <c r="K146" s="2">
        <v>170250</v>
      </c>
      <c r="L146" s="293"/>
      <c r="M146" s="364">
        <v>0</v>
      </c>
      <c r="N146" s="364">
        <v>0</v>
      </c>
      <c r="O146" s="364">
        <v>1</v>
      </c>
      <c r="P146" s="364">
        <v>0</v>
      </c>
      <c r="Q146" s="364"/>
      <c r="R146" s="364"/>
      <c r="S146" s="364"/>
      <c r="T146" s="365">
        <v>1</v>
      </c>
      <c r="U146" s="364"/>
      <c r="V146" s="364">
        <v>0</v>
      </c>
      <c r="W146" s="364">
        <v>0</v>
      </c>
      <c r="X146" s="364">
        <v>1</v>
      </c>
      <c r="Y146" s="364">
        <v>0</v>
      </c>
      <c r="Z146" s="364"/>
      <c r="AA146" s="364"/>
      <c r="AB146" s="364"/>
      <c r="AC146" s="365">
        <v>1</v>
      </c>
      <c r="AD146" s="364"/>
      <c r="AE146" s="364">
        <f t="shared" si="33"/>
        <v>0</v>
      </c>
      <c r="AF146" s="364">
        <f t="shared" si="34"/>
        <v>0</v>
      </c>
      <c r="AG146" s="364">
        <f t="shared" si="35"/>
        <v>0</v>
      </c>
      <c r="AH146" s="364">
        <f t="shared" si="36"/>
        <v>0</v>
      </c>
      <c r="AI146" s="364">
        <f t="shared" si="37"/>
        <v>0</v>
      </c>
      <c r="AJ146" s="364">
        <f t="shared" si="38"/>
        <v>0</v>
      </c>
      <c r="AK146" s="364">
        <f t="shared" si="39"/>
        <v>0</v>
      </c>
      <c r="AL146" s="348">
        <f t="shared" si="40"/>
        <v>0</v>
      </c>
      <c r="AM146" s="232"/>
      <c r="AN146" s="322">
        <v>0</v>
      </c>
      <c r="AO146" s="231">
        <v>0</v>
      </c>
      <c r="AP146" s="228">
        <v>0</v>
      </c>
      <c r="AQ146" s="231">
        <v>0</v>
      </c>
      <c r="AR146" s="231">
        <v>0</v>
      </c>
      <c r="AS146" s="231">
        <v>0</v>
      </c>
      <c r="AT146" s="231">
        <v>0</v>
      </c>
      <c r="AU146" s="323">
        <v>0</v>
      </c>
      <c r="AV146" s="231">
        <v>0</v>
      </c>
      <c r="AW146" s="231">
        <v>0</v>
      </c>
      <c r="AX146" s="231">
        <v>0</v>
      </c>
      <c r="AY146" s="231">
        <v>0</v>
      </c>
      <c r="AZ146" s="230">
        <v>0</v>
      </c>
      <c r="BA146" s="2" t="s">
        <v>1229</v>
      </c>
    </row>
    <row r="147" spans="1:58" ht="15" customHeight="1" x14ac:dyDescent="0.25">
      <c r="A147" s="241" t="s">
        <v>540</v>
      </c>
      <c r="B147" s="2" t="s">
        <v>9</v>
      </c>
      <c r="D147" s="241" t="s">
        <v>539</v>
      </c>
      <c r="E147" s="241" t="s">
        <v>541</v>
      </c>
      <c r="F147" s="359">
        <v>43554</v>
      </c>
      <c r="H147" s="358" t="s">
        <v>1050</v>
      </c>
      <c r="I147" s="367" t="s">
        <v>1048</v>
      </c>
      <c r="J147" s="2">
        <v>519012</v>
      </c>
      <c r="K147" s="2">
        <v>175761</v>
      </c>
      <c r="L147" s="293"/>
      <c r="M147" s="364">
        <v>0</v>
      </c>
      <c r="N147" s="364">
        <v>0</v>
      </c>
      <c r="O147" s="364">
        <v>0</v>
      </c>
      <c r="P147" s="364">
        <v>0</v>
      </c>
      <c r="Q147" s="364"/>
      <c r="R147" s="364"/>
      <c r="S147" s="364"/>
      <c r="T147" s="365">
        <v>0</v>
      </c>
      <c r="U147" s="364">
        <v>2</v>
      </c>
      <c r="V147" s="364">
        <v>7</v>
      </c>
      <c r="W147" s="364">
        <v>7</v>
      </c>
      <c r="X147" s="364">
        <v>4</v>
      </c>
      <c r="Y147" s="364">
        <v>0</v>
      </c>
      <c r="Z147" s="364"/>
      <c r="AA147" s="364"/>
      <c r="AB147" s="364"/>
      <c r="AC147" s="365">
        <v>20</v>
      </c>
      <c r="AD147" s="364">
        <f>U147-L147</f>
        <v>2</v>
      </c>
      <c r="AE147" s="364">
        <f t="shared" si="33"/>
        <v>7</v>
      </c>
      <c r="AF147" s="364">
        <f t="shared" si="34"/>
        <v>7</v>
      </c>
      <c r="AG147" s="364">
        <f t="shared" si="35"/>
        <v>4</v>
      </c>
      <c r="AH147" s="364">
        <f t="shared" si="36"/>
        <v>0</v>
      </c>
      <c r="AI147" s="364">
        <f t="shared" si="37"/>
        <v>0</v>
      </c>
      <c r="AJ147" s="364">
        <f t="shared" si="38"/>
        <v>0</v>
      </c>
      <c r="AK147" s="364">
        <f t="shared" si="39"/>
        <v>0</v>
      </c>
      <c r="AL147" s="348">
        <f t="shared" si="40"/>
        <v>20</v>
      </c>
      <c r="AM147" s="232"/>
      <c r="AN147" s="322">
        <v>0</v>
      </c>
      <c r="AO147" s="231">
        <v>0</v>
      </c>
      <c r="AP147" s="228">
        <v>10</v>
      </c>
      <c r="AQ147" s="231">
        <v>10</v>
      </c>
      <c r="AR147" s="231">
        <v>0</v>
      </c>
      <c r="AS147" s="231">
        <v>0</v>
      </c>
      <c r="AT147" s="231">
        <v>0</v>
      </c>
      <c r="AU147" s="323" t="s">
        <v>39</v>
      </c>
      <c r="AV147" s="231">
        <v>0</v>
      </c>
      <c r="AW147" s="231">
        <v>0</v>
      </c>
      <c r="AX147" s="231">
        <v>0</v>
      </c>
      <c r="AY147" s="231">
        <v>0</v>
      </c>
      <c r="AZ147" s="230">
        <v>0</v>
      </c>
      <c r="BA147" s="2" t="s">
        <v>1232</v>
      </c>
    </row>
    <row r="148" spans="1:58" ht="15" customHeight="1" x14ac:dyDescent="0.25">
      <c r="A148" s="241" t="s">
        <v>969</v>
      </c>
      <c r="B148" s="2" t="s">
        <v>9</v>
      </c>
      <c r="D148" s="241" t="s">
        <v>970</v>
      </c>
      <c r="E148" s="241" t="s">
        <v>971</v>
      </c>
      <c r="F148" s="371">
        <v>43070</v>
      </c>
      <c r="H148" s="358" t="s">
        <v>1050</v>
      </c>
      <c r="I148" s="367" t="s">
        <v>1048</v>
      </c>
      <c r="J148" s="2">
        <v>515988</v>
      </c>
      <c r="K148" s="2">
        <v>173004</v>
      </c>
      <c r="L148" s="293"/>
      <c r="M148" s="364">
        <v>0</v>
      </c>
      <c r="N148" s="364">
        <v>0</v>
      </c>
      <c r="O148" s="364">
        <v>0</v>
      </c>
      <c r="P148" s="364">
        <v>0</v>
      </c>
      <c r="Q148" s="364"/>
      <c r="R148" s="364"/>
      <c r="S148" s="364"/>
      <c r="T148" s="365">
        <v>0</v>
      </c>
      <c r="U148" s="364"/>
      <c r="V148" s="364">
        <v>0</v>
      </c>
      <c r="W148" s="364">
        <v>0</v>
      </c>
      <c r="X148" s="364">
        <v>0</v>
      </c>
      <c r="Y148" s="364">
        <v>1</v>
      </c>
      <c r="Z148" s="364"/>
      <c r="AA148" s="364"/>
      <c r="AB148" s="364"/>
      <c r="AC148" s="365">
        <v>1</v>
      </c>
      <c r="AD148" s="364"/>
      <c r="AE148" s="364">
        <f t="shared" si="33"/>
        <v>0</v>
      </c>
      <c r="AF148" s="364">
        <f t="shared" si="34"/>
        <v>0</v>
      </c>
      <c r="AG148" s="364">
        <f t="shared" si="35"/>
        <v>0</v>
      </c>
      <c r="AH148" s="364">
        <f t="shared" si="36"/>
        <v>1</v>
      </c>
      <c r="AI148" s="364">
        <f t="shared" si="37"/>
        <v>0</v>
      </c>
      <c r="AJ148" s="364">
        <f t="shared" si="38"/>
        <v>0</v>
      </c>
      <c r="AK148" s="364">
        <f t="shared" si="39"/>
        <v>0</v>
      </c>
      <c r="AL148" s="348">
        <f t="shared" si="40"/>
        <v>1</v>
      </c>
      <c r="AN148" s="322">
        <v>0</v>
      </c>
      <c r="AO148" s="231">
        <v>1</v>
      </c>
      <c r="AP148" s="228">
        <v>0</v>
      </c>
      <c r="AQ148" s="231">
        <v>0</v>
      </c>
      <c r="AR148" s="231">
        <v>0</v>
      </c>
      <c r="AS148" s="231">
        <v>0</v>
      </c>
      <c r="AT148" s="231">
        <v>0</v>
      </c>
      <c r="AU148" s="242">
        <v>0</v>
      </c>
      <c r="AV148" s="231">
        <v>0</v>
      </c>
      <c r="AW148" s="231">
        <v>0</v>
      </c>
      <c r="AX148" s="231">
        <v>0</v>
      </c>
      <c r="AY148" s="231">
        <v>0</v>
      </c>
      <c r="AZ148" s="230">
        <v>0</v>
      </c>
      <c r="BA148" s="2" t="s">
        <v>1236</v>
      </c>
      <c r="BF148" s="232" t="s">
        <v>39</v>
      </c>
    </row>
    <row r="149" spans="1:58" ht="15" customHeight="1" x14ac:dyDescent="0.25">
      <c r="A149" s="241" t="s">
        <v>257</v>
      </c>
      <c r="B149" s="2" t="s">
        <v>9</v>
      </c>
      <c r="D149" s="241" t="s">
        <v>258</v>
      </c>
      <c r="E149" s="241" t="s">
        <v>259</v>
      </c>
      <c r="F149" s="371">
        <v>42864</v>
      </c>
      <c r="G149" s="318">
        <v>43677</v>
      </c>
      <c r="H149" s="358" t="s">
        <v>1050</v>
      </c>
      <c r="I149" s="367" t="s">
        <v>1048</v>
      </c>
      <c r="J149" s="2">
        <v>522622</v>
      </c>
      <c r="K149" s="2">
        <v>177876</v>
      </c>
      <c r="L149" s="293"/>
      <c r="M149" s="364">
        <v>0</v>
      </c>
      <c r="N149" s="364">
        <v>0</v>
      </c>
      <c r="O149" s="364">
        <v>0</v>
      </c>
      <c r="P149" s="364">
        <v>0</v>
      </c>
      <c r="Q149" s="364"/>
      <c r="R149" s="364"/>
      <c r="S149" s="364"/>
      <c r="T149" s="365">
        <v>0</v>
      </c>
      <c r="U149" s="364"/>
      <c r="V149" s="364">
        <v>0</v>
      </c>
      <c r="W149" s="364">
        <v>1</v>
      </c>
      <c r="X149" s="364">
        <v>0</v>
      </c>
      <c r="Y149" s="364">
        <v>0</v>
      </c>
      <c r="Z149" s="364"/>
      <c r="AA149" s="364"/>
      <c r="AB149" s="364"/>
      <c r="AC149" s="365">
        <v>1</v>
      </c>
      <c r="AD149" s="364"/>
      <c r="AE149" s="364">
        <f t="shared" si="33"/>
        <v>0</v>
      </c>
      <c r="AF149" s="364">
        <f t="shared" si="34"/>
        <v>1</v>
      </c>
      <c r="AG149" s="364">
        <f t="shared" si="35"/>
        <v>0</v>
      </c>
      <c r="AH149" s="364">
        <f t="shared" si="36"/>
        <v>0</v>
      </c>
      <c r="AI149" s="364">
        <f t="shared" si="37"/>
        <v>0</v>
      </c>
      <c r="AJ149" s="364">
        <f t="shared" si="38"/>
        <v>0</v>
      </c>
      <c r="AK149" s="364">
        <f t="shared" si="39"/>
        <v>0</v>
      </c>
      <c r="AL149" s="348">
        <f t="shared" si="40"/>
        <v>1</v>
      </c>
      <c r="AM149" s="232"/>
      <c r="AN149" s="322">
        <v>0</v>
      </c>
      <c r="AO149" s="231">
        <v>1</v>
      </c>
      <c r="AP149" s="228">
        <v>0</v>
      </c>
      <c r="AQ149" s="231">
        <v>0</v>
      </c>
      <c r="AR149" s="231">
        <v>0</v>
      </c>
      <c r="AS149" s="231">
        <v>0</v>
      </c>
      <c r="AT149" s="231">
        <v>0</v>
      </c>
      <c r="AU149" s="323">
        <v>0</v>
      </c>
      <c r="AV149" s="231">
        <v>0</v>
      </c>
      <c r="AW149" s="231">
        <v>0</v>
      </c>
      <c r="AX149" s="231">
        <v>0</v>
      </c>
      <c r="AY149" s="231">
        <v>0</v>
      </c>
      <c r="AZ149" s="230">
        <v>0</v>
      </c>
      <c r="BA149" s="2" t="s">
        <v>1225</v>
      </c>
    </row>
    <row r="150" spans="1:58" ht="15" customHeight="1" x14ac:dyDescent="0.25">
      <c r="A150" s="241" t="s">
        <v>396</v>
      </c>
      <c r="B150" s="2" t="s">
        <v>22</v>
      </c>
      <c r="D150" s="241" t="s">
        <v>397</v>
      </c>
      <c r="E150" s="241" t="s">
        <v>398</v>
      </c>
      <c r="F150" s="371">
        <v>42552</v>
      </c>
      <c r="H150" s="358" t="s">
        <v>1050</v>
      </c>
      <c r="I150" s="367" t="s">
        <v>1048</v>
      </c>
      <c r="J150" s="2">
        <v>520343</v>
      </c>
      <c r="K150" s="2">
        <v>175141</v>
      </c>
      <c r="L150" s="293"/>
      <c r="M150" s="364">
        <v>0</v>
      </c>
      <c r="N150" s="364">
        <v>0</v>
      </c>
      <c r="O150" s="364">
        <v>0</v>
      </c>
      <c r="P150" s="364">
        <v>1</v>
      </c>
      <c r="Q150" s="364"/>
      <c r="R150" s="364"/>
      <c r="S150" s="364"/>
      <c r="T150" s="365">
        <v>1</v>
      </c>
      <c r="U150" s="364"/>
      <c r="V150" s="364">
        <v>0</v>
      </c>
      <c r="W150" s="364">
        <v>0</v>
      </c>
      <c r="X150" s="364">
        <v>0</v>
      </c>
      <c r="Y150" s="364">
        <v>2</v>
      </c>
      <c r="Z150" s="364"/>
      <c r="AA150" s="364"/>
      <c r="AB150" s="364"/>
      <c r="AC150" s="365">
        <v>2</v>
      </c>
      <c r="AD150" s="364"/>
      <c r="AE150" s="364">
        <f t="shared" si="33"/>
        <v>0</v>
      </c>
      <c r="AF150" s="364">
        <f t="shared" si="34"/>
        <v>0</v>
      </c>
      <c r="AG150" s="364">
        <f t="shared" si="35"/>
        <v>0</v>
      </c>
      <c r="AH150" s="364">
        <f t="shared" si="36"/>
        <v>1</v>
      </c>
      <c r="AI150" s="364">
        <f t="shared" si="37"/>
        <v>0</v>
      </c>
      <c r="AJ150" s="364">
        <f t="shared" si="38"/>
        <v>0</v>
      </c>
      <c r="AK150" s="364">
        <f t="shared" si="39"/>
        <v>0</v>
      </c>
      <c r="AL150" s="348">
        <f t="shared" si="40"/>
        <v>1</v>
      </c>
      <c r="AM150" s="232"/>
      <c r="AN150" s="322">
        <v>0</v>
      </c>
      <c r="AO150" s="231">
        <v>1</v>
      </c>
      <c r="AP150" s="228">
        <v>0</v>
      </c>
      <c r="AQ150" s="231">
        <v>0</v>
      </c>
      <c r="AR150" s="231">
        <v>0</v>
      </c>
      <c r="AS150" s="231">
        <v>0</v>
      </c>
      <c r="AT150" s="231">
        <v>0</v>
      </c>
      <c r="AU150" s="323">
        <v>0</v>
      </c>
      <c r="AV150" s="231">
        <v>0</v>
      </c>
      <c r="AW150" s="231">
        <v>0</v>
      </c>
      <c r="AX150" s="231">
        <v>0</v>
      </c>
      <c r="AY150" s="231">
        <v>0</v>
      </c>
      <c r="AZ150" s="230">
        <v>0</v>
      </c>
      <c r="BA150" s="2" t="s">
        <v>1212</v>
      </c>
    </row>
    <row r="151" spans="1:58" ht="15" customHeight="1" x14ac:dyDescent="0.25">
      <c r="A151" s="241" t="s">
        <v>589</v>
      </c>
      <c r="B151" s="2" t="s">
        <v>5</v>
      </c>
      <c r="D151" s="241" t="s">
        <v>590</v>
      </c>
      <c r="E151" s="241" t="s">
        <v>591</v>
      </c>
      <c r="F151" s="359">
        <v>43497</v>
      </c>
      <c r="H151" s="358" t="s">
        <v>1050</v>
      </c>
      <c r="I151" s="367" t="s">
        <v>1048</v>
      </c>
      <c r="J151" s="2">
        <v>517615</v>
      </c>
      <c r="K151" s="2">
        <v>169709</v>
      </c>
      <c r="L151" s="293"/>
      <c r="M151" s="364">
        <v>0</v>
      </c>
      <c r="N151" s="364">
        <v>0</v>
      </c>
      <c r="O151" s="364">
        <v>0</v>
      </c>
      <c r="P151" s="364">
        <v>0</v>
      </c>
      <c r="Q151" s="364"/>
      <c r="R151" s="364"/>
      <c r="S151" s="364"/>
      <c r="T151" s="365">
        <v>0</v>
      </c>
      <c r="U151" s="364"/>
      <c r="V151" s="364">
        <v>1</v>
      </c>
      <c r="W151" s="364">
        <v>0</v>
      </c>
      <c r="X151" s="364">
        <v>0</v>
      </c>
      <c r="Y151" s="364">
        <v>0</v>
      </c>
      <c r="Z151" s="364"/>
      <c r="AA151" s="364"/>
      <c r="AB151" s="364"/>
      <c r="AC151" s="365">
        <v>1</v>
      </c>
      <c r="AD151" s="364"/>
      <c r="AE151" s="364">
        <f t="shared" si="33"/>
        <v>1</v>
      </c>
      <c r="AF151" s="364">
        <f t="shared" si="34"/>
        <v>0</v>
      </c>
      <c r="AG151" s="364">
        <f t="shared" si="35"/>
        <v>0</v>
      </c>
      <c r="AH151" s="364">
        <f t="shared" si="36"/>
        <v>0</v>
      </c>
      <c r="AI151" s="364">
        <f t="shared" si="37"/>
        <v>0</v>
      </c>
      <c r="AJ151" s="364">
        <f t="shared" si="38"/>
        <v>0</v>
      </c>
      <c r="AK151" s="364">
        <f t="shared" si="39"/>
        <v>0</v>
      </c>
      <c r="AL151" s="348">
        <f t="shared" si="40"/>
        <v>1</v>
      </c>
      <c r="AM151" s="232"/>
      <c r="AN151" s="322">
        <v>0</v>
      </c>
      <c r="AO151" s="231">
        <v>0</v>
      </c>
      <c r="AP151" s="228">
        <v>1</v>
      </c>
      <c r="AQ151" s="231">
        <v>0</v>
      </c>
      <c r="AR151" s="231">
        <v>0</v>
      </c>
      <c r="AS151" s="231">
        <v>0</v>
      </c>
      <c r="AT151" s="231">
        <v>0</v>
      </c>
      <c r="AU151" s="323" t="s">
        <v>39</v>
      </c>
      <c r="AV151" s="231">
        <v>0</v>
      </c>
      <c r="AW151" s="231">
        <v>0</v>
      </c>
      <c r="AX151" s="231">
        <v>0</v>
      </c>
      <c r="AY151" s="231">
        <v>0</v>
      </c>
      <c r="AZ151" s="230">
        <v>0</v>
      </c>
      <c r="BA151" s="2" t="s">
        <v>1230</v>
      </c>
    </row>
    <row r="152" spans="1:58" ht="15" customHeight="1" x14ac:dyDescent="0.25">
      <c r="A152" s="241" t="s">
        <v>949</v>
      </c>
      <c r="B152" s="2" t="s">
        <v>22</v>
      </c>
      <c r="D152" s="241" t="s">
        <v>950</v>
      </c>
      <c r="E152" s="241" t="s">
        <v>951</v>
      </c>
      <c r="F152" s="371">
        <v>43132</v>
      </c>
      <c r="H152" s="358" t="s">
        <v>1050</v>
      </c>
      <c r="I152" s="367" t="s">
        <v>1048</v>
      </c>
      <c r="J152" s="2">
        <v>515764</v>
      </c>
      <c r="K152" s="2">
        <v>173105</v>
      </c>
      <c r="L152" s="293"/>
      <c r="M152" s="364">
        <v>0</v>
      </c>
      <c r="N152" s="364">
        <v>0</v>
      </c>
      <c r="O152" s="364">
        <v>0</v>
      </c>
      <c r="P152" s="364">
        <v>0</v>
      </c>
      <c r="Q152" s="364"/>
      <c r="R152" s="364"/>
      <c r="S152" s="364"/>
      <c r="T152" s="365">
        <v>0</v>
      </c>
      <c r="U152" s="364"/>
      <c r="V152" s="364">
        <v>2</v>
      </c>
      <c r="W152" s="364">
        <v>2</v>
      </c>
      <c r="X152" s="364">
        <v>0</v>
      </c>
      <c r="Y152" s="364">
        <v>0</v>
      </c>
      <c r="Z152" s="364"/>
      <c r="AA152" s="364"/>
      <c r="AB152" s="364"/>
      <c r="AC152" s="365">
        <v>4</v>
      </c>
      <c r="AD152" s="364"/>
      <c r="AE152" s="364">
        <f t="shared" si="33"/>
        <v>2</v>
      </c>
      <c r="AF152" s="364">
        <f t="shared" si="34"/>
        <v>2</v>
      </c>
      <c r="AG152" s="364">
        <f t="shared" si="35"/>
        <v>0</v>
      </c>
      <c r="AH152" s="364">
        <f t="shared" si="36"/>
        <v>0</v>
      </c>
      <c r="AI152" s="364">
        <f t="shared" si="37"/>
        <v>0</v>
      </c>
      <c r="AJ152" s="364">
        <f t="shared" si="38"/>
        <v>0</v>
      </c>
      <c r="AK152" s="364">
        <f t="shared" si="39"/>
        <v>0</v>
      </c>
      <c r="AL152" s="348">
        <f t="shared" si="40"/>
        <v>4</v>
      </c>
      <c r="AN152" s="322">
        <v>0</v>
      </c>
      <c r="AO152" s="231">
        <v>4</v>
      </c>
      <c r="AP152" s="228">
        <v>0</v>
      </c>
      <c r="AQ152" s="231">
        <v>0</v>
      </c>
      <c r="AR152" s="231">
        <v>0</v>
      </c>
      <c r="AS152" s="231">
        <v>0</v>
      </c>
      <c r="AT152" s="231">
        <v>0</v>
      </c>
      <c r="AU152" s="242">
        <v>0</v>
      </c>
      <c r="AV152" s="231">
        <v>0</v>
      </c>
      <c r="AW152" s="231">
        <v>0</v>
      </c>
      <c r="AX152" s="231">
        <v>0</v>
      </c>
      <c r="AY152" s="231">
        <v>0</v>
      </c>
      <c r="AZ152" s="230">
        <v>0</v>
      </c>
      <c r="BA152" s="2" t="s">
        <v>1236</v>
      </c>
      <c r="BD152" s="2" t="s">
        <v>1217</v>
      </c>
    </row>
    <row r="153" spans="1:58" ht="15" customHeight="1" x14ac:dyDescent="0.25">
      <c r="A153" s="241" t="s">
        <v>1011</v>
      </c>
      <c r="B153" s="2" t="s">
        <v>26</v>
      </c>
      <c r="D153" s="241" t="s">
        <v>1012</v>
      </c>
      <c r="E153" s="241" t="s">
        <v>1013</v>
      </c>
      <c r="F153" s="371">
        <v>43063</v>
      </c>
      <c r="H153" s="358" t="s">
        <v>1050</v>
      </c>
      <c r="I153" s="367" t="s">
        <v>1048</v>
      </c>
      <c r="J153" s="2">
        <v>517807</v>
      </c>
      <c r="K153" s="2">
        <v>174892</v>
      </c>
      <c r="L153" s="293"/>
      <c r="M153" s="364">
        <v>0</v>
      </c>
      <c r="N153" s="364">
        <v>0</v>
      </c>
      <c r="O153" s="364">
        <v>0</v>
      </c>
      <c r="P153" s="364">
        <v>0</v>
      </c>
      <c r="Q153" s="364"/>
      <c r="R153" s="364"/>
      <c r="S153" s="364"/>
      <c r="T153" s="365">
        <v>0</v>
      </c>
      <c r="U153" s="364"/>
      <c r="V153" s="364">
        <v>0</v>
      </c>
      <c r="W153" s="364">
        <v>0</v>
      </c>
      <c r="X153" s="364">
        <v>0</v>
      </c>
      <c r="Y153" s="364">
        <v>0</v>
      </c>
      <c r="Z153" s="372">
        <v>1</v>
      </c>
      <c r="AA153" s="364"/>
      <c r="AB153" s="364"/>
      <c r="AC153" s="365">
        <v>1</v>
      </c>
      <c r="AD153" s="364"/>
      <c r="AE153" s="364">
        <f t="shared" si="33"/>
        <v>0</v>
      </c>
      <c r="AF153" s="364">
        <f t="shared" si="34"/>
        <v>0</v>
      </c>
      <c r="AG153" s="364">
        <f t="shared" si="35"/>
        <v>0</v>
      </c>
      <c r="AH153" s="364">
        <f t="shared" si="36"/>
        <v>0</v>
      </c>
      <c r="AI153" s="364">
        <f t="shared" si="37"/>
        <v>1</v>
      </c>
      <c r="AJ153" s="364">
        <f t="shared" si="38"/>
        <v>0</v>
      </c>
      <c r="AK153" s="364">
        <f t="shared" si="39"/>
        <v>0</v>
      </c>
      <c r="AL153" s="348">
        <f t="shared" si="40"/>
        <v>1</v>
      </c>
      <c r="AN153" s="322">
        <v>0</v>
      </c>
      <c r="AO153" s="231">
        <v>1</v>
      </c>
      <c r="AP153" s="228">
        <v>0</v>
      </c>
      <c r="AQ153" s="231">
        <v>0</v>
      </c>
      <c r="AR153" s="231">
        <v>0</v>
      </c>
      <c r="AS153" s="231">
        <v>0</v>
      </c>
      <c r="AT153" s="231">
        <v>0</v>
      </c>
      <c r="AU153" s="242">
        <v>0</v>
      </c>
      <c r="AV153" s="231">
        <v>0</v>
      </c>
      <c r="AW153" s="231">
        <v>0</v>
      </c>
      <c r="AX153" s="231">
        <v>0</v>
      </c>
      <c r="AY153" s="231">
        <v>0</v>
      </c>
      <c r="AZ153" s="230">
        <v>0</v>
      </c>
      <c r="BA153" s="2" t="s">
        <v>1235</v>
      </c>
      <c r="BD153" s="2" t="s">
        <v>1213</v>
      </c>
    </row>
    <row r="154" spans="1:58" ht="15" customHeight="1" x14ac:dyDescent="0.25">
      <c r="A154" s="241" t="s">
        <v>290</v>
      </c>
      <c r="B154" s="2" t="s">
        <v>9</v>
      </c>
      <c r="D154" s="241" t="s">
        <v>291</v>
      </c>
      <c r="E154" s="241" t="s">
        <v>292</v>
      </c>
      <c r="F154" s="359">
        <v>43556</v>
      </c>
      <c r="H154" s="358" t="s">
        <v>1050</v>
      </c>
      <c r="I154" s="367" t="s">
        <v>1048</v>
      </c>
      <c r="J154" s="2">
        <v>521779</v>
      </c>
      <c r="K154" s="2">
        <v>176827</v>
      </c>
      <c r="L154" s="293"/>
      <c r="M154" s="364">
        <v>1</v>
      </c>
      <c r="N154" s="364">
        <v>0</v>
      </c>
      <c r="O154" s="364">
        <v>0</v>
      </c>
      <c r="P154" s="364">
        <v>0</v>
      </c>
      <c r="Q154" s="364"/>
      <c r="R154" s="364"/>
      <c r="S154" s="364"/>
      <c r="T154" s="365">
        <v>1</v>
      </c>
      <c r="U154" s="364"/>
      <c r="V154" s="364">
        <v>0</v>
      </c>
      <c r="W154" s="364">
        <v>0</v>
      </c>
      <c r="X154" s="364">
        <v>1</v>
      </c>
      <c r="Y154" s="364">
        <v>0</v>
      </c>
      <c r="Z154" s="364"/>
      <c r="AA154" s="364"/>
      <c r="AB154" s="364"/>
      <c r="AC154" s="365">
        <v>1</v>
      </c>
      <c r="AD154" s="364"/>
      <c r="AE154" s="364">
        <f t="shared" si="33"/>
        <v>-1</v>
      </c>
      <c r="AF154" s="364">
        <f t="shared" si="34"/>
        <v>0</v>
      </c>
      <c r="AG154" s="364">
        <f t="shared" si="35"/>
        <v>1</v>
      </c>
      <c r="AH154" s="364">
        <f t="shared" si="36"/>
        <v>0</v>
      </c>
      <c r="AI154" s="364">
        <f t="shared" si="37"/>
        <v>0</v>
      </c>
      <c r="AJ154" s="364">
        <f t="shared" si="38"/>
        <v>0</v>
      </c>
      <c r="AK154" s="364">
        <f t="shared" si="39"/>
        <v>0</v>
      </c>
      <c r="AL154" s="348">
        <f t="shared" si="40"/>
        <v>0</v>
      </c>
      <c r="AM154" s="232"/>
      <c r="AN154" s="322">
        <v>0</v>
      </c>
      <c r="AO154" s="231">
        <v>0</v>
      </c>
      <c r="AP154" s="228">
        <v>0</v>
      </c>
      <c r="AQ154" s="231">
        <v>0</v>
      </c>
      <c r="AR154" s="231">
        <v>0</v>
      </c>
      <c r="AS154" s="231">
        <v>0</v>
      </c>
      <c r="AT154" s="231">
        <v>0</v>
      </c>
      <c r="AU154" s="323">
        <v>0</v>
      </c>
      <c r="AV154" s="231">
        <v>0</v>
      </c>
      <c r="AW154" s="231">
        <v>0</v>
      </c>
      <c r="AX154" s="231">
        <v>0</v>
      </c>
      <c r="AY154" s="231">
        <v>0</v>
      </c>
      <c r="AZ154" s="230">
        <v>0</v>
      </c>
      <c r="BA154" s="2" t="s">
        <v>1225</v>
      </c>
    </row>
    <row r="155" spans="1:58" ht="15" customHeight="1" x14ac:dyDescent="0.25">
      <c r="A155" s="241" t="s">
        <v>545</v>
      </c>
      <c r="B155" s="2" t="s">
        <v>26</v>
      </c>
      <c r="D155" s="241" t="s">
        <v>227</v>
      </c>
      <c r="E155" s="241" t="s">
        <v>546</v>
      </c>
      <c r="F155" s="359">
        <v>43479</v>
      </c>
      <c r="H155" s="358" t="s">
        <v>1050</v>
      </c>
      <c r="I155" s="367" t="s">
        <v>1048</v>
      </c>
      <c r="J155" s="2">
        <v>518846</v>
      </c>
      <c r="K155" s="2">
        <v>177650</v>
      </c>
      <c r="L155" s="293"/>
      <c r="M155" s="364">
        <v>0</v>
      </c>
      <c r="N155" s="364">
        <v>0</v>
      </c>
      <c r="O155" s="364">
        <v>0</v>
      </c>
      <c r="P155" s="364">
        <v>0</v>
      </c>
      <c r="Q155" s="364"/>
      <c r="R155" s="364"/>
      <c r="S155" s="364"/>
      <c r="T155" s="365">
        <v>0</v>
      </c>
      <c r="U155" s="364"/>
      <c r="V155" s="364">
        <v>0</v>
      </c>
      <c r="W155" s="364">
        <v>1</v>
      </c>
      <c r="X155" s="364">
        <v>0</v>
      </c>
      <c r="Y155" s="364">
        <v>0</v>
      </c>
      <c r="Z155" s="364"/>
      <c r="AA155" s="364"/>
      <c r="AB155" s="364"/>
      <c r="AC155" s="365">
        <v>1</v>
      </c>
      <c r="AD155" s="364"/>
      <c r="AE155" s="364">
        <f t="shared" si="33"/>
        <v>0</v>
      </c>
      <c r="AF155" s="364">
        <f t="shared" si="34"/>
        <v>1</v>
      </c>
      <c r="AG155" s="364">
        <f t="shared" si="35"/>
        <v>0</v>
      </c>
      <c r="AH155" s="364">
        <f t="shared" si="36"/>
        <v>0</v>
      </c>
      <c r="AI155" s="364">
        <f t="shared" si="37"/>
        <v>0</v>
      </c>
      <c r="AJ155" s="364">
        <f t="shared" si="38"/>
        <v>0</v>
      </c>
      <c r="AK155" s="364">
        <f t="shared" si="39"/>
        <v>0</v>
      </c>
      <c r="AL155" s="348">
        <f t="shared" si="40"/>
        <v>1</v>
      </c>
      <c r="AM155" s="232"/>
      <c r="AN155" s="322">
        <v>0</v>
      </c>
      <c r="AO155" s="231">
        <v>1</v>
      </c>
      <c r="AP155" s="228">
        <v>0</v>
      </c>
      <c r="AQ155" s="231">
        <v>0</v>
      </c>
      <c r="AR155" s="231">
        <v>0</v>
      </c>
      <c r="AS155" s="231">
        <v>0</v>
      </c>
      <c r="AT155" s="231">
        <v>0</v>
      </c>
      <c r="AU155" s="323">
        <v>0</v>
      </c>
      <c r="AV155" s="231">
        <v>0</v>
      </c>
      <c r="AW155" s="231">
        <v>0</v>
      </c>
      <c r="AX155" s="231">
        <v>0</v>
      </c>
      <c r="AY155" s="231">
        <v>0</v>
      </c>
      <c r="AZ155" s="230">
        <v>0</v>
      </c>
      <c r="BA155" s="2" t="s">
        <v>1232</v>
      </c>
      <c r="BE155" s="2" t="s">
        <v>1214</v>
      </c>
    </row>
    <row r="156" spans="1:58" ht="15" customHeight="1" x14ac:dyDescent="0.25">
      <c r="A156" s="241" t="s">
        <v>1023</v>
      </c>
      <c r="B156" s="2" t="s">
        <v>26</v>
      </c>
      <c r="D156" s="241" t="s">
        <v>1024</v>
      </c>
      <c r="E156" s="241" t="s">
        <v>1025</v>
      </c>
      <c r="F156" s="359">
        <v>43190</v>
      </c>
      <c r="H156" s="358" t="s">
        <v>1050</v>
      </c>
      <c r="I156" s="367" t="s">
        <v>1048</v>
      </c>
      <c r="J156" s="2">
        <v>514411</v>
      </c>
      <c r="K156" s="2">
        <v>171129</v>
      </c>
      <c r="L156" s="293"/>
      <c r="M156" s="364">
        <v>0</v>
      </c>
      <c r="N156" s="364">
        <v>0</v>
      </c>
      <c r="O156" s="364">
        <v>0</v>
      </c>
      <c r="P156" s="364">
        <v>0</v>
      </c>
      <c r="Q156" s="364"/>
      <c r="R156" s="364"/>
      <c r="S156" s="364"/>
      <c r="T156" s="365">
        <v>0</v>
      </c>
      <c r="U156" s="364"/>
      <c r="V156" s="364">
        <v>12</v>
      </c>
      <c r="W156" s="364">
        <v>9</v>
      </c>
      <c r="X156" s="364">
        <v>0</v>
      </c>
      <c r="Y156" s="364">
        <v>0</v>
      </c>
      <c r="Z156" s="364"/>
      <c r="AA156" s="364"/>
      <c r="AB156" s="364"/>
      <c r="AC156" s="365">
        <v>21</v>
      </c>
      <c r="AD156" s="364"/>
      <c r="AE156" s="364">
        <f t="shared" ref="AE156:AE187" si="41">V156-M156</f>
        <v>12</v>
      </c>
      <c r="AF156" s="364">
        <f t="shared" ref="AF156:AF187" si="42">W156-N156</f>
        <v>9</v>
      </c>
      <c r="AG156" s="364">
        <f t="shared" ref="AG156:AG187" si="43">X156-O156</f>
        <v>0</v>
      </c>
      <c r="AH156" s="364">
        <f t="shared" ref="AH156:AH187" si="44">Y156-P156</f>
        <v>0</v>
      </c>
      <c r="AI156" s="364">
        <f t="shared" ref="AI156:AI187" si="45">Z156-Q156</f>
        <v>0</v>
      </c>
      <c r="AJ156" s="364">
        <f t="shared" ref="AJ156:AJ187" si="46">AA156-R156</f>
        <v>0</v>
      </c>
      <c r="AK156" s="364">
        <f t="shared" ref="AK156:AK187" si="47">AB156-S156</f>
        <v>0</v>
      </c>
      <c r="AL156" s="348">
        <f t="shared" si="40"/>
        <v>21</v>
      </c>
      <c r="AN156" s="322">
        <v>0</v>
      </c>
      <c r="AO156" s="231">
        <v>10.5</v>
      </c>
      <c r="AP156" s="228">
        <v>10.5</v>
      </c>
      <c r="AQ156" s="231">
        <v>0</v>
      </c>
      <c r="AR156" s="231">
        <v>0</v>
      </c>
      <c r="AS156" s="231">
        <v>0</v>
      </c>
      <c r="AT156" s="231">
        <v>0</v>
      </c>
      <c r="AU156" s="323" t="s">
        <v>39</v>
      </c>
      <c r="AV156" s="231">
        <v>0</v>
      </c>
      <c r="AW156" s="231">
        <v>0</v>
      </c>
      <c r="AX156" s="231">
        <v>0</v>
      </c>
      <c r="AY156" s="231">
        <v>0</v>
      </c>
      <c r="AZ156" s="230">
        <v>0</v>
      </c>
      <c r="BA156" s="2" t="s">
        <v>1265</v>
      </c>
      <c r="BC156" s="2" t="s">
        <v>1432</v>
      </c>
    </row>
    <row r="157" spans="1:58" ht="15" customHeight="1" x14ac:dyDescent="0.25">
      <c r="A157" s="241" t="s">
        <v>840</v>
      </c>
      <c r="B157" s="2" t="s">
        <v>5</v>
      </c>
      <c r="D157" s="241" t="s">
        <v>841</v>
      </c>
      <c r="E157" s="241" t="s">
        <v>842</v>
      </c>
      <c r="F157" s="359">
        <v>43525</v>
      </c>
      <c r="H157" s="358" t="s">
        <v>1050</v>
      </c>
      <c r="I157" s="367" t="s">
        <v>1048</v>
      </c>
      <c r="J157" s="2">
        <v>516100</v>
      </c>
      <c r="K157" s="2">
        <v>174435</v>
      </c>
      <c r="L157" s="293"/>
      <c r="M157" s="364">
        <v>0</v>
      </c>
      <c r="N157" s="364">
        <v>0</v>
      </c>
      <c r="O157" s="364">
        <v>0</v>
      </c>
      <c r="P157" s="364">
        <v>1</v>
      </c>
      <c r="Q157" s="364"/>
      <c r="R157" s="364"/>
      <c r="S157" s="364"/>
      <c r="T157" s="365">
        <v>1</v>
      </c>
      <c r="U157" s="364"/>
      <c r="V157" s="364">
        <v>2</v>
      </c>
      <c r="W157" s="364">
        <v>2</v>
      </c>
      <c r="X157" s="364">
        <v>0</v>
      </c>
      <c r="Y157" s="364">
        <v>0</v>
      </c>
      <c r="Z157" s="364"/>
      <c r="AA157" s="364"/>
      <c r="AB157" s="364"/>
      <c r="AC157" s="365">
        <v>4</v>
      </c>
      <c r="AD157" s="364"/>
      <c r="AE157" s="364">
        <f t="shared" si="41"/>
        <v>2</v>
      </c>
      <c r="AF157" s="364">
        <f t="shared" si="42"/>
        <v>2</v>
      </c>
      <c r="AG157" s="364">
        <f t="shared" si="43"/>
        <v>0</v>
      </c>
      <c r="AH157" s="364">
        <f t="shared" si="44"/>
        <v>-1</v>
      </c>
      <c r="AI157" s="364">
        <f t="shared" si="45"/>
        <v>0</v>
      </c>
      <c r="AJ157" s="364">
        <f t="shared" si="46"/>
        <v>0</v>
      </c>
      <c r="AK157" s="364">
        <f t="shared" si="47"/>
        <v>0</v>
      </c>
      <c r="AL157" s="348">
        <f t="shared" ref="AL157:AL188" si="48">AC157-T157</f>
        <v>3</v>
      </c>
      <c r="AN157" s="322">
        <v>0</v>
      </c>
      <c r="AO157" s="231">
        <v>3</v>
      </c>
      <c r="AP157" s="228">
        <v>0</v>
      </c>
      <c r="AQ157" s="231">
        <v>0</v>
      </c>
      <c r="AR157" s="231">
        <v>0</v>
      </c>
      <c r="AS157" s="231">
        <v>0</v>
      </c>
      <c r="AT157" s="231">
        <v>0</v>
      </c>
      <c r="AU157" s="242">
        <v>0</v>
      </c>
      <c r="AV157" s="231">
        <v>0</v>
      </c>
      <c r="AW157" s="231">
        <v>0</v>
      </c>
      <c r="AX157" s="231">
        <v>0</v>
      </c>
      <c r="AY157" s="231">
        <v>0</v>
      </c>
      <c r="AZ157" s="230">
        <v>0</v>
      </c>
      <c r="BA157" s="2" t="s">
        <v>1442</v>
      </c>
    </row>
    <row r="158" spans="1:58" ht="15" customHeight="1" x14ac:dyDescent="0.25">
      <c r="A158" s="241" t="s">
        <v>834</v>
      </c>
      <c r="B158" s="2" t="s">
        <v>5</v>
      </c>
      <c r="D158" s="241" t="s">
        <v>835</v>
      </c>
      <c r="E158" s="241" t="s">
        <v>836</v>
      </c>
      <c r="F158" s="371">
        <v>42642</v>
      </c>
      <c r="H158" s="358" t="s">
        <v>1050</v>
      </c>
      <c r="I158" s="367" t="s">
        <v>1048</v>
      </c>
      <c r="J158" s="2">
        <v>516878</v>
      </c>
      <c r="K158" s="2">
        <v>174968</v>
      </c>
      <c r="L158" s="293"/>
      <c r="M158" s="364">
        <v>0</v>
      </c>
      <c r="N158" s="364">
        <v>0</v>
      </c>
      <c r="O158" s="364">
        <v>0</v>
      </c>
      <c r="P158" s="364">
        <v>2</v>
      </c>
      <c r="Q158" s="364"/>
      <c r="R158" s="364"/>
      <c r="S158" s="364"/>
      <c r="T158" s="365">
        <v>2</v>
      </c>
      <c r="U158" s="364"/>
      <c r="V158" s="364">
        <v>0</v>
      </c>
      <c r="W158" s="364">
        <v>0</v>
      </c>
      <c r="X158" s="364">
        <v>0</v>
      </c>
      <c r="Y158" s="364">
        <v>1</v>
      </c>
      <c r="Z158" s="364"/>
      <c r="AA158" s="364"/>
      <c r="AB158" s="364"/>
      <c r="AC158" s="365">
        <v>1</v>
      </c>
      <c r="AD158" s="364"/>
      <c r="AE158" s="364">
        <f t="shared" si="41"/>
        <v>0</v>
      </c>
      <c r="AF158" s="364">
        <f t="shared" si="42"/>
        <v>0</v>
      </c>
      <c r="AG158" s="364">
        <f t="shared" si="43"/>
        <v>0</v>
      </c>
      <c r="AH158" s="364">
        <f t="shared" si="44"/>
        <v>-1</v>
      </c>
      <c r="AI158" s="364">
        <f t="shared" si="45"/>
        <v>0</v>
      </c>
      <c r="AJ158" s="364">
        <f t="shared" si="46"/>
        <v>0</v>
      </c>
      <c r="AK158" s="364">
        <f t="shared" si="47"/>
        <v>0</v>
      </c>
      <c r="AL158" s="348">
        <f t="shared" si="48"/>
        <v>-1</v>
      </c>
      <c r="AN158" s="322">
        <v>0</v>
      </c>
      <c r="AO158" s="231">
        <v>-1</v>
      </c>
      <c r="AP158" s="228">
        <v>0</v>
      </c>
      <c r="AQ158" s="231">
        <v>0</v>
      </c>
      <c r="AR158" s="231">
        <v>0</v>
      </c>
      <c r="AS158" s="231">
        <v>0</v>
      </c>
      <c r="AT158" s="231">
        <v>0</v>
      </c>
      <c r="AU158" s="242">
        <v>0</v>
      </c>
      <c r="AV158" s="231">
        <v>0</v>
      </c>
      <c r="AW158" s="231">
        <v>0</v>
      </c>
      <c r="AX158" s="231">
        <v>0</v>
      </c>
      <c r="AY158" s="231">
        <v>0</v>
      </c>
      <c r="AZ158" s="230">
        <v>0</v>
      </c>
      <c r="BA158" s="2" t="s">
        <v>1442</v>
      </c>
      <c r="BE158" s="2" t="s">
        <v>1214</v>
      </c>
    </row>
    <row r="159" spans="1:58" ht="15" customHeight="1" x14ac:dyDescent="0.25">
      <c r="A159" s="241" t="s">
        <v>483</v>
      </c>
      <c r="B159" s="2" t="s">
        <v>5</v>
      </c>
      <c r="D159" s="241" t="s">
        <v>484</v>
      </c>
      <c r="E159" s="241" t="s">
        <v>485</v>
      </c>
      <c r="F159" s="359">
        <v>43479</v>
      </c>
      <c r="H159" s="358" t="s">
        <v>1050</v>
      </c>
      <c r="I159" s="367" t="s">
        <v>1048</v>
      </c>
      <c r="J159" s="2">
        <v>518294</v>
      </c>
      <c r="K159" s="2">
        <v>174078</v>
      </c>
      <c r="L159" s="293"/>
      <c r="M159" s="364">
        <v>2</v>
      </c>
      <c r="N159" s="364">
        <v>2</v>
      </c>
      <c r="O159" s="364">
        <v>1</v>
      </c>
      <c r="P159" s="364">
        <v>0</v>
      </c>
      <c r="Q159" s="364"/>
      <c r="R159" s="364"/>
      <c r="S159" s="364"/>
      <c r="T159" s="365">
        <v>5</v>
      </c>
      <c r="U159" s="364"/>
      <c r="V159" s="364">
        <v>1</v>
      </c>
      <c r="W159" s="364">
        <v>0</v>
      </c>
      <c r="X159" s="364">
        <v>0</v>
      </c>
      <c r="Y159" s="364">
        <v>1</v>
      </c>
      <c r="Z159" s="364"/>
      <c r="AA159" s="364"/>
      <c r="AB159" s="364"/>
      <c r="AC159" s="365">
        <v>2</v>
      </c>
      <c r="AD159" s="364"/>
      <c r="AE159" s="364">
        <f t="shared" si="41"/>
        <v>-1</v>
      </c>
      <c r="AF159" s="364">
        <f t="shared" si="42"/>
        <v>-2</v>
      </c>
      <c r="AG159" s="364">
        <f t="shared" si="43"/>
        <v>-1</v>
      </c>
      <c r="AH159" s="364">
        <f t="shared" si="44"/>
        <v>1</v>
      </c>
      <c r="AI159" s="364">
        <f t="shared" si="45"/>
        <v>0</v>
      </c>
      <c r="AJ159" s="364">
        <f t="shared" si="46"/>
        <v>0</v>
      </c>
      <c r="AK159" s="364">
        <f t="shared" si="47"/>
        <v>0</v>
      </c>
      <c r="AL159" s="348">
        <f t="shared" si="48"/>
        <v>-3</v>
      </c>
      <c r="AM159" s="232"/>
      <c r="AN159" s="322">
        <v>0</v>
      </c>
      <c r="AO159" s="231">
        <v>-3</v>
      </c>
      <c r="AP159" s="228">
        <v>0</v>
      </c>
      <c r="AQ159" s="231">
        <v>0</v>
      </c>
      <c r="AR159" s="231">
        <v>0</v>
      </c>
      <c r="AS159" s="231">
        <v>0</v>
      </c>
      <c r="AT159" s="231">
        <v>0</v>
      </c>
      <c r="AU159" s="323">
        <v>0</v>
      </c>
      <c r="AV159" s="231">
        <v>0</v>
      </c>
      <c r="AW159" s="231">
        <v>0</v>
      </c>
      <c r="AX159" s="231">
        <v>0</v>
      </c>
      <c r="AY159" s="231">
        <v>0</v>
      </c>
      <c r="AZ159" s="230">
        <v>0</v>
      </c>
      <c r="BA159" s="2" t="s">
        <v>1443</v>
      </c>
      <c r="BE159" s="2" t="s">
        <v>1214</v>
      </c>
    </row>
    <row r="160" spans="1:58" ht="15" customHeight="1" x14ac:dyDescent="0.25">
      <c r="A160" s="241" t="s">
        <v>571</v>
      </c>
      <c r="B160" s="2" t="s">
        <v>9</v>
      </c>
      <c r="D160" s="241" t="s">
        <v>572</v>
      </c>
      <c r="E160" s="241" t="s">
        <v>573</v>
      </c>
      <c r="F160" s="371">
        <v>43215</v>
      </c>
      <c r="H160" s="358" t="s">
        <v>1050</v>
      </c>
      <c r="I160" s="367" t="s">
        <v>1048</v>
      </c>
      <c r="J160" s="2">
        <v>518622</v>
      </c>
      <c r="K160" s="2">
        <v>175641</v>
      </c>
      <c r="L160" s="293"/>
      <c r="M160" s="364">
        <v>0</v>
      </c>
      <c r="N160" s="364">
        <v>0</v>
      </c>
      <c r="O160" s="364">
        <v>0</v>
      </c>
      <c r="P160" s="364">
        <v>0</v>
      </c>
      <c r="Q160" s="364"/>
      <c r="R160" s="364"/>
      <c r="S160" s="364"/>
      <c r="T160" s="365">
        <v>0</v>
      </c>
      <c r="U160" s="364"/>
      <c r="V160" s="364">
        <v>1</v>
      </c>
      <c r="W160" s="364">
        <v>0</v>
      </c>
      <c r="X160" s="364">
        <v>0</v>
      </c>
      <c r="Y160" s="364">
        <v>0</v>
      </c>
      <c r="Z160" s="364"/>
      <c r="AA160" s="364"/>
      <c r="AB160" s="364"/>
      <c r="AC160" s="365">
        <v>1</v>
      </c>
      <c r="AD160" s="364"/>
      <c r="AE160" s="364">
        <f t="shared" si="41"/>
        <v>1</v>
      </c>
      <c r="AF160" s="364">
        <f t="shared" si="42"/>
        <v>0</v>
      </c>
      <c r="AG160" s="364">
        <f t="shared" si="43"/>
        <v>0</v>
      </c>
      <c r="AH160" s="364">
        <f t="shared" si="44"/>
        <v>0</v>
      </c>
      <c r="AI160" s="364">
        <f t="shared" si="45"/>
        <v>0</v>
      </c>
      <c r="AJ160" s="364">
        <f t="shared" si="46"/>
        <v>0</v>
      </c>
      <c r="AK160" s="364">
        <f t="shared" si="47"/>
        <v>0</v>
      </c>
      <c r="AL160" s="348">
        <f t="shared" si="48"/>
        <v>1</v>
      </c>
      <c r="AM160" s="232"/>
      <c r="AN160" s="322">
        <v>0</v>
      </c>
      <c r="AO160" s="231">
        <v>1</v>
      </c>
      <c r="AP160" s="228">
        <v>0</v>
      </c>
      <c r="AQ160" s="231">
        <v>0</v>
      </c>
      <c r="AR160" s="231">
        <v>0</v>
      </c>
      <c r="AS160" s="231">
        <v>0</v>
      </c>
      <c r="AT160" s="231">
        <v>0</v>
      </c>
      <c r="AU160" s="323">
        <v>0</v>
      </c>
      <c r="AV160" s="231">
        <v>0</v>
      </c>
      <c r="AW160" s="231">
        <v>0</v>
      </c>
      <c r="AX160" s="231">
        <v>0</v>
      </c>
      <c r="AY160" s="231">
        <v>0</v>
      </c>
      <c r="AZ160" s="230">
        <v>0</v>
      </c>
      <c r="BA160" s="2" t="s">
        <v>1234</v>
      </c>
      <c r="BF160" s="232" t="s">
        <v>39</v>
      </c>
    </row>
    <row r="161" spans="1:57" ht="15" customHeight="1" x14ac:dyDescent="0.25">
      <c r="A161" s="241" t="s">
        <v>703</v>
      </c>
      <c r="B161" s="2" t="s">
        <v>9</v>
      </c>
      <c r="D161" s="241" t="s">
        <v>704</v>
      </c>
      <c r="E161" s="241" t="s">
        <v>705</v>
      </c>
      <c r="F161" s="371">
        <v>43132</v>
      </c>
      <c r="H161" s="358" t="s">
        <v>1050</v>
      </c>
      <c r="I161" s="367" t="s">
        <v>1048</v>
      </c>
      <c r="J161" s="2">
        <v>516098</v>
      </c>
      <c r="K161" s="2">
        <v>172295</v>
      </c>
      <c r="L161" s="293"/>
      <c r="M161" s="364">
        <v>0</v>
      </c>
      <c r="N161" s="364">
        <v>0</v>
      </c>
      <c r="O161" s="364">
        <v>0</v>
      </c>
      <c r="P161" s="364">
        <v>1</v>
      </c>
      <c r="Q161" s="364"/>
      <c r="R161" s="364"/>
      <c r="S161" s="364"/>
      <c r="T161" s="365">
        <v>1</v>
      </c>
      <c r="U161" s="364"/>
      <c r="V161" s="364">
        <v>0</v>
      </c>
      <c r="W161" s="364">
        <v>0</v>
      </c>
      <c r="X161" s="364">
        <v>0</v>
      </c>
      <c r="Y161" s="364">
        <v>0</v>
      </c>
      <c r="Z161" s="364"/>
      <c r="AA161" s="372">
        <v>1</v>
      </c>
      <c r="AB161" s="364"/>
      <c r="AC161" s="365">
        <v>1</v>
      </c>
      <c r="AD161" s="364"/>
      <c r="AE161" s="364">
        <f t="shared" si="41"/>
        <v>0</v>
      </c>
      <c r="AF161" s="364">
        <f t="shared" si="42"/>
        <v>0</v>
      </c>
      <c r="AG161" s="364">
        <f t="shared" si="43"/>
        <v>0</v>
      </c>
      <c r="AH161" s="364">
        <f t="shared" si="44"/>
        <v>-1</v>
      </c>
      <c r="AI161" s="364">
        <f t="shared" si="45"/>
        <v>0</v>
      </c>
      <c r="AJ161" s="364">
        <f t="shared" si="46"/>
        <v>1</v>
      </c>
      <c r="AK161" s="364">
        <f t="shared" si="47"/>
        <v>0</v>
      </c>
      <c r="AL161" s="348">
        <f t="shared" si="48"/>
        <v>0</v>
      </c>
      <c r="AM161" s="232"/>
      <c r="AN161" s="322">
        <v>0</v>
      </c>
      <c r="AO161" s="231">
        <v>0</v>
      </c>
      <c r="AP161" s="228">
        <v>0</v>
      </c>
      <c r="AQ161" s="231">
        <v>0</v>
      </c>
      <c r="AR161" s="231">
        <v>0</v>
      </c>
      <c r="AS161" s="231">
        <v>0</v>
      </c>
      <c r="AT161" s="231">
        <v>0</v>
      </c>
      <c r="AU161" s="323">
        <v>0</v>
      </c>
      <c r="AV161" s="231">
        <v>0</v>
      </c>
      <c r="AW161" s="231">
        <v>0</v>
      </c>
      <c r="AX161" s="231">
        <v>0</v>
      </c>
      <c r="AY161" s="231">
        <v>0</v>
      </c>
      <c r="AZ161" s="230">
        <v>0</v>
      </c>
      <c r="BA161" s="2" t="s">
        <v>1236</v>
      </c>
      <c r="BE161" s="2" t="s">
        <v>1214</v>
      </c>
    </row>
    <row r="162" spans="1:57" ht="15" customHeight="1" x14ac:dyDescent="0.25">
      <c r="A162" s="241" t="s">
        <v>287</v>
      </c>
      <c r="B162" s="2" t="s">
        <v>9</v>
      </c>
      <c r="D162" s="241" t="s">
        <v>288</v>
      </c>
      <c r="E162" s="241" t="s">
        <v>289</v>
      </c>
      <c r="F162" s="371">
        <v>42865</v>
      </c>
      <c r="H162" s="358" t="s">
        <v>1050</v>
      </c>
      <c r="I162" s="367" t="s">
        <v>1048</v>
      </c>
      <c r="J162" s="2">
        <v>521872</v>
      </c>
      <c r="K162" s="2">
        <v>177181</v>
      </c>
      <c r="L162" s="293"/>
      <c r="M162" s="364">
        <v>0</v>
      </c>
      <c r="N162" s="364">
        <v>0</v>
      </c>
      <c r="O162" s="364">
        <v>0</v>
      </c>
      <c r="P162" s="364">
        <v>1</v>
      </c>
      <c r="Q162" s="364"/>
      <c r="R162" s="364"/>
      <c r="S162" s="364"/>
      <c r="T162" s="365">
        <v>1</v>
      </c>
      <c r="U162" s="364"/>
      <c r="V162" s="364">
        <v>0</v>
      </c>
      <c r="W162" s="364">
        <v>0</v>
      </c>
      <c r="X162" s="364">
        <v>0</v>
      </c>
      <c r="Y162" s="364">
        <v>1</v>
      </c>
      <c r="Z162" s="364"/>
      <c r="AA162" s="364"/>
      <c r="AB162" s="364"/>
      <c r="AC162" s="365">
        <v>1</v>
      </c>
      <c r="AD162" s="364"/>
      <c r="AE162" s="364">
        <f t="shared" si="41"/>
        <v>0</v>
      </c>
      <c r="AF162" s="364">
        <f t="shared" si="42"/>
        <v>0</v>
      </c>
      <c r="AG162" s="364">
        <f t="shared" si="43"/>
        <v>0</v>
      </c>
      <c r="AH162" s="364">
        <f t="shared" si="44"/>
        <v>0</v>
      </c>
      <c r="AI162" s="364">
        <f t="shared" si="45"/>
        <v>0</v>
      </c>
      <c r="AJ162" s="364">
        <f t="shared" si="46"/>
        <v>0</v>
      </c>
      <c r="AK162" s="364">
        <f t="shared" si="47"/>
        <v>0</v>
      </c>
      <c r="AL162" s="348">
        <f t="shared" si="48"/>
        <v>0</v>
      </c>
      <c r="AM162" s="232"/>
      <c r="AN162" s="322">
        <v>0</v>
      </c>
      <c r="AO162" s="231">
        <v>0</v>
      </c>
      <c r="AP162" s="228">
        <v>0</v>
      </c>
      <c r="AQ162" s="231">
        <v>0</v>
      </c>
      <c r="AR162" s="231">
        <v>0</v>
      </c>
      <c r="AS162" s="231">
        <v>0</v>
      </c>
      <c r="AT162" s="231">
        <v>0</v>
      </c>
      <c r="AU162" s="323">
        <v>0</v>
      </c>
      <c r="AV162" s="231">
        <v>0</v>
      </c>
      <c r="AW162" s="231">
        <v>0</v>
      </c>
      <c r="AX162" s="231">
        <v>0</v>
      </c>
      <c r="AY162" s="231">
        <v>0</v>
      </c>
      <c r="AZ162" s="230">
        <v>0</v>
      </c>
      <c r="BA162" s="2" t="s">
        <v>1225</v>
      </c>
    </row>
    <row r="163" spans="1:57" ht="15" customHeight="1" x14ac:dyDescent="0.25">
      <c r="A163" s="241" t="s">
        <v>1065</v>
      </c>
      <c r="B163" s="2" t="s">
        <v>26</v>
      </c>
      <c r="D163" s="241" t="s">
        <v>1074</v>
      </c>
      <c r="E163" s="241" t="s">
        <v>1083</v>
      </c>
      <c r="H163" s="358" t="s">
        <v>1050</v>
      </c>
      <c r="I163" s="367" t="s">
        <v>1048</v>
      </c>
      <c r="J163" s="2">
        <v>516167</v>
      </c>
      <c r="K163" s="2">
        <v>173210</v>
      </c>
      <c r="L163" s="293"/>
      <c r="M163" s="364">
        <v>0</v>
      </c>
      <c r="N163" s="364">
        <v>0</v>
      </c>
      <c r="O163" s="364">
        <v>0</v>
      </c>
      <c r="P163" s="364">
        <v>0</v>
      </c>
      <c r="Q163" s="364"/>
      <c r="R163" s="364"/>
      <c r="S163" s="364"/>
      <c r="T163" s="365">
        <v>0</v>
      </c>
      <c r="U163" s="364"/>
      <c r="V163" s="364">
        <v>1</v>
      </c>
      <c r="W163" s="364">
        <v>1</v>
      </c>
      <c r="X163" s="364">
        <v>0</v>
      </c>
      <c r="Y163" s="364">
        <v>0</v>
      </c>
      <c r="Z163" s="364"/>
      <c r="AA163" s="364"/>
      <c r="AB163" s="364"/>
      <c r="AC163" s="365">
        <v>2</v>
      </c>
      <c r="AD163" s="364"/>
      <c r="AE163" s="364">
        <f t="shared" si="41"/>
        <v>1</v>
      </c>
      <c r="AF163" s="364">
        <f t="shared" si="42"/>
        <v>1</v>
      </c>
      <c r="AG163" s="364">
        <f t="shared" si="43"/>
        <v>0</v>
      </c>
      <c r="AH163" s="364">
        <f t="shared" si="44"/>
        <v>0</v>
      </c>
      <c r="AI163" s="364">
        <f t="shared" si="45"/>
        <v>0</v>
      </c>
      <c r="AJ163" s="364">
        <f t="shared" si="46"/>
        <v>0</v>
      </c>
      <c r="AK163" s="364">
        <f t="shared" si="47"/>
        <v>0</v>
      </c>
      <c r="AL163" s="348">
        <f t="shared" si="48"/>
        <v>2</v>
      </c>
      <c r="AN163" s="322">
        <v>0</v>
      </c>
      <c r="AO163" s="231">
        <v>2</v>
      </c>
      <c r="AP163" s="228">
        <v>0</v>
      </c>
      <c r="AQ163" s="231">
        <v>0</v>
      </c>
      <c r="AR163" s="231">
        <v>0</v>
      </c>
      <c r="AS163" s="231">
        <v>0</v>
      </c>
      <c r="AT163" s="231">
        <v>0</v>
      </c>
      <c r="AU163" s="242">
        <v>0</v>
      </c>
      <c r="AV163" s="231">
        <v>0</v>
      </c>
      <c r="AW163" s="231">
        <v>0</v>
      </c>
      <c r="AX163" s="231">
        <v>0</v>
      </c>
      <c r="AY163" s="231">
        <v>0</v>
      </c>
      <c r="AZ163" s="230">
        <v>0</v>
      </c>
      <c r="BA163" s="2" t="s">
        <v>1238</v>
      </c>
      <c r="BD163" s="2" t="s">
        <v>1217</v>
      </c>
    </row>
    <row r="164" spans="1:57" ht="15" customHeight="1" x14ac:dyDescent="0.25">
      <c r="A164" s="241" t="s">
        <v>1067</v>
      </c>
      <c r="B164" s="2" t="s">
        <v>26</v>
      </c>
      <c r="D164" s="241" t="s">
        <v>1076</v>
      </c>
      <c r="E164" s="241" t="s">
        <v>1085</v>
      </c>
      <c r="F164" s="359">
        <v>43557</v>
      </c>
      <c r="H164" s="358" t="s">
        <v>1050</v>
      </c>
      <c r="I164" s="367" t="s">
        <v>1048</v>
      </c>
      <c r="J164" s="2">
        <v>514223</v>
      </c>
      <c r="K164" s="2">
        <v>173584</v>
      </c>
      <c r="L164" s="293"/>
      <c r="M164" s="364">
        <v>0</v>
      </c>
      <c r="N164" s="364">
        <v>0</v>
      </c>
      <c r="O164" s="364">
        <v>0</v>
      </c>
      <c r="P164" s="364">
        <v>0</v>
      </c>
      <c r="Q164" s="364"/>
      <c r="R164" s="364"/>
      <c r="S164" s="364"/>
      <c r="T164" s="365">
        <v>0</v>
      </c>
      <c r="U164" s="364"/>
      <c r="V164" s="364">
        <v>4</v>
      </c>
      <c r="W164" s="364">
        <v>0</v>
      </c>
      <c r="X164" s="364">
        <v>0</v>
      </c>
      <c r="Y164" s="364">
        <v>0</v>
      </c>
      <c r="Z164" s="364"/>
      <c r="AA164" s="364"/>
      <c r="AB164" s="364"/>
      <c r="AC164" s="365">
        <v>4</v>
      </c>
      <c r="AD164" s="364"/>
      <c r="AE164" s="364">
        <f t="shared" si="41"/>
        <v>4</v>
      </c>
      <c r="AF164" s="364">
        <f t="shared" si="42"/>
        <v>0</v>
      </c>
      <c r="AG164" s="364">
        <f t="shared" si="43"/>
        <v>0</v>
      </c>
      <c r="AH164" s="364">
        <f t="shared" si="44"/>
        <v>0</v>
      </c>
      <c r="AI164" s="364">
        <f t="shared" si="45"/>
        <v>0</v>
      </c>
      <c r="AJ164" s="364">
        <f t="shared" si="46"/>
        <v>0</v>
      </c>
      <c r="AK164" s="364">
        <f t="shared" si="47"/>
        <v>0</v>
      </c>
      <c r="AL164" s="348">
        <f t="shared" si="48"/>
        <v>4</v>
      </c>
      <c r="AN164" s="322">
        <v>0</v>
      </c>
      <c r="AO164" s="231">
        <v>4</v>
      </c>
      <c r="AP164" s="228">
        <v>0</v>
      </c>
      <c r="AQ164" s="231">
        <v>0</v>
      </c>
      <c r="AR164" s="231">
        <v>0</v>
      </c>
      <c r="AS164" s="231">
        <v>0</v>
      </c>
      <c r="AT164" s="231">
        <v>0</v>
      </c>
      <c r="AU164" s="242">
        <v>0</v>
      </c>
      <c r="AV164" s="231">
        <v>0</v>
      </c>
      <c r="AW164" s="231">
        <v>0</v>
      </c>
      <c r="AX164" s="231">
        <v>0</v>
      </c>
      <c r="AY164" s="231">
        <v>0</v>
      </c>
      <c r="AZ164" s="230">
        <v>0</v>
      </c>
      <c r="BA164" s="2" t="s">
        <v>1219</v>
      </c>
      <c r="BD164" s="2" t="s">
        <v>1219</v>
      </c>
    </row>
    <row r="165" spans="1:57" ht="15" customHeight="1" x14ac:dyDescent="0.25">
      <c r="A165" s="241" t="s">
        <v>914</v>
      </c>
      <c r="B165" s="2" t="s">
        <v>9</v>
      </c>
      <c r="D165" s="241" t="s">
        <v>915</v>
      </c>
      <c r="E165" s="241" t="s">
        <v>916</v>
      </c>
      <c r="H165" s="358" t="s">
        <v>1050</v>
      </c>
      <c r="I165" s="367" t="s">
        <v>1048</v>
      </c>
      <c r="J165" s="2">
        <v>512538</v>
      </c>
      <c r="K165" s="2">
        <v>173280</v>
      </c>
      <c r="L165" s="293"/>
      <c r="M165" s="364">
        <v>0</v>
      </c>
      <c r="N165" s="364">
        <v>0</v>
      </c>
      <c r="O165" s="364">
        <v>1</v>
      </c>
      <c r="P165" s="364">
        <v>0</v>
      </c>
      <c r="Q165" s="364"/>
      <c r="R165" s="364"/>
      <c r="S165" s="364"/>
      <c r="T165" s="365">
        <v>1</v>
      </c>
      <c r="U165" s="364"/>
      <c r="V165" s="364">
        <v>0</v>
      </c>
      <c r="W165" s="364">
        <v>0</v>
      </c>
      <c r="X165" s="364">
        <v>0</v>
      </c>
      <c r="Y165" s="364">
        <v>2</v>
      </c>
      <c r="Z165" s="364"/>
      <c r="AA165" s="364"/>
      <c r="AB165" s="364"/>
      <c r="AC165" s="365">
        <v>2</v>
      </c>
      <c r="AD165" s="364"/>
      <c r="AE165" s="364">
        <f t="shared" si="41"/>
        <v>0</v>
      </c>
      <c r="AF165" s="364">
        <f t="shared" si="42"/>
        <v>0</v>
      </c>
      <c r="AG165" s="364">
        <f t="shared" si="43"/>
        <v>-1</v>
      </c>
      <c r="AH165" s="364">
        <f t="shared" si="44"/>
        <v>2</v>
      </c>
      <c r="AI165" s="364">
        <f t="shared" si="45"/>
        <v>0</v>
      </c>
      <c r="AJ165" s="364">
        <f t="shared" si="46"/>
        <v>0</v>
      </c>
      <c r="AK165" s="364">
        <f t="shared" si="47"/>
        <v>0</v>
      </c>
      <c r="AL165" s="348">
        <f t="shared" si="48"/>
        <v>1</v>
      </c>
      <c r="AN165" s="322">
        <v>0</v>
      </c>
      <c r="AO165" s="231">
        <v>1</v>
      </c>
      <c r="AP165" s="228">
        <v>0</v>
      </c>
      <c r="AQ165" s="231">
        <v>0</v>
      </c>
      <c r="AR165" s="231">
        <v>0</v>
      </c>
      <c r="AS165" s="231">
        <v>0</v>
      </c>
      <c r="AT165" s="231">
        <v>0</v>
      </c>
      <c r="AU165" s="242">
        <v>0</v>
      </c>
      <c r="AV165" s="231">
        <v>0</v>
      </c>
      <c r="AW165" s="231">
        <v>0</v>
      </c>
      <c r="AX165" s="231">
        <v>0</v>
      </c>
      <c r="AY165" s="231">
        <v>0</v>
      </c>
      <c r="AZ165" s="230">
        <v>0</v>
      </c>
      <c r="BA165" s="2" t="s">
        <v>1231</v>
      </c>
    </row>
    <row r="166" spans="1:57" ht="15" customHeight="1" x14ac:dyDescent="0.25">
      <c r="A166" s="241" t="s">
        <v>855</v>
      </c>
      <c r="B166" s="2" t="s">
        <v>9</v>
      </c>
      <c r="D166" s="241" t="s">
        <v>856</v>
      </c>
      <c r="E166" s="241" t="s">
        <v>857</v>
      </c>
      <c r="F166" s="371">
        <v>42807</v>
      </c>
      <c r="H166" s="358" t="s">
        <v>1050</v>
      </c>
      <c r="I166" s="2" t="s">
        <v>1047</v>
      </c>
      <c r="J166" s="2">
        <v>515304</v>
      </c>
      <c r="K166" s="2">
        <v>173889</v>
      </c>
      <c r="L166" s="293"/>
      <c r="M166" s="364">
        <v>0</v>
      </c>
      <c r="N166" s="364">
        <v>0</v>
      </c>
      <c r="O166" s="364">
        <v>0</v>
      </c>
      <c r="P166" s="364">
        <v>0</v>
      </c>
      <c r="Q166" s="364"/>
      <c r="R166" s="364"/>
      <c r="S166" s="364"/>
      <c r="T166" s="365">
        <v>0</v>
      </c>
      <c r="U166" s="364"/>
      <c r="V166" s="364">
        <v>1</v>
      </c>
      <c r="W166" s="364">
        <v>20</v>
      </c>
      <c r="X166" s="364">
        <v>5</v>
      </c>
      <c r="Y166" s="364"/>
      <c r="Z166" s="364"/>
      <c r="AA166" s="364"/>
      <c r="AB166" s="364"/>
      <c r="AC166" s="366">
        <v>26</v>
      </c>
      <c r="AD166" s="364"/>
      <c r="AE166" s="364">
        <f t="shared" si="41"/>
        <v>1</v>
      </c>
      <c r="AF166" s="364">
        <f t="shared" si="42"/>
        <v>20</v>
      </c>
      <c r="AG166" s="364">
        <f t="shared" si="43"/>
        <v>5</v>
      </c>
      <c r="AH166" s="364">
        <f t="shared" si="44"/>
        <v>0</v>
      </c>
      <c r="AI166" s="364">
        <f t="shared" si="45"/>
        <v>0</v>
      </c>
      <c r="AJ166" s="364">
        <f t="shared" si="46"/>
        <v>0</v>
      </c>
      <c r="AK166" s="364">
        <f t="shared" si="47"/>
        <v>0</v>
      </c>
      <c r="AL166" s="348">
        <f t="shared" si="48"/>
        <v>26</v>
      </c>
      <c r="AN166" s="322">
        <v>0</v>
      </c>
      <c r="AO166" s="231">
        <v>0</v>
      </c>
      <c r="AP166" s="228">
        <v>0</v>
      </c>
      <c r="AQ166" s="231">
        <v>8.6666666666666661</v>
      </c>
      <c r="AR166" s="231">
        <v>8.6666666666666661</v>
      </c>
      <c r="AS166" s="231">
        <v>8.6666666666666661</v>
      </c>
      <c r="AT166" s="231">
        <v>0</v>
      </c>
      <c r="AU166" s="323" t="s">
        <v>39</v>
      </c>
      <c r="AV166" s="231">
        <v>0</v>
      </c>
      <c r="AW166" s="231">
        <v>0</v>
      </c>
      <c r="AX166" s="231">
        <v>0</v>
      </c>
      <c r="AY166" s="231">
        <v>0</v>
      </c>
      <c r="AZ166" s="230">
        <v>0</v>
      </c>
      <c r="BA166" s="2" t="s">
        <v>1442</v>
      </c>
    </row>
    <row r="167" spans="1:57" ht="15" customHeight="1" x14ac:dyDescent="0.25">
      <c r="A167" s="241" t="s">
        <v>855</v>
      </c>
      <c r="B167" s="2" t="s">
        <v>9</v>
      </c>
      <c r="D167" s="241" t="s">
        <v>856</v>
      </c>
      <c r="E167" s="241" t="s">
        <v>857</v>
      </c>
      <c r="F167" s="371">
        <v>42807</v>
      </c>
      <c r="H167" s="358" t="s">
        <v>1050</v>
      </c>
      <c r="I167" s="367" t="s">
        <v>1048</v>
      </c>
      <c r="J167" s="2">
        <v>515304</v>
      </c>
      <c r="K167" s="2">
        <v>173889</v>
      </c>
      <c r="L167" s="293"/>
      <c r="M167" s="364">
        <v>0</v>
      </c>
      <c r="N167" s="364">
        <v>0</v>
      </c>
      <c r="O167" s="364">
        <v>0</v>
      </c>
      <c r="P167" s="364">
        <v>0</v>
      </c>
      <c r="Q167" s="364"/>
      <c r="R167" s="364"/>
      <c r="S167" s="364"/>
      <c r="T167" s="365">
        <v>0</v>
      </c>
      <c r="U167" s="364"/>
      <c r="V167" s="364">
        <v>38</v>
      </c>
      <c r="W167" s="364">
        <v>59</v>
      </c>
      <c r="X167" s="364">
        <v>31</v>
      </c>
      <c r="Y167" s="364">
        <v>18</v>
      </c>
      <c r="Z167" s="364"/>
      <c r="AA167" s="364"/>
      <c r="AB167" s="364"/>
      <c r="AC167" s="366">
        <v>146</v>
      </c>
      <c r="AD167" s="364"/>
      <c r="AE167" s="364">
        <f t="shared" si="41"/>
        <v>38</v>
      </c>
      <c r="AF167" s="364">
        <f t="shared" si="42"/>
        <v>59</v>
      </c>
      <c r="AG167" s="364">
        <f t="shared" si="43"/>
        <v>31</v>
      </c>
      <c r="AH167" s="364">
        <f t="shared" si="44"/>
        <v>18</v>
      </c>
      <c r="AI167" s="364">
        <f t="shared" si="45"/>
        <v>0</v>
      </c>
      <c r="AJ167" s="364">
        <f t="shared" si="46"/>
        <v>0</v>
      </c>
      <c r="AK167" s="364">
        <f t="shared" si="47"/>
        <v>0</v>
      </c>
      <c r="AL167" s="348">
        <f t="shared" si="48"/>
        <v>146</v>
      </c>
      <c r="AN167" s="322">
        <v>0</v>
      </c>
      <c r="AO167" s="231">
        <v>0</v>
      </c>
      <c r="AP167" s="228">
        <v>0</v>
      </c>
      <c r="AQ167" s="231">
        <v>48.666666666666664</v>
      </c>
      <c r="AR167" s="231">
        <v>48.666666666666664</v>
      </c>
      <c r="AS167" s="231">
        <v>48.666666666666664</v>
      </c>
      <c r="AT167" s="231">
        <v>0</v>
      </c>
      <c r="AU167" s="323" t="s">
        <v>39</v>
      </c>
      <c r="AV167" s="231">
        <v>0</v>
      </c>
      <c r="AW167" s="231">
        <v>0</v>
      </c>
      <c r="AX167" s="231">
        <v>0</v>
      </c>
      <c r="AY167" s="231">
        <v>0</v>
      </c>
      <c r="AZ167" s="230">
        <v>0</v>
      </c>
      <c r="BA167" s="2" t="s">
        <v>1442</v>
      </c>
    </row>
    <row r="168" spans="1:57" ht="15" customHeight="1" x14ac:dyDescent="0.25">
      <c r="A168" s="241" t="s">
        <v>855</v>
      </c>
      <c r="B168" s="2" t="s">
        <v>9</v>
      </c>
      <c r="D168" s="241" t="s">
        <v>856</v>
      </c>
      <c r="E168" s="241" t="s">
        <v>857</v>
      </c>
      <c r="F168" s="371">
        <v>42807</v>
      </c>
      <c r="H168" s="358" t="s">
        <v>1050</v>
      </c>
      <c r="I168" s="319" t="s">
        <v>1049</v>
      </c>
      <c r="J168" s="2">
        <v>515304</v>
      </c>
      <c r="K168" s="2">
        <v>173889</v>
      </c>
      <c r="L168" s="293"/>
      <c r="M168" s="364">
        <v>0</v>
      </c>
      <c r="N168" s="364">
        <v>0</v>
      </c>
      <c r="O168" s="364">
        <v>0</v>
      </c>
      <c r="P168" s="364">
        <v>0</v>
      </c>
      <c r="Q168" s="364"/>
      <c r="R168" s="364"/>
      <c r="S168" s="364"/>
      <c r="T168" s="365">
        <v>0</v>
      </c>
      <c r="U168" s="364"/>
      <c r="V168" s="364">
        <v>6</v>
      </c>
      <c r="W168" s="364">
        <v>2</v>
      </c>
      <c r="X168" s="364"/>
      <c r="Y168" s="364"/>
      <c r="Z168" s="364"/>
      <c r="AA168" s="364"/>
      <c r="AB168" s="364"/>
      <c r="AC168" s="366">
        <v>8</v>
      </c>
      <c r="AD168" s="364"/>
      <c r="AE168" s="364">
        <f t="shared" si="41"/>
        <v>6</v>
      </c>
      <c r="AF168" s="364">
        <f t="shared" si="42"/>
        <v>2</v>
      </c>
      <c r="AG168" s="364">
        <f t="shared" si="43"/>
        <v>0</v>
      </c>
      <c r="AH168" s="364">
        <f t="shared" si="44"/>
        <v>0</v>
      </c>
      <c r="AI168" s="364">
        <f t="shared" si="45"/>
        <v>0</v>
      </c>
      <c r="AJ168" s="364">
        <f t="shared" si="46"/>
        <v>0</v>
      </c>
      <c r="AK168" s="364">
        <f t="shared" si="47"/>
        <v>0</v>
      </c>
      <c r="AL168" s="348">
        <f t="shared" si="48"/>
        <v>8</v>
      </c>
      <c r="AN168" s="322">
        <v>0</v>
      </c>
      <c r="AO168" s="231">
        <v>0</v>
      </c>
      <c r="AP168" s="228">
        <v>0</v>
      </c>
      <c r="AQ168" s="231">
        <v>2.6666666666666665</v>
      </c>
      <c r="AR168" s="231">
        <v>2.6666666666666665</v>
      </c>
      <c r="AS168" s="231">
        <v>2.6666666666666665</v>
      </c>
      <c r="AT168" s="231">
        <v>0</v>
      </c>
      <c r="AU168" s="323" t="s">
        <v>39</v>
      </c>
      <c r="AV168" s="231">
        <v>0</v>
      </c>
      <c r="AW168" s="231">
        <v>0</v>
      </c>
      <c r="AX168" s="231">
        <v>0</v>
      </c>
      <c r="AY168" s="231">
        <v>0</v>
      </c>
      <c r="AZ168" s="230">
        <v>0</v>
      </c>
      <c r="BA168" s="2" t="s">
        <v>1442</v>
      </c>
    </row>
    <row r="169" spans="1:57" ht="15" customHeight="1" x14ac:dyDescent="0.25">
      <c r="A169" s="241" t="s">
        <v>947</v>
      </c>
      <c r="B169" s="2" t="s">
        <v>9</v>
      </c>
      <c r="D169" s="241" t="s">
        <v>1493</v>
      </c>
      <c r="E169" s="241" t="s">
        <v>948</v>
      </c>
      <c r="F169" s="371">
        <v>43346</v>
      </c>
      <c r="H169" s="358" t="s">
        <v>1050</v>
      </c>
      <c r="I169" s="367" t="s">
        <v>1048</v>
      </c>
      <c r="J169" s="2">
        <v>515669</v>
      </c>
      <c r="K169" s="2">
        <v>173102</v>
      </c>
      <c r="L169" s="293"/>
      <c r="M169" s="364">
        <v>0</v>
      </c>
      <c r="N169" s="364">
        <v>0</v>
      </c>
      <c r="O169" s="364">
        <v>0</v>
      </c>
      <c r="P169" s="364">
        <v>0</v>
      </c>
      <c r="Q169" s="364"/>
      <c r="R169" s="364"/>
      <c r="S169" s="364"/>
      <c r="T169" s="365">
        <v>0</v>
      </c>
      <c r="U169" s="364"/>
      <c r="V169" s="364">
        <v>8</v>
      </c>
      <c r="W169" s="364">
        <v>1</v>
      </c>
      <c r="X169" s="364">
        <v>0</v>
      </c>
      <c r="Y169" s="364">
        <v>0</v>
      </c>
      <c r="Z169" s="364"/>
      <c r="AA169" s="364"/>
      <c r="AB169" s="364"/>
      <c r="AC169" s="365">
        <v>9</v>
      </c>
      <c r="AD169" s="364"/>
      <c r="AE169" s="364">
        <f t="shared" si="41"/>
        <v>8</v>
      </c>
      <c r="AF169" s="364">
        <f t="shared" si="42"/>
        <v>1</v>
      </c>
      <c r="AG169" s="364">
        <f t="shared" si="43"/>
        <v>0</v>
      </c>
      <c r="AH169" s="364">
        <f t="shared" si="44"/>
        <v>0</v>
      </c>
      <c r="AI169" s="364">
        <f t="shared" si="45"/>
        <v>0</v>
      </c>
      <c r="AJ169" s="364">
        <f t="shared" si="46"/>
        <v>0</v>
      </c>
      <c r="AK169" s="364">
        <f t="shared" si="47"/>
        <v>0</v>
      </c>
      <c r="AL169" s="348">
        <f t="shared" si="48"/>
        <v>9</v>
      </c>
      <c r="AN169" s="322">
        <v>0</v>
      </c>
      <c r="AO169" s="231">
        <v>4.5</v>
      </c>
      <c r="AP169" s="228">
        <v>4.5</v>
      </c>
      <c r="AQ169" s="231">
        <v>0</v>
      </c>
      <c r="AR169" s="231">
        <v>0</v>
      </c>
      <c r="AS169" s="231">
        <v>0</v>
      </c>
      <c r="AT169" s="231">
        <v>0</v>
      </c>
      <c r="AU169" s="323" t="s">
        <v>39</v>
      </c>
      <c r="AV169" s="231">
        <v>0</v>
      </c>
      <c r="AW169" s="231">
        <v>0</v>
      </c>
      <c r="AX169" s="231">
        <v>0</v>
      </c>
      <c r="AY169" s="231">
        <v>0</v>
      </c>
      <c r="AZ169" s="230">
        <v>0</v>
      </c>
      <c r="BA169" s="2" t="s">
        <v>1236</v>
      </c>
      <c r="BD169" s="2" t="s">
        <v>1217</v>
      </c>
    </row>
    <row r="170" spans="1:57" ht="15" customHeight="1" x14ac:dyDescent="0.25">
      <c r="A170" s="241" t="s">
        <v>718</v>
      </c>
      <c r="B170" s="2" t="s">
        <v>5</v>
      </c>
      <c r="D170" s="241" t="s">
        <v>719</v>
      </c>
      <c r="E170" s="241" t="s">
        <v>720</v>
      </c>
      <c r="H170" s="358" t="s">
        <v>1050</v>
      </c>
      <c r="I170" s="367" t="s">
        <v>1048</v>
      </c>
      <c r="J170" s="2">
        <v>514501</v>
      </c>
      <c r="K170" s="2">
        <v>170687</v>
      </c>
      <c r="L170" s="293"/>
      <c r="M170" s="364">
        <v>0</v>
      </c>
      <c r="N170" s="364">
        <v>0</v>
      </c>
      <c r="O170" s="364">
        <v>2</v>
      </c>
      <c r="P170" s="364">
        <v>0</v>
      </c>
      <c r="Q170" s="364"/>
      <c r="R170" s="364"/>
      <c r="S170" s="364"/>
      <c r="T170" s="365">
        <v>2</v>
      </c>
      <c r="U170" s="364"/>
      <c r="V170" s="364">
        <v>0</v>
      </c>
      <c r="W170" s="364">
        <v>0</v>
      </c>
      <c r="X170" s="364">
        <v>0</v>
      </c>
      <c r="Y170" s="364">
        <v>1</v>
      </c>
      <c r="Z170" s="364"/>
      <c r="AA170" s="364"/>
      <c r="AB170" s="364"/>
      <c r="AC170" s="365">
        <v>1</v>
      </c>
      <c r="AD170" s="364"/>
      <c r="AE170" s="364">
        <f t="shared" si="41"/>
        <v>0</v>
      </c>
      <c r="AF170" s="364">
        <f t="shared" si="42"/>
        <v>0</v>
      </c>
      <c r="AG170" s="364">
        <f t="shared" si="43"/>
        <v>-2</v>
      </c>
      <c r="AH170" s="364">
        <f t="shared" si="44"/>
        <v>1</v>
      </c>
      <c r="AI170" s="364">
        <f t="shared" si="45"/>
        <v>0</v>
      </c>
      <c r="AJ170" s="364">
        <f t="shared" si="46"/>
        <v>0</v>
      </c>
      <c r="AK170" s="364">
        <f t="shared" si="47"/>
        <v>0</v>
      </c>
      <c r="AL170" s="348">
        <f t="shared" si="48"/>
        <v>-1</v>
      </c>
      <c r="AM170" s="232"/>
      <c r="AN170" s="322">
        <v>0</v>
      </c>
      <c r="AO170" s="231">
        <v>0</v>
      </c>
      <c r="AP170" s="228">
        <v>0</v>
      </c>
      <c r="AQ170" s="231">
        <v>0</v>
      </c>
      <c r="AR170" s="231">
        <v>0</v>
      </c>
      <c r="AS170" s="231">
        <v>0</v>
      </c>
      <c r="AT170" s="231">
        <v>0</v>
      </c>
      <c r="AU170" s="323">
        <v>0</v>
      </c>
      <c r="AV170" s="231">
        <v>0</v>
      </c>
      <c r="AW170" s="231">
        <v>0</v>
      </c>
      <c r="AX170" s="231">
        <v>0</v>
      </c>
      <c r="AY170" s="231">
        <v>0</v>
      </c>
      <c r="AZ170" s="230">
        <v>0</v>
      </c>
      <c r="BA170" s="2" t="s">
        <v>1265</v>
      </c>
    </row>
    <row r="171" spans="1:57" ht="15" customHeight="1" x14ac:dyDescent="0.25">
      <c r="A171" s="241" t="s">
        <v>462</v>
      </c>
      <c r="B171" s="2" t="s">
        <v>60</v>
      </c>
      <c r="D171" s="241" t="s">
        <v>463</v>
      </c>
      <c r="E171" s="241" t="s">
        <v>464</v>
      </c>
      <c r="F171" s="371">
        <v>43215</v>
      </c>
      <c r="H171" s="358" t="s">
        <v>1050</v>
      </c>
      <c r="I171" s="367" t="s">
        <v>1048</v>
      </c>
      <c r="J171" s="2">
        <v>517752</v>
      </c>
      <c r="K171" s="2">
        <v>172177</v>
      </c>
      <c r="L171" s="293"/>
      <c r="M171" s="364">
        <v>0</v>
      </c>
      <c r="N171" s="364">
        <v>0</v>
      </c>
      <c r="O171" s="364">
        <v>0</v>
      </c>
      <c r="P171" s="364">
        <v>0</v>
      </c>
      <c r="Q171" s="364"/>
      <c r="R171" s="364"/>
      <c r="S171" s="364"/>
      <c r="T171" s="365">
        <v>0</v>
      </c>
      <c r="U171" s="364"/>
      <c r="V171" s="364">
        <v>1</v>
      </c>
      <c r="W171" s="364">
        <v>20</v>
      </c>
      <c r="X171" s="364">
        <v>1</v>
      </c>
      <c r="Y171" s="364">
        <v>1</v>
      </c>
      <c r="Z171" s="364"/>
      <c r="AA171" s="364"/>
      <c r="AB171" s="364"/>
      <c r="AC171" s="365">
        <v>23</v>
      </c>
      <c r="AD171" s="364"/>
      <c r="AE171" s="364">
        <f t="shared" si="41"/>
        <v>1</v>
      </c>
      <c r="AF171" s="364">
        <f t="shared" si="42"/>
        <v>20</v>
      </c>
      <c r="AG171" s="364">
        <f t="shared" si="43"/>
        <v>1</v>
      </c>
      <c r="AH171" s="364">
        <f t="shared" si="44"/>
        <v>1</v>
      </c>
      <c r="AI171" s="364">
        <f t="shared" si="45"/>
        <v>0</v>
      </c>
      <c r="AJ171" s="364">
        <f t="shared" si="46"/>
        <v>0</v>
      </c>
      <c r="AK171" s="364">
        <f t="shared" si="47"/>
        <v>0</v>
      </c>
      <c r="AL171" s="348">
        <f t="shared" si="48"/>
        <v>23</v>
      </c>
      <c r="AM171" s="232"/>
      <c r="AN171" s="322">
        <v>0</v>
      </c>
      <c r="AO171" s="231">
        <v>23</v>
      </c>
      <c r="AP171" s="228">
        <v>0</v>
      </c>
      <c r="AQ171" s="231">
        <v>0</v>
      </c>
      <c r="AR171" s="231">
        <v>0</v>
      </c>
      <c r="AS171" s="231">
        <v>0</v>
      </c>
      <c r="AT171" s="231">
        <v>0</v>
      </c>
      <c r="AU171" s="323">
        <v>0</v>
      </c>
      <c r="AV171" s="231">
        <v>0</v>
      </c>
      <c r="AW171" s="231">
        <v>0</v>
      </c>
      <c r="AX171" s="231">
        <v>0</v>
      </c>
      <c r="AY171" s="231">
        <v>0</v>
      </c>
      <c r="AZ171" s="230">
        <v>0</v>
      </c>
      <c r="BA171" s="2" t="s">
        <v>1443</v>
      </c>
    </row>
    <row r="172" spans="1:57" ht="15" customHeight="1" x14ac:dyDescent="0.25">
      <c r="A172" s="241" t="s">
        <v>963</v>
      </c>
      <c r="B172" s="2" t="s">
        <v>9</v>
      </c>
      <c r="D172" s="241" t="s">
        <v>964</v>
      </c>
      <c r="E172" s="241" t="s">
        <v>965</v>
      </c>
      <c r="F172" s="359">
        <v>43344</v>
      </c>
      <c r="H172" s="358" t="s">
        <v>1050</v>
      </c>
      <c r="I172" s="367" t="s">
        <v>1048</v>
      </c>
      <c r="J172" s="2">
        <v>516115</v>
      </c>
      <c r="K172" s="2">
        <v>173199</v>
      </c>
      <c r="L172" s="293"/>
      <c r="M172" s="364">
        <v>0</v>
      </c>
      <c r="N172" s="364">
        <v>0</v>
      </c>
      <c r="O172" s="364">
        <v>0</v>
      </c>
      <c r="P172" s="364">
        <v>0</v>
      </c>
      <c r="Q172" s="364"/>
      <c r="R172" s="364"/>
      <c r="S172" s="364"/>
      <c r="T172" s="365">
        <v>0</v>
      </c>
      <c r="U172" s="364"/>
      <c r="V172" s="364">
        <v>0</v>
      </c>
      <c r="W172" s="364">
        <v>1</v>
      </c>
      <c r="X172" s="364">
        <v>0</v>
      </c>
      <c r="Y172" s="364">
        <v>0</v>
      </c>
      <c r="Z172" s="364"/>
      <c r="AA172" s="364"/>
      <c r="AB172" s="364"/>
      <c r="AC172" s="365">
        <v>1</v>
      </c>
      <c r="AD172" s="364"/>
      <c r="AE172" s="364">
        <f t="shared" si="41"/>
        <v>0</v>
      </c>
      <c r="AF172" s="364">
        <f t="shared" si="42"/>
        <v>1</v>
      </c>
      <c r="AG172" s="364">
        <f t="shared" si="43"/>
        <v>0</v>
      </c>
      <c r="AH172" s="364">
        <f t="shared" si="44"/>
        <v>0</v>
      </c>
      <c r="AI172" s="364">
        <f t="shared" si="45"/>
        <v>0</v>
      </c>
      <c r="AJ172" s="364">
        <f t="shared" si="46"/>
        <v>0</v>
      </c>
      <c r="AK172" s="364">
        <f t="shared" si="47"/>
        <v>0</v>
      </c>
      <c r="AL172" s="348">
        <f t="shared" si="48"/>
        <v>1</v>
      </c>
      <c r="AN172" s="322">
        <v>0</v>
      </c>
      <c r="AO172" s="231">
        <v>1</v>
      </c>
      <c r="AP172" s="228">
        <v>0</v>
      </c>
      <c r="AQ172" s="231">
        <v>0</v>
      </c>
      <c r="AR172" s="231">
        <v>0</v>
      </c>
      <c r="AS172" s="231">
        <v>0</v>
      </c>
      <c r="AT172" s="231">
        <v>0</v>
      </c>
      <c r="AU172" s="242">
        <v>0</v>
      </c>
      <c r="AV172" s="231">
        <v>0</v>
      </c>
      <c r="AW172" s="231">
        <v>0</v>
      </c>
      <c r="AX172" s="231">
        <v>0</v>
      </c>
      <c r="AY172" s="231">
        <v>0</v>
      </c>
      <c r="AZ172" s="230">
        <v>0</v>
      </c>
      <c r="BA172" s="2" t="s">
        <v>1238</v>
      </c>
      <c r="BD172" s="2" t="s">
        <v>1217</v>
      </c>
    </row>
    <row r="173" spans="1:57" ht="15" customHeight="1" x14ac:dyDescent="0.25">
      <c r="A173" s="241" t="s">
        <v>852</v>
      </c>
      <c r="B173" s="2" t="s">
        <v>22</v>
      </c>
      <c r="D173" s="241" t="s">
        <v>853</v>
      </c>
      <c r="E173" s="241" t="s">
        <v>854</v>
      </c>
      <c r="G173" s="318">
        <v>43708</v>
      </c>
      <c r="H173" s="358" t="s">
        <v>1050</v>
      </c>
      <c r="I173" s="367" t="s">
        <v>1048</v>
      </c>
      <c r="J173" s="2">
        <v>515385</v>
      </c>
      <c r="K173" s="2">
        <v>174051</v>
      </c>
      <c r="L173" s="293"/>
      <c r="M173" s="364">
        <v>0</v>
      </c>
      <c r="N173" s="364">
        <v>0</v>
      </c>
      <c r="O173" s="364">
        <v>1</v>
      </c>
      <c r="P173" s="364">
        <v>0</v>
      </c>
      <c r="Q173" s="364"/>
      <c r="R173" s="364"/>
      <c r="S173" s="364"/>
      <c r="T173" s="365">
        <v>1</v>
      </c>
      <c r="U173" s="364"/>
      <c r="V173" s="364">
        <v>0</v>
      </c>
      <c r="W173" s="364">
        <v>2</v>
      </c>
      <c r="X173" s="364">
        <v>0</v>
      </c>
      <c r="Y173" s="364">
        <v>0</v>
      </c>
      <c r="Z173" s="364"/>
      <c r="AA173" s="364"/>
      <c r="AB173" s="364"/>
      <c r="AC173" s="365">
        <v>2</v>
      </c>
      <c r="AD173" s="364"/>
      <c r="AE173" s="364">
        <f t="shared" si="41"/>
        <v>0</v>
      </c>
      <c r="AF173" s="364">
        <f t="shared" si="42"/>
        <v>2</v>
      </c>
      <c r="AG173" s="364">
        <f t="shared" si="43"/>
        <v>-1</v>
      </c>
      <c r="AH173" s="364">
        <f t="shared" si="44"/>
        <v>0</v>
      </c>
      <c r="AI173" s="364">
        <f t="shared" si="45"/>
        <v>0</v>
      </c>
      <c r="AJ173" s="364">
        <f t="shared" si="46"/>
        <v>0</v>
      </c>
      <c r="AK173" s="364">
        <f t="shared" si="47"/>
        <v>0</v>
      </c>
      <c r="AL173" s="348">
        <f t="shared" si="48"/>
        <v>1</v>
      </c>
      <c r="AN173" s="322">
        <v>0</v>
      </c>
      <c r="AO173" s="231">
        <v>1</v>
      </c>
      <c r="AP173" s="228">
        <v>0</v>
      </c>
      <c r="AQ173" s="231">
        <v>0</v>
      </c>
      <c r="AR173" s="231">
        <v>0</v>
      </c>
      <c r="AS173" s="231">
        <v>0</v>
      </c>
      <c r="AT173" s="231">
        <v>0</v>
      </c>
      <c r="AU173" s="242">
        <v>0</v>
      </c>
      <c r="AV173" s="231">
        <v>0</v>
      </c>
      <c r="AW173" s="231">
        <v>0</v>
      </c>
      <c r="AX173" s="231">
        <v>0</v>
      </c>
      <c r="AY173" s="231">
        <v>0</v>
      </c>
      <c r="AZ173" s="230">
        <v>0</v>
      </c>
      <c r="BA173" s="2" t="s">
        <v>1442</v>
      </c>
    </row>
    <row r="174" spans="1:57" ht="15" customHeight="1" x14ac:dyDescent="0.25">
      <c r="A174" s="241" t="s">
        <v>305</v>
      </c>
      <c r="B174" s="2" t="s">
        <v>9</v>
      </c>
      <c r="D174" s="241" t="s">
        <v>306</v>
      </c>
      <c r="E174" s="241" t="s">
        <v>307</v>
      </c>
      <c r="F174" s="359">
        <v>43479</v>
      </c>
      <c r="H174" s="358" t="s">
        <v>1050</v>
      </c>
      <c r="I174" s="367" t="s">
        <v>1048</v>
      </c>
      <c r="J174" s="2">
        <v>521729</v>
      </c>
      <c r="K174" s="2">
        <v>176400</v>
      </c>
      <c r="L174" s="293"/>
      <c r="M174" s="364">
        <v>0</v>
      </c>
      <c r="N174" s="364">
        <v>0</v>
      </c>
      <c r="O174" s="364">
        <v>0</v>
      </c>
      <c r="P174" s="364">
        <v>0</v>
      </c>
      <c r="Q174" s="364"/>
      <c r="R174" s="364"/>
      <c r="S174" s="364"/>
      <c r="T174" s="365">
        <v>0</v>
      </c>
      <c r="U174" s="364"/>
      <c r="V174" s="364">
        <v>0</v>
      </c>
      <c r="W174" s="364">
        <v>1</v>
      </c>
      <c r="X174" s="364">
        <v>0</v>
      </c>
      <c r="Y174" s="364">
        <v>0</v>
      </c>
      <c r="Z174" s="364"/>
      <c r="AA174" s="364"/>
      <c r="AB174" s="364"/>
      <c r="AC174" s="365">
        <v>1</v>
      </c>
      <c r="AD174" s="364"/>
      <c r="AE174" s="364">
        <f t="shared" si="41"/>
        <v>0</v>
      </c>
      <c r="AF174" s="364">
        <f t="shared" si="42"/>
        <v>1</v>
      </c>
      <c r="AG174" s="364">
        <f t="shared" si="43"/>
        <v>0</v>
      </c>
      <c r="AH174" s="364">
        <f t="shared" si="44"/>
        <v>0</v>
      </c>
      <c r="AI174" s="364">
        <f t="shared" si="45"/>
        <v>0</v>
      </c>
      <c r="AJ174" s="364">
        <f t="shared" si="46"/>
        <v>0</v>
      </c>
      <c r="AK174" s="364">
        <f t="shared" si="47"/>
        <v>0</v>
      </c>
      <c r="AL174" s="348">
        <f t="shared" si="48"/>
        <v>1</v>
      </c>
      <c r="AM174" s="232"/>
      <c r="AN174" s="322">
        <v>0</v>
      </c>
      <c r="AO174" s="231">
        <v>1</v>
      </c>
      <c r="AP174" s="228">
        <v>0</v>
      </c>
      <c r="AQ174" s="231">
        <v>0</v>
      </c>
      <c r="AR174" s="231">
        <v>0</v>
      </c>
      <c r="AS174" s="231">
        <v>0</v>
      </c>
      <c r="AT174" s="231">
        <v>0</v>
      </c>
      <c r="AU174" s="323">
        <v>0</v>
      </c>
      <c r="AV174" s="231">
        <v>0</v>
      </c>
      <c r="AW174" s="231">
        <v>0</v>
      </c>
      <c r="AX174" s="231">
        <v>0</v>
      </c>
      <c r="AY174" s="231">
        <v>0</v>
      </c>
      <c r="AZ174" s="230">
        <v>0</v>
      </c>
      <c r="BA174" s="2" t="s">
        <v>1267</v>
      </c>
      <c r="BC174" s="2" t="s">
        <v>1432</v>
      </c>
    </row>
    <row r="175" spans="1:57" ht="15" customHeight="1" x14ac:dyDescent="0.25">
      <c r="A175" s="241" t="s">
        <v>804</v>
      </c>
      <c r="B175" s="2" t="s">
        <v>9</v>
      </c>
      <c r="D175" s="241" t="s">
        <v>805</v>
      </c>
      <c r="E175" s="241" t="s">
        <v>806</v>
      </c>
      <c r="H175" s="358" t="s">
        <v>1050</v>
      </c>
      <c r="I175" s="367" t="s">
        <v>1048</v>
      </c>
      <c r="J175" s="2">
        <v>513706</v>
      </c>
      <c r="K175" s="2">
        <v>170624</v>
      </c>
      <c r="L175" s="293"/>
      <c r="M175" s="364">
        <v>0</v>
      </c>
      <c r="N175" s="364">
        <v>0</v>
      </c>
      <c r="O175" s="364">
        <v>0</v>
      </c>
      <c r="P175" s="364">
        <v>1</v>
      </c>
      <c r="Q175" s="364"/>
      <c r="R175" s="364"/>
      <c r="S175" s="364"/>
      <c r="T175" s="365">
        <v>1</v>
      </c>
      <c r="U175" s="364"/>
      <c r="V175" s="364">
        <v>0</v>
      </c>
      <c r="W175" s="364">
        <v>0</v>
      </c>
      <c r="X175" s="364">
        <v>0</v>
      </c>
      <c r="Y175" s="364">
        <v>1</v>
      </c>
      <c r="Z175" s="364"/>
      <c r="AA175" s="364"/>
      <c r="AB175" s="364"/>
      <c r="AC175" s="365">
        <v>1</v>
      </c>
      <c r="AD175" s="364"/>
      <c r="AE175" s="364">
        <f t="shared" si="41"/>
        <v>0</v>
      </c>
      <c r="AF175" s="364">
        <f t="shared" si="42"/>
        <v>0</v>
      </c>
      <c r="AG175" s="364">
        <f t="shared" si="43"/>
        <v>0</v>
      </c>
      <c r="AH175" s="364">
        <f t="shared" si="44"/>
        <v>0</v>
      </c>
      <c r="AI175" s="364">
        <f t="shared" si="45"/>
        <v>0</v>
      </c>
      <c r="AJ175" s="364">
        <f t="shared" si="46"/>
        <v>0</v>
      </c>
      <c r="AK175" s="364">
        <f t="shared" si="47"/>
        <v>0</v>
      </c>
      <c r="AL175" s="348">
        <f t="shared" si="48"/>
        <v>0</v>
      </c>
      <c r="AN175" s="322">
        <v>0</v>
      </c>
      <c r="AO175" s="231">
        <v>0</v>
      </c>
      <c r="AP175" s="228">
        <v>0</v>
      </c>
      <c r="AQ175" s="231">
        <v>0</v>
      </c>
      <c r="AR175" s="231">
        <v>0</v>
      </c>
      <c r="AS175" s="231">
        <v>0</v>
      </c>
      <c r="AT175" s="231">
        <v>0</v>
      </c>
      <c r="AU175" s="242">
        <v>0</v>
      </c>
      <c r="AV175" s="231">
        <v>0</v>
      </c>
      <c r="AW175" s="231">
        <v>0</v>
      </c>
      <c r="AX175" s="231">
        <v>0</v>
      </c>
      <c r="AY175" s="231">
        <v>0</v>
      </c>
      <c r="AZ175" s="230">
        <v>0</v>
      </c>
      <c r="BA175" s="2" t="s">
        <v>1228</v>
      </c>
    </row>
    <row r="176" spans="1:57" ht="15" customHeight="1" x14ac:dyDescent="0.25">
      <c r="A176" s="241" t="s">
        <v>864</v>
      </c>
      <c r="B176" s="2" t="s">
        <v>9</v>
      </c>
      <c r="D176" s="241" t="s">
        <v>865</v>
      </c>
      <c r="E176" s="241" t="s">
        <v>866</v>
      </c>
      <c r="F176" s="371">
        <v>42979</v>
      </c>
      <c r="H176" s="358" t="s">
        <v>1050</v>
      </c>
      <c r="I176" s="367" t="s">
        <v>1048</v>
      </c>
      <c r="J176" s="2">
        <v>514468</v>
      </c>
      <c r="K176" s="2">
        <v>172144</v>
      </c>
      <c r="L176" s="293"/>
      <c r="M176" s="364">
        <v>0</v>
      </c>
      <c r="N176" s="364">
        <v>0</v>
      </c>
      <c r="O176" s="364">
        <v>1</v>
      </c>
      <c r="P176" s="364">
        <v>0</v>
      </c>
      <c r="Q176" s="364"/>
      <c r="R176" s="364"/>
      <c r="S176" s="364"/>
      <c r="T176" s="365">
        <v>1</v>
      </c>
      <c r="U176" s="364"/>
      <c r="V176" s="364">
        <v>0</v>
      </c>
      <c r="W176" s="364">
        <v>0</v>
      </c>
      <c r="X176" s="364">
        <v>0</v>
      </c>
      <c r="Y176" s="364">
        <v>1</v>
      </c>
      <c r="Z176" s="364"/>
      <c r="AA176" s="364"/>
      <c r="AB176" s="364"/>
      <c r="AC176" s="365">
        <v>1</v>
      </c>
      <c r="AD176" s="364"/>
      <c r="AE176" s="364">
        <f t="shared" si="41"/>
        <v>0</v>
      </c>
      <c r="AF176" s="364">
        <f t="shared" si="42"/>
        <v>0</v>
      </c>
      <c r="AG176" s="364">
        <f t="shared" si="43"/>
        <v>-1</v>
      </c>
      <c r="AH176" s="364">
        <f t="shared" si="44"/>
        <v>1</v>
      </c>
      <c r="AI176" s="364">
        <f t="shared" si="45"/>
        <v>0</v>
      </c>
      <c r="AJ176" s="364">
        <f t="shared" si="46"/>
        <v>0</v>
      </c>
      <c r="AK176" s="364">
        <f t="shared" si="47"/>
        <v>0</v>
      </c>
      <c r="AL176" s="348">
        <f t="shared" si="48"/>
        <v>0</v>
      </c>
      <c r="AN176" s="322">
        <v>0</v>
      </c>
      <c r="AO176" s="231">
        <v>0</v>
      </c>
      <c r="AP176" s="228">
        <v>0</v>
      </c>
      <c r="AQ176" s="231">
        <v>0</v>
      </c>
      <c r="AR176" s="231">
        <v>0</v>
      </c>
      <c r="AS176" s="231">
        <v>0</v>
      </c>
      <c r="AT176" s="231">
        <v>0</v>
      </c>
      <c r="AU176" s="242">
        <v>0</v>
      </c>
      <c r="AV176" s="231">
        <v>0</v>
      </c>
      <c r="AW176" s="231">
        <v>0</v>
      </c>
      <c r="AX176" s="231">
        <v>0</v>
      </c>
      <c r="AY176" s="231">
        <v>0</v>
      </c>
      <c r="AZ176" s="230">
        <v>0</v>
      </c>
      <c r="BA176" s="2" t="s">
        <v>1239</v>
      </c>
    </row>
    <row r="177" spans="1:57" ht="15" customHeight="1" x14ac:dyDescent="0.25">
      <c r="A177" s="241" t="s">
        <v>1069</v>
      </c>
      <c r="B177" s="2" t="s">
        <v>26</v>
      </c>
      <c r="D177" s="241" t="s">
        <v>1078</v>
      </c>
      <c r="E177" s="241" t="s">
        <v>1089</v>
      </c>
      <c r="F177" s="359">
        <v>43374</v>
      </c>
      <c r="G177" s="318">
        <v>43579</v>
      </c>
      <c r="H177" s="358" t="s">
        <v>1050</v>
      </c>
      <c r="I177" s="367" t="s">
        <v>1048</v>
      </c>
      <c r="J177" s="2">
        <v>516177</v>
      </c>
      <c r="K177" s="2">
        <v>173221</v>
      </c>
      <c r="L177" s="293"/>
      <c r="M177" s="364">
        <v>0</v>
      </c>
      <c r="N177" s="364">
        <v>0</v>
      </c>
      <c r="O177" s="364">
        <v>0</v>
      </c>
      <c r="P177" s="364">
        <v>0</v>
      </c>
      <c r="Q177" s="364"/>
      <c r="R177" s="364"/>
      <c r="S177" s="364"/>
      <c r="T177" s="365">
        <v>0</v>
      </c>
      <c r="U177" s="364"/>
      <c r="V177" s="364">
        <v>1</v>
      </c>
      <c r="W177" s="364">
        <v>0</v>
      </c>
      <c r="X177" s="364">
        <v>0</v>
      </c>
      <c r="Y177" s="364">
        <v>0</v>
      </c>
      <c r="Z177" s="364"/>
      <c r="AA177" s="364"/>
      <c r="AB177" s="364"/>
      <c r="AC177" s="365">
        <v>1</v>
      </c>
      <c r="AD177" s="364"/>
      <c r="AE177" s="364">
        <f t="shared" si="41"/>
        <v>1</v>
      </c>
      <c r="AF177" s="364">
        <f t="shared" si="42"/>
        <v>0</v>
      </c>
      <c r="AG177" s="364">
        <f t="shared" si="43"/>
        <v>0</v>
      </c>
      <c r="AH177" s="364">
        <f t="shared" si="44"/>
        <v>0</v>
      </c>
      <c r="AI177" s="364">
        <f t="shared" si="45"/>
        <v>0</v>
      </c>
      <c r="AJ177" s="364">
        <f t="shared" si="46"/>
        <v>0</v>
      </c>
      <c r="AK177" s="364">
        <f t="shared" si="47"/>
        <v>0</v>
      </c>
      <c r="AL177" s="348">
        <f t="shared" si="48"/>
        <v>1</v>
      </c>
      <c r="AN177" s="322">
        <v>0</v>
      </c>
      <c r="AO177" s="231">
        <v>1</v>
      </c>
      <c r="AP177" s="228">
        <v>0</v>
      </c>
      <c r="AQ177" s="231">
        <v>0</v>
      </c>
      <c r="AR177" s="231">
        <v>0</v>
      </c>
      <c r="AS177" s="231">
        <v>0</v>
      </c>
      <c r="AT177" s="231">
        <v>0</v>
      </c>
      <c r="AU177" s="242">
        <v>0</v>
      </c>
      <c r="AV177" s="231">
        <v>0</v>
      </c>
      <c r="AW177" s="231">
        <v>0</v>
      </c>
      <c r="AX177" s="231">
        <v>0</v>
      </c>
      <c r="AY177" s="231">
        <v>0</v>
      </c>
      <c r="AZ177" s="230">
        <v>0</v>
      </c>
      <c r="BA177" s="2" t="s">
        <v>1238</v>
      </c>
      <c r="BD177" s="2" t="s">
        <v>1217</v>
      </c>
    </row>
    <row r="178" spans="1:57" ht="15" customHeight="1" x14ac:dyDescent="0.25">
      <c r="A178" s="241" t="s">
        <v>293</v>
      </c>
      <c r="B178" s="2" t="s">
        <v>26</v>
      </c>
      <c r="C178" s="2" t="s">
        <v>1037</v>
      </c>
      <c r="D178" s="241" t="s">
        <v>294</v>
      </c>
      <c r="E178" s="241" t="s">
        <v>295</v>
      </c>
      <c r="F178" s="371">
        <v>42401</v>
      </c>
      <c r="H178" s="358" t="s">
        <v>1050</v>
      </c>
      <c r="I178" s="367" t="s">
        <v>1048</v>
      </c>
      <c r="J178" s="2">
        <v>522197</v>
      </c>
      <c r="K178" s="2">
        <v>176636</v>
      </c>
      <c r="L178" s="293"/>
      <c r="M178" s="364">
        <v>0</v>
      </c>
      <c r="N178" s="364">
        <v>0</v>
      </c>
      <c r="O178" s="364">
        <v>0</v>
      </c>
      <c r="P178" s="364">
        <v>0</v>
      </c>
      <c r="Q178" s="364"/>
      <c r="R178" s="364"/>
      <c r="S178" s="364"/>
      <c r="T178" s="365">
        <v>0</v>
      </c>
      <c r="U178" s="364"/>
      <c r="V178" s="364">
        <v>1</v>
      </c>
      <c r="W178" s="364">
        <v>0</v>
      </c>
      <c r="X178" s="364">
        <v>0</v>
      </c>
      <c r="Y178" s="364">
        <v>0</v>
      </c>
      <c r="Z178" s="364"/>
      <c r="AA178" s="364"/>
      <c r="AB178" s="364"/>
      <c r="AC178" s="365">
        <v>1</v>
      </c>
      <c r="AD178" s="364"/>
      <c r="AE178" s="364">
        <f t="shared" si="41"/>
        <v>1</v>
      </c>
      <c r="AF178" s="364">
        <f t="shared" si="42"/>
        <v>0</v>
      </c>
      <c r="AG178" s="364">
        <f t="shared" si="43"/>
        <v>0</v>
      </c>
      <c r="AH178" s="364">
        <f t="shared" si="44"/>
        <v>0</v>
      </c>
      <c r="AI178" s="364">
        <f t="shared" si="45"/>
        <v>0</v>
      </c>
      <c r="AJ178" s="364">
        <f t="shared" si="46"/>
        <v>0</v>
      </c>
      <c r="AK178" s="364">
        <f t="shared" si="47"/>
        <v>0</v>
      </c>
      <c r="AL178" s="348">
        <f t="shared" si="48"/>
        <v>1</v>
      </c>
      <c r="AM178" s="232"/>
      <c r="AN178" s="322">
        <v>0</v>
      </c>
      <c r="AO178" s="231">
        <v>0</v>
      </c>
      <c r="AP178" s="228">
        <v>1</v>
      </c>
      <c r="AQ178" s="231">
        <v>0</v>
      </c>
      <c r="AR178" s="231">
        <v>0</v>
      </c>
      <c r="AS178" s="231">
        <v>0</v>
      </c>
      <c r="AT178" s="231">
        <v>0</v>
      </c>
      <c r="AU178" s="323" t="s">
        <v>39</v>
      </c>
      <c r="AV178" s="231">
        <v>0</v>
      </c>
      <c r="AW178" s="231">
        <v>0</v>
      </c>
      <c r="AX178" s="231">
        <v>0</v>
      </c>
      <c r="AY178" s="231">
        <v>0</v>
      </c>
      <c r="AZ178" s="230">
        <v>0</v>
      </c>
      <c r="BA178" s="2" t="s">
        <v>1225</v>
      </c>
    </row>
    <row r="179" spans="1:57" ht="15" customHeight="1" x14ac:dyDescent="0.25">
      <c r="A179" s="241" t="s">
        <v>447</v>
      </c>
      <c r="B179" s="2" t="s">
        <v>9</v>
      </c>
      <c r="D179" s="241" t="s">
        <v>448</v>
      </c>
      <c r="E179" s="241" t="s">
        <v>449</v>
      </c>
      <c r="F179" s="359">
        <v>43497</v>
      </c>
      <c r="H179" s="358" t="s">
        <v>1050</v>
      </c>
      <c r="I179" s="2" t="s">
        <v>1047</v>
      </c>
      <c r="J179" s="2">
        <v>517438</v>
      </c>
      <c r="K179" s="2">
        <v>171815</v>
      </c>
      <c r="L179" s="293"/>
      <c r="M179" s="364">
        <v>0</v>
      </c>
      <c r="N179" s="364">
        <v>0</v>
      </c>
      <c r="O179" s="364">
        <v>0</v>
      </c>
      <c r="P179" s="364">
        <v>0</v>
      </c>
      <c r="Q179" s="364"/>
      <c r="R179" s="364"/>
      <c r="S179" s="364"/>
      <c r="T179" s="365">
        <v>0</v>
      </c>
      <c r="U179" s="364"/>
      <c r="V179" s="364">
        <v>3</v>
      </c>
      <c r="W179" s="364">
        <v>1</v>
      </c>
      <c r="X179" s="364">
        <v>0</v>
      </c>
      <c r="Y179" s="364">
        <v>0</v>
      </c>
      <c r="Z179" s="364"/>
      <c r="AA179" s="364"/>
      <c r="AB179" s="364"/>
      <c r="AC179" s="365">
        <v>4</v>
      </c>
      <c r="AD179" s="364"/>
      <c r="AE179" s="364">
        <f t="shared" si="41"/>
        <v>3</v>
      </c>
      <c r="AF179" s="364">
        <f t="shared" si="42"/>
        <v>1</v>
      </c>
      <c r="AG179" s="364">
        <f t="shared" si="43"/>
        <v>0</v>
      </c>
      <c r="AH179" s="364">
        <f t="shared" si="44"/>
        <v>0</v>
      </c>
      <c r="AI179" s="364">
        <f t="shared" si="45"/>
        <v>0</v>
      </c>
      <c r="AJ179" s="364">
        <f t="shared" si="46"/>
        <v>0</v>
      </c>
      <c r="AK179" s="364">
        <f t="shared" si="47"/>
        <v>0</v>
      </c>
      <c r="AL179" s="348">
        <f t="shared" si="48"/>
        <v>4</v>
      </c>
      <c r="AM179" s="232"/>
      <c r="AN179" s="322">
        <v>0</v>
      </c>
      <c r="AO179" s="231">
        <v>0</v>
      </c>
      <c r="AP179" s="228">
        <f>AL179</f>
        <v>4</v>
      </c>
      <c r="AQ179" s="231">
        <v>0</v>
      </c>
      <c r="AR179" s="231">
        <v>0</v>
      </c>
      <c r="AS179" s="231">
        <v>0</v>
      </c>
      <c r="AT179" s="231">
        <v>0</v>
      </c>
      <c r="AU179" s="323" t="s">
        <v>39</v>
      </c>
      <c r="AV179" s="231">
        <v>0</v>
      </c>
      <c r="AW179" s="231">
        <v>0</v>
      </c>
      <c r="AX179" s="231">
        <v>0</v>
      </c>
      <c r="AY179" s="231">
        <v>0</v>
      </c>
      <c r="AZ179" s="230">
        <v>0</v>
      </c>
      <c r="BA179" s="2" t="s">
        <v>1443</v>
      </c>
    </row>
    <row r="180" spans="1:57" ht="15" customHeight="1" x14ac:dyDescent="0.25">
      <c r="A180" s="241" t="s">
        <v>510</v>
      </c>
      <c r="B180" s="2" t="s">
        <v>22</v>
      </c>
      <c r="D180" s="241" t="s">
        <v>511</v>
      </c>
      <c r="E180" s="241" t="s">
        <v>512</v>
      </c>
      <c r="G180" s="318">
        <v>43525</v>
      </c>
      <c r="H180" s="358" t="s">
        <v>1050</v>
      </c>
      <c r="I180" s="367" t="s">
        <v>1048</v>
      </c>
      <c r="J180" s="2">
        <v>518536</v>
      </c>
      <c r="K180" s="2">
        <v>175085</v>
      </c>
      <c r="L180" s="293"/>
      <c r="M180" s="364">
        <v>0</v>
      </c>
      <c r="N180" s="364">
        <v>0</v>
      </c>
      <c r="O180" s="364">
        <v>0</v>
      </c>
      <c r="P180" s="364">
        <v>0</v>
      </c>
      <c r="Q180" s="364"/>
      <c r="R180" s="364"/>
      <c r="S180" s="364"/>
      <c r="T180" s="365">
        <v>0</v>
      </c>
      <c r="U180" s="364"/>
      <c r="V180" s="364">
        <v>0</v>
      </c>
      <c r="W180" s="364">
        <v>0</v>
      </c>
      <c r="X180" s="364">
        <v>0</v>
      </c>
      <c r="Y180" s="364">
        <v>0</v>
      </c>
      <c r="Z180" s="364"/>
      <c r="AA180" s="364"/>
      <c r="AB180" s="364"/>
      <c r="AC180" s="365">
        <v>0</v>
      </c>
      <c r="AD180" s="364"/>
      <c r="AE180" s="364">
        <f t="shared" si="41"/>
        <v>0</v>
      </c>
      <c r="AF180" s="364">
        <f t="shared" si="42"/>
        <v>0</v>
      </c>
      <c r="AG180" s="364">
        <f t="shared" si="43"/>
        <v>0</v>
      </c>
      <c r="AH180" s="364">
        <f t="shared" si="44"/>
        <v>0</v>
      </c>
      <c r="AI180" s="364">
        <f t="shared" si="45"/>
        <v>0</v>
      </c>
      <c r="AJ180" s="364">
        <f t="shared" si="46"/>
        <v>0</v>
      </c>
      <c r="AK180" s="364">
        <f t="shared" si="47"/>
        <v>0</v>
      </c>
      <c r="AL180" s="348">
        <f t="shared" si="48"/>
        <v>0</v>
      </c>
      <c r="AM180" s="232"/>
      <c r="AN180" s="322">
        <v>0</v>
      </c>
      <c r="AO180" s="231">
        <v>0</v>
      </c>
      <c r="AP180" s="228">
        <v>0</v>
      </c>
      <c r="AQ180" s="231">
        <v>0</v>
      </c>
      <c r="AR180" s="231">
        <v>0</v>
      </c>
      <c r="AS180" s="231">
        <v>0</v>
      </c>
      <c r="AT180" s="231">
        <v>0</v>
      </c>
      <c r="AU180" s="323">
        <v>0</v>
      </c>
      <c r="AV180" s="231">
        <v>0</v>
      </c>
      <c r="AW180" s="231">
        <v>0</v>
      </c>
      <c r="AX180" s="231">
        <v>0</v>
      </c>
      <c r="AY180" s="231">
        <v>0</v>
      </c>
      <c r="AZ180" s="230">
        <v>0</v>
      </c>
      <c r="BA180" s="2" t="s">
        <v>1235</v>
      </c>
      <c r="BC180" s="2" t="s">
        <v>1448</v>
      </c>
    </row>
    <row r="181" spans="1:57" ht="15" customHeight="1" x14ac:dyDescent="0.25">
      <c r="A181" s="241" t="s">
        <v>299</v>
      </c>
      <c r="B181" s="2" t="s">
        <v>9</v>
      </c>
      <c r="D181" s="241" t="s">
        <v>300</v>
      </c>
      <c r="E181" s="241" t="s">
        <v>301</v>
      </c>
      <c r="F181" s="359">
        <v>43480</v>
      </c>
      <c r="H181" s="358" t="s">
        <v>1050</v>
      </c>
      <c r="I181" s="367" t="s">
        <v>1048</v>
      </c>
      <c r="J181" s="2">
        <v>522302</v>
      </c>
      <c r="K181" s="2">
        <v>176537</v>
      </c>
      <c r="L181" s="293"/>
      <c r="M181" s="364">
        <v>0</v>
      </c>
      <c r="N181" s="364">
        <v>0</v>
      </c>
      <c r="O181" s="364">
        <v>0</v>
      </c>
      <c r="P181" s="364">
        <v>0</v>
      </c>
      <c r="Q181" s="364"/>
      <c r="R181" s="364"/>
      <c r="S181" s="364"/>
      <c r="T181" s="365">
        <v>0</v>
      </c>
      <c r="U181" s="364"/>
      <c r="V181" s="364">
        <v>2</v>
      </c>
      <c r="W181" s="364">
        <v>4</v>
      </c>
      <c r="X181" s="364">
        <v>0</v>
      </c>
      <c r="Y181" s="364">
        <v>0</v>
      </c>
      <c r="Z181" s="364"/>
      <c r="AA181" s="364"/>
      <c r="AB181" s="364"/>
      <c r="AC181" s="365">
        <v>6</v>
      </c>
      <c r="AD181" s="364"/>
      <c r="AE181" s="364">
        <f t="shared" si="41"/>
        <v>2</v>
      </c>
      <c r="AF181" s="364">
        <f t="shared" si="42"/>
        <v>4</v>
      </c>
      <c r="AG181" s="364">
        <f t="shared" si="43"/>
        <v>0</v>
      </c>
      <c r="AH181" s="364">
        <f t="shared" si="44"/>
        <v>0</v>
      </c>
      <c r="AI181" s="364">
        <f t="shared" si="45"/>
        <v>0</v>
      </c>
      <c r="AJ181" s="364">
        <f t="shared" si="46"/>
        <v>0</v>
      </c>
      <c r="AK181" s="364">
        <f t="shared" si="47"/>
        <v>0</v>
      </c>
      <c r="AL181" s="348">
        <f t="shared" si="48"/>
        <v>6</v>
      </c>
      <c r="AM181" s="232"/>
      <c r="AN181" s="322">
        <v>0</v>
      </c>
      <c r="AO181" s="231">
        <v>0</v>
      </c>
      <c r="AP181" s="228">
        <v>6</v>
      </c>
      <c r="AQ181" s="231">
        <v>0</v>
      </c>
      <c r="AR181" s="231">
        <v>0</v>
      </c>
      <c r="AS181" s="231">
        <v>0</v>
      </c>
      <c r="AT181" s="231">
        <v>0</v>
      </c>
      <c r="AU181" s="323" t="s">
        <v>39</v>
      </c>
      <c r="AV181" s="231">
        <v>0</v>
      </c>
      <c r="AW181" s="231">
        <v>0</v>
      </c>
      <c r="AX181" s="231">
        <v>0</v>
      </c>
      <c r="AY181" s="231">
        <v>0</v>
      </c>
      <c r="AZ181" s="230">
        <v>0</v>
      </c>
      <c r="BA181" s="2" t="s">
        <v>1225</v>
      </c>
      <c r="BC181" s="2" t="s">
        <v>1446</v>
      </c>
    </row>
    <row r="182" spans="1:57" ht="15" customHeight="1" x14ac:dyDescent="0.25">
      <c r="A182" s="241" t="s">
        <v>550</v>
      </c>
      <c r="B182" s="2" t="s">
        <v>9</v>
      </c>
      <c r="D182" s="241" t="s">
        <v>551</v>
      </c>
      <c r="E182" s="241" t="s">
        <v>552</v>
      </c>
      <c r="F182" s="359">
        <v>43374</v>
      </c>
      <c r="H182" s="358" t="s">
        <v>1050</v>
      </c>
      <c r="I182" s="367" t="s">
        <v>1048</v>
      </c>
      <c r="J182" s="2">
        <v>518953</v>
      </c>
      <c r="K182" s="2">
        <v>176997</v>
      </c>
      <c r="L182" s="293"/>
      <c r="M182" s="364">
        <v>0</v>
      </c>
      <c r="N182" s="364">
        <v>1</v>
      </c>
      <c r="O182" s="364">
        <v>0</v>
      </c>
      <c r="P182" s="364">
        <v>0</v>
      </c>
      <c r="Q182" s="364"/>
      <c r="R182" s="364"/>
      <c r="S182" s="364"/>
      <c r="T182" s="365">
        <v>1</v>
      </c>
      <c r="U182" s="364"/>
      <c r="V182" s="364">
        <v>0</v>
      </c>
      <c r="W182" s="364">
        <v>3</v>
      </c>
      <c r="X182" s="364">
        <v>0</v>
      </c>
      <c r="Y182" s="364">
        <v>0</v>
      </c>
      <c r="Z182" s="364"/>
      <c r="AA182" s="364"/>
      <c r="AB182" s="364"/>
      <c r="AC182" s="365">
        <v>3</v>
      </c>
      <c r="AD182" s="364"/>
      <c r="AE182" s="364">
        <f t="shared" si="41"/>
        <v>0</v>
      </c>
      <c r="AF182" s="364">
        <f t="shared" si="42"/>
        <v>2</v>
      </c>
      <c r="AG182" s="364">
        <f t="shared" si="43"/>
        <v>0</v>
      </c>
      <c r="AH182" s="364">
        <f t="shared" si="44"/>
        <v>0</v>
      </c>
      <c r="AI182" s="364">
        <f t="shared" si="45"/>
        <v>0</v>
      </c>
      <c r="AJ182" s="364">
        <f t="shared" si="46"/>
        <v>0</v>
      </c>
      <c r="AK182" s="364">
        <f t="shared" si="47"/>
        <v>0</v>
      </c>
      <c r="AL182" s="348">
        <f t="shared" si="48"/>
        <v>2</v>
      </c>
      <c r="AM182" s="232"/>
      <c r="AN182" s="322">
        <v>0</v>
      </c>
      <c r="AO182" s="231">
        <v>2</v>
      </c>
      <c r="AP182" s="228">
        <v>0</v>
      </c>
      <c r="AQ182" s="231">
        <v>0</v>
      </c>
      <c r="AR182" s="231">
        <v>0</v>
      </c>
      <c r="AS182" s="231">
        <v>0</v>
      </c>
      <c r="AT182" s="231">
        <v>0</v>
      </c>
      <c r="AU182" s="323">
        <v>0</v>
      </c>
      <c r="AV182" s="231">
        <v>0</v>
      </c>
      <c r="AW182" s="231">
        <v>0</v>
      </c>
      <c r="AX182" s="231">
        <v>0</v>
      </c>
      <c r="AY182" s="231">
        <v>0</v>
      </c>
      <c r="AZ182" s="230">
        <v>0</v>
      </c>
      <c r="BA182" s="2" t="s">
        <v>1232</v>
      </c>
    </row>
    <row r="183" spans="1:57" ht="15" customHeight="1" x14ac:dyDescent="0.25">
      <c r="A183" s="241" t="s">
        <v>613</v>
      </c>
      <c r="B183" s="2" t="s">
        <v>9</v>
      </c>
      <c r="D183" s="241" t="s">
        <v>614</v>
      </c>
      <c r="E183" s="241" t="s">
        <v>615</v>
      </c>
      <c r="F183" s="373">
        <v>43013</v>
      </c>
      <c r="H183" s="358" t="s">
        <v>1050</v>
      </c>
      <c r="I183" s="367" t="s">
        <v>1048</v>
      </c>
      <c r="J183" s="2">
        <v>516802</v>
      </c>
      <c r="K183" s="2">
        <v>171333</v>
      </c>
      <c r="L183" s="293"/>
      <c r="M183" s="364">
        <v>0</v>
      </c>
      <c r="N183" s="364">
        <v>0</v>
      </c>
      <c r="O183" s="364">
        <v>0</v>
      </c>
      <c r="P183" s="364">
        <v>0</v>
      </c>
      <c r="Q183" s="364"/>
      <c r="R183" s="364"/>
      <c r="S183" s="364"/>
      <c r="T183" s="365">
        <v>0</v>
      </c>
      <c r="U183" s="364"/>
      <c r="V183" s="364">
        <v>23</v>
      </c>
      <c r="W183" s="364">
        <v>65</v>
      </c>
      <c r="X183" s="364">
        <v>52</v>
      </c>
      <c r="Y183" s="364">
        <v>6</v>
      </c>
      <c r="Z183" s="364"/>
      <c r="AA183" s="364"/>
      <c r="AB183" s="364"/>
      <c r="AC183" s="365">
        <v>146</v>
      </c>
      <c r="AD183" s="364"/>
      <c r="AE183" s="364">
        <f t="shared" si="41"/>
        <v>23</v>
      </c>
      <c r="AF183" s="364">
        <f t="shared" si="42"/>
        <v>65</v>
      </c>
      <c r="AG183" s="364">
        <f t="shared" si="43"/>
        <v>52</v>
      </c>
      <c r="AH183" s="364">
        <f t="shared" si="44"/>
        <v>6</v>
      </c>
      <c r="AI183" s="364">
        <f t="shared" si="45"/>
        <v>0</v>
      </c>
      <c r="AJ183" s="364">
        <f t="shared" si="46"/>
        <v>0</v>
      </c>
      <c r="AK183" s="364">
        <f t="shared" si="47"/>
        <v>0</v>
      </c>
      <c r="AL183" s="348">
        <f t="shared" si="48"/>
        <v>146</v>
      </c>
      <c r="AM183" s="232"/>
      <c r="AN183" s="322">
        <v>0</v>
      </c>
      <c r="AO183" s="231">
        <v>0</v>
      </c>
      <c r="AP183" s="228">
        <v>73</v>
      </c>
      <c r="AQ183" s="231">
        <v>73</v>
      </c>
      <c r="AR183" s="231">
        <v>0</v>
      </c>
      <c r="AS183" s="231">
        <v>0</v>
      </c>
      <c r="AT183" s="231">
        <v>0</v>
      </c>
      <c r="AU183" s="323" t="s">
        <v>39</v>
      </c>
      <c r="AV183" s="231">
        <v>0</v>
      </c>
      <c r="AW183" s="231">
        <v>0</v>
      </c>
      <c r="AX183" s="231">
        <v>0</v>
      </c>
      <c r="AY183" s="231">
        <v>0</v>
      </c>
      <c r="AZ183" s="230">
        <v>0</v>
      </c>
      <c r="BA183" s="2" t="s">
        <v>1215</v>
      </c>
      <c r="BE183" s="2" t="s">
        <v>1214</v>
      </c>
    </row>
    <row r="184" spans="1:57" ht="15" customHeight="1" x14ac:dyDescent="0.25">
      <c r="A184" s="241" t="s">
        <v>613</v>
      </c>
      <c r="B184" s="2" t="s">
        <v>9</v>
      </c>
      <c r="D184" s="241" t="s">
        <v>614</v>
      </c>
      <c r="E184" s="241" t="s">
        <v>615</v>
      </c>
      <c r="F184" s="373">
        <v>43013</v>
      </c>
      <c r="H184" s="358" t="s">
        <v>1050</v>
      </c>
      <c r="I184" s="350" t="s">
        <v>1047</v>
      </c>
      <c r="J184" s="2">
        <v>516802</v>
      </c>
      <c r="K184" s="2">
        <v>171333</v>
      </c>
      <c r="L184" s="293"/>
      <c r="M184" s="364">
        <v>0</v>
      </c>
      <c r="N184" s="364">
        <v>0</v>
      </c>
      <c r="O184" s="364">
        <v>0</v>
      </c>
      <c r="P184" s="364">
        <v>0</v>
      </c>
      <c r="Q184" s="364"/>
      <c r="R184" s="364"/>
      <c r="S184" s="364"/>
      <c r="T184" s="365">
        <v>0</v>
      </c>
      <c r="U184" s="364"/>
      <c r="V184" s="364">
        <v>4</v>
      </c>
      <c r="W184" s="364">
        <v>11</v>
      </c>
      <c r="X184" s="364">
        <v>0</v>
      </c>
      <c r="Y184" s="364">
        <v>0</v>
      </c>
      <c r="Z184" s="364"/>
      <c r="AA184" s="364"/>
      <c r="AB184" s="364"/>
      <c r="AC184" s="365">
        <v>15</v>
      </c>
      <c r="AD184" s="364"/>
      <c r="AE184" s="364">
        <f t="shared" si="41"/>
        <v>4</v>
      </c>
      <c r="AF184" s="364">
        <f t="shared" si="42"/>
        <v>11</v>
      </c>
      <c r="AG184" s="364">
        <f t="shared" si="43"/>
        <v>0</v>
      </c>
      <c r="AH184" s="364">
        <f t="shared" si="44"/>
        <v>0</v>
      </c>
      <c r="AI184" s="364">
        <f t="shared" si="45"/>
        <v>0</v>
      </c>
      <c r="AJ184" s="364">
        <f t="shared" si="46"/>
        <v>0</v>
      </c>
      <c r="AK184" s="364">
        <f t="shared" si="47"/>
        <v>0</v>
      </c>
      <c r="AL184" s="348">
        <f t="shared" si="48"/>
        <v>15</v>
      </c>
      <c r="AM184" s="317"/>
      <c r="AN184" s="322">
        <v>0</v>
      </c>
      <c r="AO184" s="231">
        <v>15</v>
      </c>
      <c r="AP184" s="228">
        <v>0</v>
      </c>
      <c r="AQ184" s="231">
        <v>0</v>
      </c>
      <c r="AR184" s="231">
        <v>0</v>
      </c>
      <c r="AS184" s="231">
        <v>0</v>
      </c>
      <c r="AT184" s="231">
        <v>0</v>
      </c>
      <c r="AU184" s="323">
        <v>0</v>
      </c>
      <c r="AV184" s="231">
        <v>0</v>
      </c>
      <c r="AW184" s="231">
        <v>0</v>
      </c>
      <c r="AX184" s="231">
        <v>0</v>
      </c>
      <c r="AY184" s="231">
        <v>0</v>
      </c>
      <c r="AZ184" s="230">
        <v>0</v>
      </c>
      <c r="BA184" s="2" t="s">
        <v>1215</v>
      </c>
      <c r="BE184" s="2" t="s">
        <v>1214</v>
      </c>
    </row>
    <row r="185" spans="1:57" ht="15" customHeight="1" x14ac:dyDescent="0.25">
      <c r="A185" s="241" t="s">
        <v>787</v>
      </c>
      <c r="B185" s="2" t="s">
        <v>26</v>
      </c>
      <c r="D185" s="241" t="s">
        <v>1566</v>
      </c>
      <c r="E185" s="241" t="s">
        <v>788</v>
      </c>
      <c r="F185" s="359">
        <v>43479</v>
      </c>
      <c r="H185" s="358" t="s">
        <v>1050</v>
      </c>
      <c r="I185" s="367" t="s">
        <v>1048</v>
      </c>
      <c r="J185" s="2">
        <v>512735</v>
      </c>
      <c r="K185" s="2">
        <v>169696</v>
      </c>
      <c r="L185" s="293"/>
      <c r="M185" s="364">
        <v>0</v>
      </c>
      <c r="N185" s="364">
        <v>1</v>
      </c>
      <c r="O185" s="364">
        <v>0</v>
      </c>
      <c r="P185" s="364">
        <v>0</v>
      </c>
      <c r="Q185" s="364"/>
      <c r="R185" s="364"/>
      <c r="S185" s="364"/>
      <c r="T185" s="365">
        <v>1</v>
      </c>
      <c r="U185" s="364"/>
      <c r="V185" s="364">
        <v>0</v>
      </c>
      <c r="W185" s="364">
        <v>0</v>
      </c>
      <c r="X185" s="364">
        <v>0</v>
      </c>
      <c r="Y185" s="364">
        <v>0</v>
      </c>
      <c r="Z185" s="364"/>
      <c r="AA185" s="364"/>
      <c r="AB185" s="364"/>
      <c r="AC185" s="365">
        <v>0</v>
      </c>
      <c r="AD185" s="364"/>
      <c r="AE185" s="364">
        <f t="shared" si="41"/>
        <v>0</v>
      </c>
      <c r="AF185" s="364">
        <f t="shared" si="42"/>
        <v>-1</v>
      </c>
      <c r="AG185" s="364">
        <f t="shared" si="43"/>
        <v>0</v>
      </c>
      <c r="AH185" s="364">
        <f t="shared" si="44"/>
        <v>0</v>
      </c>
      <c r="AI185" s="364">
        <f t="shared" si="45"/>
        <v>0</v>
      </c>
      <c r="AJ185" s="364">
        <f t="shared" si="46"/>
        <v>0</v>
      </c>
      <c r="AK185" s="364">
        <f t="shared" si="47"/>
        <v>0</v>
      </c>
      <c r="AL185" s="348">
        <f t="shared" si="48"/>
        <v>-1</v>
      </c>
      <c r="AM185" s="232"/>
      <c r="AN185" s="322">
        <v>0</v>
      </c>
      <c r="AO185" s="231">
        <v>-1</v>
      </c>
      <c r="AP185" s="228">
        <v>0</v>
      </c>
      <c r="AQ185" s="231">
        <v>0</v>
      </c>
      <c r="AR185" s="231">
        <v>0</v>
      </c>
      <c r="AS185" s="231">
        <v>0</v>
      </c>
      <c r="AT185" s="231">
        <v>0</v>
      </c>
      <c r="AU185" s="323">
        <v>0</v>
      </c>
      <c r="AV185" s="231">
        <v>0</v>
      </c>
      <c r="AW185" s="231">
        <v>0</v>
      </c>
      <c r="AX185" s="231">
        <v>0</v>
      </c>
      <c r="AY185" s="231">
        <v>0</v>
      </c>
      <c r="AZ185" s="230">
        <v>0</v>
      </c>
      <c r="BA185" s="2" t="s">
        <v>1229</v>
      </c>
      <c r="BB185" s="232" t="s">
        <v>39</v>
      </c>
    </row>
    <row r="186" spans="1:57" ht="15" customHeight="1" x14ac:dyDescent="0.25">
      <c r="A186" s="241" t="s">
        <v>414</v>
      </c>
      <c r="B186" s="2" t="s">
        <v>9</v>
      </c>
      <c r="D186" s="241" t="s">
        <v>415</v>
      </c>
      <c r="E186" s="241" t="s">
        <v>416</v>
      </c>
      <c r="H186" s="358" t="s">
        <v>1050</v>
      </c>
      <c r="I186" s="367" t="s">
        <v>1048</v>
      </c>
      <c r="J186" s="2">
        <v>519840</v>
      </c>
      <c r="K186" s="2">
        <v>175428</v>
      </c>
      <c r="L186" s="293"/>
      <c r="M186" s="364">
        <v>0</v>
      </c>
      <c r="N186" s="364">
        <v>0</v>
      </c>
      <c r="O186" s="364">
        <v>0</v>
      </c>
      <c r="P186" s="364">
        <v>0</v>
      </c>
      <c r="Q186" s="364"/>
      <c r="R186" s="364"/>
      <c r="S186" s="364"/>
      <c r="T186" s="365">
        <v>0</v>
      </c>
      <c r="U186" s="364"/>
      <c r="V186" s="364">
        <v>0</v>
      </c>
      <c r="W186" s="364">
        <v>0</v>
      </c>
      <c r="X186" s="364">
        <v>0</v>
      </c>
      <c r="Y186" s="364">
        <v>2</v>
      </c>
      <c r="Z186" s="364"/>
      <c r="AA186" s="364"/>
      <c r="AB186" s="364"/>
      <c r="AC186" s="365">
        <v>2</v>
      </c>
      <c r="AD186" s="364"/>
      <c r="AE186" s="364">
        <f t="shared" si="41"/>
        <v>0</v>
      </c>
      <c r="AF186" s="364">
        <f t="shared" si="42"/>
        <v>0</v>
      </c>
      <c r="AG186" s="364">
        <f t="shared" si="43"/>
        <v>0</v>
      </c>
      <c r="AH186" s="364">
        <f t="shared" si="44"/>
        <v>2</v>
      </c>
      <c r="AI186" s="364">
        <f t="shared" si="45"/>
        <v>0</v>
      </c>
      <c r="AJ186" s="364">
        <f t="shared" si="46"/>
        <v>0</v>
      </c>
      <c r="AK186" s="364">
        <f t="shared" si="47"/>
        <v>0</v>
      </c>
      <c r="AL186" s="348">
        <f t="shared" si="48"/>
        <v>2</v>
      </c>
      <c r="AM186" s="232"/>
      <c r="AN186" s="322">
        <v>0</v>
      </c>
      <c r="AO186" s="231">
        <v>2</v>
      </c>
      <c r="AP186" s="228">
        <v>0</v>
      </c>
      <c r="AQ186" s="231">
        <v>0</v>
      </c>
      <c r="AR186" s="231">
        <v>0</v>
      </c>
      <c r="AS186" s="231">
        <v>0</v>
      </c>
      <c r="AT186" s="231">
        <v>0</v>
      </c>
      <c r="AU186" s="323">
        <v>0</v>
      </c>
      <c r="AV186" s="231">
        <v>0</v>
      </c>
      <c r="AW186" s="231">
        <v>0</v>
      </c>
      <c r="AX186" s="231">
        <v>0</v>
      </c>
      <c r="AY186" s="231">
        <v>0</v>
      </c>
      <c r="AZ186" s="230">
        <v>0</v>
      </c>
      <c r="BA186" s="2" t="s">
        <v>1234</v>
      </c>
    </row>
    <row r="187" spans="1:57" ht="15" customHeight="1" x14ac:dyDescent="0.25">
      <c r="A187" s="241" t="s">
        <v>431</v>
      </c>
      <c r="B187" s="2" t="s">
        <v>9</v>
      </c>
      <c r="D187" s="241" t="s">
        <v>432</v>
      </c>
      <c r="E187" s="241" t="s">
        <v>433</v>
      </c>
      <c r="F187" s="359">
        <v>43435</v>
      </c>
      <c r="H187" s="358" t="s">
        <v>1050</v>
      </c>
      <c r="I187" s="367" t="s">
        <v>1048</v>
      </c>
      <c r="J187" s="2">
        <v>520119</v>
      </c>
      <c r="K187" s="2">
        <v>174521</v>
      </c>
      <c r="L187" s="293"/>
      <c r="M187" s="364">
        <v>0</v>
      </c>
      <c r="N187" s="364">
        <v>0</v>
      </c>
      <c r="O187" s="364">
        <v>0</v>
      </c>
      <c r="P187" s="364">
        <v>0</v>
      </c>
      <c r="Q187" s="364">
        <v>1</v>
      </c>
      <c r="R187" s="364"/>
      <c r="S187" s="364"/>
      <c r="T187" s="365">
        <v>1</v>
      </c>
      <c r="U187" s="364"/>
      <c r="V187" s="364">
        <v>0</v>
      </c>
      <c r="W187" s="364">
        <v>0</v>
      </c>
      <c r="X187" s="364">
        <v>0</v>
      </c>
      <c r="Y187" s="364">
        <v>0</v>
      </c>
      <c r="Z187" s="364"/>
      <c r="AA187" s="372">
        <v>1</v>
      </c>
      <c r="AB187" s="364"/>
      <c r="AC187" s="365">
        <v>1</v>
      </c>
      <c r="AD187" s="364"/>
      <c r="AE187" s="364">
        <f t="shared" si="41"/>
        <v>0</v>
      </c>
      <c r="AF187" s="364">
        <f t="shared" si="42"/>
        <v>0</v>
      </c>
      <c r="AG187" s="364">
        <f t="shared" si="43"/>
        <v>0</v>
      </c>
      <c r="AH187" s="364">
        <f t="shared" si="44"/>
        <v>0</v>
      </c>
      <c r="AI187" s="364">
        <f t="shared" si="45"/>
        <v>-1</v>
      </c>
      <c r="AJ187" s="364">
        <f t="shared" si="46"/>
        <v>1</v>
      </c>
      <c r="AK187" s="364">
        <f t="shared" si="47"/>
        <v>0</v>
      </c>
      <c r="AL187" s="348">
        <f t="shared" si="48"/>
        <v>0</v>
      </c>
      <c r="AM187" s="232"/>
      <c r="AN187" s="322">
        <v>0</v>
      </c>
      <c r="AO187" s="231">
        <v>0</v>
      </c>
      <c r="AP187" s="228">
        <v>0</v>
      </c>
      <c r="AQ187" s="231">
        <v>0</v>
      </c>
      <c r="AR187" s="231">
        <v>0</v>
      </c>
      <c r="AS187" s="231">
        <v>0</v>
      </c>
      <c r="AT187" s="231">
        <v>0</v>
      </c>
      <c r="AU187" s="323">
        <v>0</v>
      </c>
      <c r="AV187" s="231">
        <v>0</v>
      </c>
      <c r="AW187" s="231">
        <v>0</v>
      </c>
      <c r="AX187" s="231">
        <v>0</v>
      </c>
      <c r="AY187" s="231">
        <v>0</v>
      </c>
      <c r="AZ187" s="230">
        <v>0</v>
      </c>
      <c r="BA187" s="2" t="s">
        <v>1212</v>
      </c>
    </row>
    <row r="188" spans="1:57" ht="15" customHeight="1" x14ac:dyDescent="0.25">
      <c r="A188" s="241" t="s">
        <v>519</v>
      </c>
      <c r="B188" s="2" t="s">
        <v>5</v>
      </c>
      <c r="D188" s="241" t="s">
        <v>520</v>
      </c>
      <c r="E188" s="241" t="s">
        <v>521</v>
      </c>
      <c r="F188" s="359">
        <v>43525</v>
      </c>
      <c r="H188" s="358" t="s">
        <v>1050</v>
      </c>
      <c r="I188" s="367" t="s">
        <v>1048</v>
      </c>
      <c r="J188" s="2">
        <v>518396</v>
      </c>
      <c r="K188" s="2">
        <v>174632</v>
      </c>
      <c r="L188" s="293"/>
      <c r="M188" s="364">
        <v>2</v>
      </c>
      <c r="N188" s="364">
        <v>1</v>
      </c>
      <c r="O188" s="364">
        <v>0</v>
      </c>
      <c r="P188" s="364">
        <v>0</v>
      </c>
      <c r="Q188" s="364"/>
      <c r="R188" s="364"/>
      <c r="S188" s="364"/>
      <c r="T188" s="365">
        <v>3</v>
      </c>
      <c r="U188" s="364"/>
      <c r="V188" s="364">
        <v>0</v>
      </c>
      <c r="W188" s="364">
        <v>0</v>
      </c>
      <c r="X188" s="364">
        <v>0</v>
      </c>
      <c r="Y188" s="364">
        <v>0</v>
      </c>
      <c r="Z188" s="372">
        <v>1</v>
      </c>
      <c r="AA188" s="364"/>
      <c r="AB188" s="364"/>
      <c r="AC188" s="365">
        <v>1</v>
      </c>
      <c r="AD188" s="364"/>
      <c r="AE188" s="364">
        <f t="shared" ref="AE188:AE219" si="49">V188-M188</f>
        <v>-2</v>
      </c>
      <c r="AF188" s="364">
        <f t="shared" ref="AF188:AF219" si="50">W188-N188</f>
        <v>-1</v>
      </c>
      <c r="AG188" s="364">
        <f t="shared" ref="AG188:AG219" si="51">X188-O188</f>
        <v>0</v>
      </c>
      <c r="AH188" s="364">
        <f t="shared" ref="AH188:AH219" si="52">Y188-P188</f>
        <v>0</v>
      </c>
      <c r="AI188" s="364">
        <f t="shared" ref="AI188:AI219" si="53">Z188-Q188</f>
        <v>1</v>
      </c>
      <c r="AJ188" s="364">
        <f t="shared" ref="AJ188:AJ219" si="54">AA188-R188</f>
        <v>0</v>
      </c>
      <c r="AK188" s="364">
        <f t="shared" ref="AK188:AK219" si="55">AB188-S188</f>
        <v>0</v>
      </c>
      <c r="AL188" s="348">
        <f t="shared" si="48"/>
        <v>-2</v>
      </c>
      <c r="AM188" s="317"/>
      <c r="AN188" s="322">
        <v>0</v>
      </c>
      <c r="AO188" s="231">
        <v>-2</v>
      </c>
      <c r="AP188" s="228">
        <v>0</v>
      </c>
      <c r="AQ188" s="231">
        <v>0</v>
      </c>
      <c r="AR188" s="231">
        <v>0</v>
      </c>
      <c r="AS188" s="231">
        <v>0</v>
      </c>
      <c r="AT188" s="231">
        <v>0</v>
      </c>
      <c r="AU188" s="323">
        <v>0</v>
      </c>
      <c r="AV188" s="231">
        <v>0</v>
      </c>
      <c r="AW188" s="231">
        <v>0</v>
      </c>
      <c r="AX188" s="231">
        <v>0</v>
      </c>
      <c r="AY188" s="231">
        <v>0</v>
      </c>
      <c r="AZ188" s="230">
        <v>0</v>
      </c>
      <c r="BA188" s="2" t="s">
        <v>1235</v>
      </c>
    </row>
    <row r="189" spans="1:57" ht="15" customHeight="1" x14ac:dyDescent="0.25">
      <c r="A189" s="241" t="s">
        <v>457</v>
      </c>
      <c r="B189" s="2" t="s">
        <v>9</v>
      </c>
      <c r="D189" s="241" t="s">
        <v>456</v>
      </c>
      <c r="E189" s="241" t="s">
        <v>458</v>
      </c>
      <c r="F189" s="371">
        <v>43434</v>
      </c>
      <c r="H189" s="358" t="s">
        <v>1050</v>
      </c>
      <c r="I189" s="367" t="s">
        <v>1048</v>
      </c>
      <c r="J189" s="2">
        <v>517655</v>
      </c>
      <c r="K189" s="2">
        <v>172610</v>
      </c>
      <c r="L189" s="293"/>
      <c r="M189" s="364">
        <v>0</v>
      </c>
      <c r="N189" s="364">
        <v>0</v>
      </c>
      <c r="O189" s="364">
        <v>1</v>
      </c>
      <c r="P189" s="364">
        <v>0</v>
      </c>
      <c r="Q189" s="364"/>
      <c r="R189" s="364"/>
      <c r="S189" s="364"/>
      <c r="T189" s="365">
        <v>1</v>
      </c>
      <c r="U189" s="364"/>
      <c r="V189" s="364">
        <v>0</v>
      </c>
      <c r="W189" s="364">
        <v>0</v>
      </c>
      <c r="X189" s="364">
        <v>0</v>
      </c>
      <c r="Y189" s="364">
        <v>0</v>
      </c>
      <c r="Z189" s="372">
        <v>1</v>
      </c>
      <c r="AA189" s="364"/>
      <c r="AB189" s="364"/>
      <c r="AC189" s="365">
        <v>1</v>
      </c>
      <c r="AD189" s="364"/>
      <c r="AE189" s="364">
        <f t="shared" si="49"/>
        <v>0</v>
      </c>
      <c r="AF189" s="364">
        <f t="shared" si="50"/>
        <v>0</v>
      </c>
      <c r="AG189" s="364">
        <f t="shared" si="51"/>
        <v>-1</v>
      </c>
      <c r="AH189" s="364">
        <f t="shared" si="52"/>
        <v>0</v>
      </c>
      <c r="AI189" s="364">
        <f t="shared" si="53"/>
        <v>1</v>
      </c>
      <c r="AJ189" s="364">
        <f t="shared" si="54"/>
        <v>0</v>
      </c>
      <c r="AK189" s="364">
        <f t="shared" si="55"/>
        <v>0</v>
      </c>
      <c r="AL189" s="348">
        <f t="shared" ref="AL189:AL220" si="56">AC189-T189</f>
        <v>0</v>
      </c>
      <c r="AM189" s="232"/>
      <c r="AN189" s="322">
        <v>0</v>
      </c>
      <c r="AO189" s="231">
        <v>0</v>
      </c>
      <c r="AP189" s="228">
        <v>0</v>
      </c>
      <c r="AQ189" s="231">
        <v>0</v>
      </c>
      <c r="AR189" s="231">
        <v>0</v>
      </c>
      <c r="AS189" s="231">
        <v>0</v>
      </c>
      <c r="AT189" s="231">
        <v>0</v>
      </c>
      <c r="AU189" s="323">
        <v>0</v>
      </c>
      <c r="AV189" s="231">
        <v>0</v>
      </c>
      <c r="AW189" s="231">
        <v>0</v>
      </c>
      <c r="AX189" s="231">
        <v>0</v>
      </c>
      <c r="AY189" s="231">
        <v>0</v>
      </c>
      <c r="AZ189" s="230">
        <v>0</v>
      </c>
      <c r="BA189" s="2" t="s">
        <v>1443</v>
      </c>
    </row>
    <row r="190" spans="1:57" ht="15" customHeight="1" x14ac:dyDescent="0.25">
      <c r="A190" s="241" t="s">
        <v>195</v>
      </c>
      <c r="B190" s="2" t="s">
        <v>9</v>
      </c>
      <c r="D190" s="241" t="s">
        <v>434</v>
      </c>
      <c r="E190" s="241" t="s">
        <v>196</v>
      </c>
      <c r="F190" s="371">
        <v>42492</v>
      </c>
      <c r="H190" s="358" t="s">
        <v>1050</v>
      </c>
      <c r="I190" s="367" t="s">
        <v>1048</v>
      </c>
      <c r="J190" s="2">
        <v>518534</v>
      </c>
      <c r="K190" s="2">
        <v>171320</v>
      </c>
      <c r="L190" s="293"/>
      <c r="M190" s="364">
        <v>0</v>
      </c>
      <c r="N190" s="364">
        <v>0</v>
      </c>
      <c r="O190" s="364">
        <v>0</v>
      </c>
      <c r="P190" s="364">
        <v>0</v>
      </c>
      <c r="Q190" s="364"/>
      <c r="R190" s="364"/>
      <c r="S190" s="364"/>
      <c r="T190" s="365">
        <v>0</v>
      </c>
      <c r="U190" s="364"/>
      <c r="V190" s="364">
        <v>1</v>
      </c>
      <c r="W190" s="364">
        <v>4</v>
      </c>
      <c r="X190" s="364">
        <v>2</v>
      </c>
      <c r="Y190" s="364">
        <v>6</v>
      </c>
      <c r="Z190" s="364">
        <v>4</v>
      </c>
      <c r="AA190" s="364"/>
      <c r="AB190" s="364"/>
      <c r="AC190" s="365">
        <f>SUM(V190:AA190)</f>
        <v>17</v>
      </c>
      <c r="AD190" s="364"/>
      <c r="AE190" s="364">
        <f t="shared" si="49"/>
        <v>1</v>
      </c>
      <c r="AF190" s="364">
        <f t="shared" si="50"/>
        <v>4</v>
      </c>
      <c r="AG190" s="364">
        <f t="shared" si="51"/>
        <v>2</v>
      </c>
      <c r="AH190" s="364">
        <f t="shared" si="52"/>
        <v>6</v>
      </c>
      <c r="AI190" s="364">
        <f t="shared" si="53"/>
        <v>4</v>
      </c>
      <c r="AJ190" s="364">
        <f t="shared" si="54"/>
        <v>0</v>
      </c>
      <c r="AK190" s="364">
        <f t="shared" si="55"/>
        <v>0</v>
      </c>
      <c r="AL190" s="348">
        <f t="shared" si="56"/>
        <v>17</v>
      </c>
      <c r="AM190" s="232"/>
      <c r="AN190" s="322">
        <v>0</v>
      </c>
      <c r="AO190" s="231">
        <v>0</v>
      </c>
      <c r="AP190" s="228">
        <v>17</v>
      </c>
      <c r="AQ190" s="231">
        <v>0</v>
      </c>
      <c r="AR190" s="231">
        <v>0</v>
      </c>
      <c r="AS190" s="231">
        <v>0</v>
      </c>
      <c r="AT190" s="231">
        <v>0</v>
      </c>
      <c r="AU190" s="323" t="s">
        <v>39</v>
      </c>
      <c r="AV190" s="231">
        <v>0</v>
      </c>
      <c r="AW190" s="231">
        <v>0</v>
      </c>
      <c r="AX190" s="231">
        <v>0</v>
      </c>
      <c r="AY190" s="231">
        <v>0</v>
      </c>
      <c r="AZ190" s="230">
        <v>0</v>
      </c>
      <c r="BA190" s="2" t="s">
        <v>1443</v>
      </c>
    </row>
    <row r="191" spans="1:57" ht="15" customHeight="1" x14ac:dyDescent="0.25">
      <c r="A191" s="241" t="s">
        <v>322</v>
      </c>
      <c r="B191" s="2" t="s">
        <v>26</v>
      </c>
      <c r="D191" s="241" t="s">
        <v>323</v>
      </c>
      <c r="E191" s="241" t="s">
        <v>324</v>
      </c>
      <c r="F191" s="371">
        <v>43347</v>
      </c>
      <c r="H191" s="358" t="s">
        <v>1050</v>
      </c>
      <c r="I191" s="367" t="s">
        <v>1048</v>
      </c>
      <c r="J191" s="2">
        <v>521310</v>
      </c>
      <c r="K191" s="2">
        <v>175864</v>
      </c>
      <c r="L191" s="293"/>
      <c r="M191" s="364">
        <v>0</v>
      </c>
      <c r="N191" s="364">
        <v>0</v>
      </c>
      <c r="O191" s="364">
        <v>0</v>
      </c>
      <c r="P191" s="364">
        <v>0</v>
      </c>
      <c r="Q191" s="364"/>
      <c r="R191" s="364"/>
      <c r="S191" s="364"/>
      <c r="T191" s="365">
        <v>0</v>
      </c>
      <c r="U191" s="364">
        <v>1</v>
      </c>
      <c r="V191" s="364">
        <v>0</v>
      </c>
      <c r="W191" s="364">
        <v>0</v>
      </c>
      <c r="X191" s="364">
        <v>0</v>
      </c>
      <c r="Y191" s="364">
        <v>0</v>
      </c>
      <c r="Z191" s="364"/>
      <c r="AA191" s="364"/>
      <c r="AB191" s="364"/>
      <c r="AC191" s="365">
        <v>1</v>
      </c>
      <c r="AD191" s="364">
        <f>U191-L191</f>
        <v>1</v>
      </c>
      <c r="AE191" s="364">
        <f t="shared" si="49"/>
        <v>0</v>
      </c>
      <c r="AF191" s="364">
        <f t="shared" si="50"/>
        <v>0</v>
      </c>
      <c r="AG191" s="364">
        <f t="shared" si="51"/>
        <v>0</v>
      </c>
      <c r="AH191" s="364">
        <f t="shared" si="52"/>
        <v>0</v>
      </c>
      <c r="AI191" s="364">
        <f t="shared" si="53"/>
        <v>0</v>
      </c>
      <c r="AJ191" s="364">
        <f t="shared" si="54"/>
        <v>0</v>
      </c>
      <c r="AK191" s="364">
        <f t="shared" si="55"/>
        <v>0</v>
      </c>
      <c r="AL191" s="348">
        <f t="shared" si="56"/>
        <v>1</v>
      </c>
      <c r="AM191" s="232"/>
      <c r="AN191" s="322">
        <v>0</v>
      </c>
      <c r="AO191" s="231">
        <v>1</v>
      </c>
      <c r="AP191" s="228">
        <v>0</v>
      </c>
      <c r="AQ191" s="231">
        <v>0</v>
      </c>
      <c r="AR191" s="231">
        <v>0</v>
      </c>
      <c r="AS191" s="231">
        <v>0</v>
      </c>
      <c r="AT191" s="231">
        <v>0</v>
      </c>
      <c r="AU191" s="323">
        <v>0</v>
      </c>
      <c r="AV191" s="231">
        <v>0</v>
      </c>
      <c r="AW191" s="231">
        <v>0</v>
      </c>
      <c r="AX191" s="231">
        <v>0</v>
      </c>
      <c r="AY191" s="231">
        <v>0</v>
      </c>
      <c r="AZ191" s="230">
        <v>0</v>
      </c>
      <c r="BA191" s="2" t="s">
        <v>1267</v>
      </c>
      <c r="BC191" s="2" t="s">
        <v>1447</v>
      </c>
    </row>
    <row r="192" spans="1:57" ht="15" customHeight="1" x14ac:dyDescent="0.25">
      <c r="A192" s="241" t="s">
        <v>993</v>
      </c>
      <c r="B192" s="2" t="s">
        <v>26</v>
      </c>
      <c r="D192" s="241" t="s">
        <v>994</v>
      </c>
      <c r="E192" s="241" t="s">
        <v>995</v>
      </c>
      <c r="F192" s="359">
        <v>43496</v>
      </c>
      <c r="H192" s="358" t="s">
        <v>1050</v>
      </c>
      <c r="I192" s="367" t="s">
        <v>1048</v>
      </c>
      <c r="J192" s="2">
        <v>518267</v>
      </c>
      <c r="K192" s="2">
        <v>175282</v>
      </c>
      <c r="L192" s="293"/>
      <c r="M192" s="364">
        <v>1</v>
      </c>
      <c r="N192" s="364">
        <v>0</v>
      </c>
      <c r="O192" s="364">
        <v>0</v>
      </c>
      <c r="P192" s="364">
        <v>0</v>
      </c>
      <c r="Q192" s="372">
        <v>1</v>
      </c>
      <c r="R192" s="364"/>
      <c r="S192" s="364"/>
      <c r="T192" s="365">
        <v>2</v>
      </c>
      <c r="U192" s="364"/>
      <c r="V192" s="364">
        <v>1</v>
      </c>
      <c r="W192" s="364">
        <v>2</v>
      </c>
      <c r="X192" s="364">
        <v>0</v>
      </c>
      <c r="Y192" s="364">
        <v>0</v>
      </c>
      <c r="Z192" s="364"/>
      <c r="AA192" s="364"/>
      <c r="AB192" s="364"/>
      <c r="AC192" s="365">
        <v>3</v>
      </c>
      <c r="AD192" s="364"/>
      <c r="AE192" s="364">
        <f t="shared" si="49"/>
        <v>0</v>
      </c>
      <c r="AF192" s="364">
        <f t="shared" si="50"/>
        <v>2</v>
      </c>
      <c r="AG192" s="364">
        <f t="shared" si="51"/>
        <v>0</v>
      </c>
      <c r="AH192" s="364">
        <f t="shared" si="52"/>
        <v>0</v>
      </c>
      <c r="AI192" s="364">
        <f t="shared" si="53"/>
        <v>-1</v>
      </c>
      <c r="AJ192" s="364">
        <f t="shared" si="54"/>
        <v>0</v>
      </c>
      <c r="AK192" s="364">
        <f t="shared" si="55"/>
        <v>0</v>
      </c>
      <c r="AL192" s="348">
        <f t="shared" si="56"/>
        <v>1</v>
      </c>
      <c r="AN192" s="322">
        <v>0</v>
      </c>
      <c r="AO192" s="231">
        <v>1</v>
      </c>
      <c r="AP192" s="228">
        <v>0</v>
      </c>
      <c r="AQ192" s="231">
        <v>0</v>
      </c>
      <c r="AR192" s="231">
        <v>0</v>
      </c>
      <c r="AS192" s="231">
        <v>0</v>
      </c>
      <c r="AT192" s="231">
        <v>0</v>
      </c>
      <c r="AU192" s="242">
        <v>0</v>
      </c>
      <c r="AV192" s="231">
        <v>0</v>
      </c>
      <c r="AW192" s="231">
        <v>0</v>
      </c>
      <c r="AX192" s="231">
        <v>0</v>
      </c>
      <c r="AY192" s="231">
        <v>0</v>
      </c>
      <c r="AZ192" s="230">
        <v>0</v>
      </c>
      <c r="BA192" s="2" t="s">
        <v>1234</v>
      </c>
    </row>
    <row r="193" spans="1:58" ht="15" customHeight="1" x14ac:dyDescent="0.25">
      <c r="A193" s="241" t="s">
        <v>817</v>
      </c>
      <c r="B193" s="2" t="s">
        <v>9</v>
      </c>
      <c r="D193" s="241" t="s">
        <v>818</v>
      </c>
      <c r="E193" s="241" t="s">
        <v>819</v>
      </c>
      <c r="F193" s="371">
        <v>43501</v>
      </c>
      <c r="H193" s="358" t="s">
        <v>1050</v>
      </c>
      <c r="I193" s="367" t="s">
        <v>1048</v>
      </c>
      <c r="J193" s="2">
        <v>517531</v>
      </c>
      <c r="K193" s="2">
        <v>174067</v>
      </c>
      <c r="L193" s="293"/>
      <c r="M193" s="364">
        <v>0</v>
      </c>
      <c r="N193" s="364">
        <v>0</v>
      </c>
      <c r="O193" s="364">
        <v>0</v>
      </c>
      <c r="P193" s="364">
        <v>0</v>
      </c>
      <c r="Q193" s="364"/>
      <c r="R193" s="364"/>
      <c r="S193" s="364"/>
      <c r="T193" s="365">
        <v>0</v>
      </c>
      <c r="U193" s="364"/>
      <c r="V193" s="364">
        <v>0</v>
      </c>
      <c r="W193" s="364">
        <v>0</v>
      </c>
      <c r="X193" s="364">
        <v>1</v>
      </c>
      <c r="Y193" s="364">
        <v>0</v>
      </c>
      <c r="Z193" s="364"/>
      <c r="AA193" s="364"/>
      <c r="AB193" s="364"/>
      <c r="AC193" s="365">
        <v>1</v>
      </c>
      <c r="AD193" s="364"/>
      <c r="AE193" s="364">
        <f t="shared" si="49"/>
        <v>0</v>
      </c>
      <c r="AF193" s="364">
        <f t="shared" si="50"/>
        <v>0</v>
      </c>
      <c r="AG193" s="364">
        <f t="shared" si="51"/>
        <v>1</v>
      </c>
      <c r="AH193" s="364">
        <f t="shared" si="52"/>
        <v>0</v>
      </c>
      <c r="AI193" s="364">
        <f t="shared" si="53"/>
        <v>0</v>
      </c>
      <c r="AJ193" s="364">
        <f t="shared" si="54"/>
        <v>0</v>
      </c>
      <c r="AK193" s="364">
        <f t="shared" si="55"/>
        <v>0</v>
      </c>
      <c r="AL193" s="348">
        <f t="shared" si="56"/>
        <v>1</v>
      </c>
      <c r="AN193" s="322">
        <v>0</v>
      </c>
      <c r="AO193" s="231">
        <v>1</v>
      </c>
      <c r="AP193" s="228">
        <v>0</v>
      </c>
      <c r="AQ193" s="231">
        <v>0</v>
      </c>
      <c r="AR193" s="231">
        <v>0</v>
      </c>
      <c r="AS193" s="231">
        <v>0</v>
      </c>
      <c r="AT193" s="231">
        <v>0</v>
      </c>
      <c r="AU193" s="242">
        <v>0</v>
      </c>
      <c r="AV193" s="231">
        <v>0</v>
      </c>
      <c r="AW193" s="231">
        <v>0</v>
      </c>
      <c r="AX193" s="231">
        <v>0</v>
      </c>
      <c r="AY193" s="231">
        <v>0</v>
      </c>
      <c r="AZ193" s="230">
        <v>0</v>
      </c>
      <c r="BA193" s="2" t="s">
        <v>1238</v>
      </c>
      <c r="BF193" s="232" t="s">
        <v>39</v>
      </c>
    </row>
    <row r="194" spans="1:58" ht="15" customHeight="1" x14ac:dyDescent="0.25">
      <c r="A194" s="241" t="s">
        <v>328</v>
      </c>
      <c r="B194" s="2" t="s">
        <v>9</v>
      </c>
      <c r="D194" s="241" t="s">
        <v>329</v>
      </c>
      <c r="E194" s="241" t="s">
        <v>330</v>
      </c>
      <c r="F194" s="359">
        <v>43405</v>
      </c>
      <c r="H194" s="358" t="s">
        <v>1050</v>
      </c>
      <c r="I194" s="367" t="s">
        <v>1048</v>
      </c>
      <c r="J194" s="2">
        <v>521397</v>
      </c>
      <c r="K194" s="2">
        <v>175828</v>
      </c>
      <c r="L194" s="293"/>
      <c r="M194" s="364">
        <v>0</v>
      </c>
      <c r="N194" s="364">
        <v>0</v>
      </c>
      <c r="O194" s="364">
        <v>0</v>
      </c>
      <c r="P194" s="364">
        <v>0</v>
      </c>
      <c r="Q194" s="364"/>
      <c r="R194" s="364"/>
      <c r="S194" s="364"/>
      <c r="T194" s="365">
        <v>0</v>
      </c>
      <c r="U194" s="364"/>
      <c r="V194" s="364">
        <v>0</v>
      </c>
      <c r="W194" s="364">
        <v>0</v>
      </c>
      <c r="X194" s="364">
        <v>0</v>
      </c>
      <c r="Y194" s="364">
        <v>2</v>
      </c>
      <c r="Z194" s="364"/>
      <c r="AA194" s="364"/>
      <c r="AB194" s="364"/>
      <c r="AC194" s="365">
        <v>2</v>
      </c>
      <c r="AD194" s="364"/>
      <c r="AE194" s="364">
        <f t="shared" si="49"/>
        <v>0</v>
      </c>
      <c r="AF194" s="364">
        <f t="shared" si="50"/>
        <v>0</v>
      </c>
      <c r="AG194" s="364">
        <f t="shared" si="51"/>
        <v>0</v>
      </c>
      <c r="AH194" s="364">
        <f t="shared" si="52"/>
        <v>2</v>
      </c>
      <c r="AI194" s="364">
        <f t="shared" si="53"/>
        <v>0</v>
      </c>
      <c r="AJ194" s="364">
        <f t="shared" si="54"/>
        <v>0</v>
      </c>
      <c r="AK194" s="364">
        <f t="shared" si="55"/>
        <v>0</v>
      </c>
      <c r="AL194" s="348">
        <f t="shared" si="56"/>
        <v>2</v>
      </c>
      <c r="AM194" s="232"/>
      <c r="AN194" s="322">
        <v>0</v>
      </c>
      <c r="AO194" s="231">
        <v>0</v>
      </c>
      <c r="AP194" s="228">
        <v>2</v>
      </c>
      <c r="AQ194" s="231">
        <v>0</v>
      </c>
      <c r="AR194" s="231">
        <v>0</v>
      </c>
      <c r="AS194" s="231">
        <v>0</v>
      </c>
      <c r="AT194" s="231">
        <v>0</v>
      </c>
      <c r="AU194" s="323" t="s">
        <v>39</v>
      </c>
      <c r="AV194" s="231">
        <v>0</v>
      </c>
      <c r="AW194" s="231">
        <v>0</v>
      </c>
      <c r="AX194" s="231">
        <v>0</v>
      </c>
      <c r="AY194" s="231">
        <v>0</v>
      </c>
      <c r="AZ194" s="230">
        <v>0</v>
      </c>
      <c r="BA194" s="2" t="s">
        <v>1267</v>
      </c>
    </row>
    <row r="195" spans="1:58" ht="15" customHeight="1" x14ac:dyDescent="0.25">
      <c r="A195" s="241" t="s">
        <v>657</v>
      </c>
      <c r="B195" s="2" t="s">
        <v>9</v>
      </c>
      <c r="D195" s="241" t="s">
        <v>658</v>
      </c>
      <c r="E195" s="241" t="s">
        <v>659</v>
      </c>
      <c r="F195" s="371">
        <v>43509</v>
      </c>
      <c r="H195" s="358" t="s">
        <v>1050</v>
      </c>
      <c r="I195" s="367" t="s">
        <v>1491</v>
      </c>
      <c r="J195" s="2">
        <v>515649</v>
      </c>
      <c r="K195" s="2">
        <v>170638</v>
      </c>
      <c r="L195" s="293"/>
      <c r="M195" s="364">
        <v>0</v>
      </c>
      <c r="N195" s="364">
        <v>0</v>
      </c>
      <c r="O195" s="364">
        <v>1</v>
      </c>
      <c r="P195" s="364">
        <v>0</v>
      </c>
      <c r="Q195" s="364"/>
      <c r="R195" s="364"/>
      <c r="S195" s="364"/>
      <c r="T195" s="365">
        <v>1</v>
      </c>
      <c r="U195" s="364"/>
      <c r="V195" s="364">
        <v>0</v>
      </c>
      <c r="W195" s="364">
        <v>0</v>
      </c>
      <c r="X195" s="364">
        <v>0</v>
      </c>
      <c r="Y195" s="364">
        <v>0</v>
      </c>
      <c r="Z195" s="364"/>
      <c r="AA195" s="372">
        <v>1</v>
      </c>
      <c r="AB195" s="364"/>
      <c r="AC195" s="365">
        <v>1</v>
      </c>
      <c r="AD195" s="364"/>
      <c r="AE195" s="364">
        <f t="shared" si="49"/>
        <v>0</v>
      </c>
      <c r="AF195" s="364">
        <f t="shared" si="50"/>
        <v>0</v>
      </c>
      <c r="AG195" s="364">
        <f t="shared" si="51"/>
        <v>-1</v>
      </c>
      <c r="AH195" s="364">
        <f t="shared" si="52"/>
        <v>0</v>
      </c>
      <c r="AI195" s="364">
        <f t="shared" si="53"/>
        <v>0</v>
      </c>
      <c r="AJ195" s="364">
        <f t="shared" si="54"/>
        <v>1</v>
      </c>
      <c r="AK195" s="364">
        <f t="shared" si="55"/>
        <v>0</v>
      </c>
      <c r="AL195" s="348">
        <f t="shared" si="56"/>
        <v>0</v>
      </c>
      <c r="AM195" s="232"/>
      <c r="AN195" s="322">
        <v>0</v>
      </c>
      <c r="AO195" s="231">
        <v>0</v>
      </c>
      <c r="AP195" s="228">
        <v>0</v>
      </c>
      <c r="AQ195" s="231">
        <v>0</v>
      </c>
      <c r="AR195" s="231">
        <v>0</v>
      </c>
      <c r="AS195" s="231">
        <v>0</v>
      </c>
      <c r="AT195" s="231">
        <v>0</v>
      </c>
      <c r="AU195" s="323">
        <v>0</v>
      </c>
      <c r="AV195" s="231">
        <v>0</v>
      </c>
      <c r="AW195" s="231">
        <v>0</v>
      </c>
      <c r="AX195" s="231">
        <v>0</v>
      </c>
      <c r="AY195" s="231">
        <v>0</v>
      </c>
      <c r="AZ195" s="230">
        <v>0</v>
      </c>
      <c r="BA195" s="2" t="s">
        <v>1215</v>
      </c>
    </row>
    <row r="196" spans="1:58" ht="15" customHeight="1" x14ac:dyDescent="0.25">
      <c r="A196" s="241" t="s">
        <v>266</v>
      </c>
      <c r="B196" s="2" t="s">
        <v>9</v>
      </c>
      <c r="D196" s="241" t="s">
        <v>267</v>
      </c>
      <c r="E196" s="241" t="s">
        <v>268</v>
      </c>
      <c r="F196" s="359">
        <v>43525</v>
      </c>
      <c r="H196" s="358" t="s">
        <v>1050</v>
      </c>
      <c r="I196" s="367" t="s">
        <v>1048</v>
      </c>
      <c r="J196" s="2">
        <v>522397</v>
      </c>
      <c r="K196" s="2">
        <v>177790</v>
      </c>
      <c r="L196" s="293"/>
      <c r="M196" s="364">
        <v>0</v>
      </c>
      <c r="N196" s="364">
        <v>0</v>
      </c>
      <c r="O196" s="364">
        <v>0</v>
      </c>
      <c r="P196" s="364">
        <v>0</v>
      </c>
      <c r="Q196" s="364"/>
      <c r="R196" s="364"/>
      <c r="S196" s="364"/>
      <c r="T196" s="365">
        <v>0</v>
      </c>
      <c r="U196" s="364"/>
      <c r="V196" s="364">
        <v>0</v>
      </c>
      <c r="W196" s="364">
        <v>0</v>
      </c>
      <c r="X196" s="364">
        <v>1</v>
      </c>
      <c r="Y196" s="364">
        <v>0</v>
      </c>
      <c r="Z196" s="364"/>
      <c r="AA196" s="364"/>
      <c r="AB196" s="364"/>
      <c r="AC196" s="365">
        <v>1</v>
      </c>
      <c r="AD196" s="364"/>
      <c r="AE196" s="364">
        <f t="shared" si="49"/>
        <v>0</v>
      </c>
      <c r="AF196" s="364">
        <f t="shared" si="50"/>
        <v>0</v>
      </c>
      <c r="AG196" s="364">
        <f t="shared" si="51"/>
        <v>1</v>
      </c>
      <c r="AH196" s="364">
        <f t="shared" si="52"/>
        <v>0</v>
      </c>
      <c r="AI196" s="364">
        <f t="shared" si="53"/>
        <v>0</v>
      </c>
      <c r="AJ196" s="364">
        <f t="shared" si="54"/>
        <v>0</v>
      </c>
      <c r="AK196" s="364">
        <f t="shared" si="55"/>
        <v>0</v>
      </c>
      <c r="AL196" s="348">
        <f t="shared" si="56"/>
        <v>1</v>
      </c>
      <c r="AM196" s="232"/>
      <c r="AN196" s="322">
        <v>0</v>
      </c>
      <c r="AO196" s="231">
        <v>1</v>
      </c>
      <c r="AP196" s="228">
        <v>0</v>
      </c>
      <c r="AQ196" s="231">
        <v>0</v>
      </c>
      <c r="AR196" s="231">
        <v>0</v>
      </c>
      <c r="AS196" s="231">
        <v>0</v>
      </c>
      <c r="AT196" s="231">
        <v>0</v>
      </c>
      <c r="AU196" s="323">
        <v>0</v>
      </c>
      <c r="AV196" s="231">
        <v>0</v>
      </c>
      <c r="AW196" s="231">
        <v>0</v>
      </c>
      <c r="AX196" s="231">
        <v>0</v>
      </c>
      <c r="AY196" s="231">
        <v>0</v>
      </c>
      <c r="AZ196" s="230">
        <v>0</v>
      </c>
      <c r="BA196" s="2" t="s">
        <v>1225</v>
      </c>
    </row>
    <row r="197" spans="1:58" ht="15" customHeight="1" x14ac:dyDescent="0.25">
      <c r="A197" s="241" t="s">
        <v>423</v>
      </c>
      <c r="B197" s="2" t="s">
        <v>9</v>
      </c>
      <c r="D197" s="241" t="s">
        <v>190</v>
      </c>
      <c r="E197" s="241" t="s">
        <v>424</v>
      </c>
      <c r="F197" s="359">
        <v>43525</v>
      </c>
      <c r="H197" s="358" t="s">
        <v>1050</v>
      </c>
      <c r="I197" s="367" t="s">
        <v>1048</v>
      </c>
      <c r="J197" s="2">
        <v>519786</v>
      </c>
      <c r="K197" s="2">
        <v>175060</v>
      </c>
      <c r="L197" s="293"/>
      <c r="M197" s="364">
        <v>0</v>
      </c>
      <c r="N197" s="364">
        <v>0</v>
      </c>
      <c r="O197" s="364">
        <v>0</v>
      </c>
      <c r="P197" s="364">
        <v>1</v>
      </c>
      <c r="Q197" s="364"/>
      <c r="R197" s="364"/>
      <c r="S197" s="364"/>
      <c r="T197" s="365">
        <v>1</v>
      </c>
      <c r="U197" s="364"/>
      <c r="V197" s="364">
        <v>0</v>
      </c>
      <c r="W197" s="364">
        <v>0</v>
      </c>
      <c r="X197" s="364">
        <v>0</v>
      </c>
      <c r="Y197" s="364">
        <v>0</v>
      </c>
      <c r="Z197" s="372">
        <v>2</v>
      </c>
      <c r="AA197" s="364"/>
      <c r="AB197" s="364"/>
      <c r="AC197" s="365">
        <v>2</v>
      </c>
      <c r="AD197" s="364"/>
      <c r="AE197" s="364">
        <f t="shared" si="49"/>
        <v>0</v>
      </c>
      <c r="AF197" s="364">
        <f t="shared" si="50"/>
        <v>0</v>
      </c>
      <c r="AG197" s="364">
        <f t="shared" si="51"/>
        <v>0</v>
      </c>
      <c r="AH197" s="364">
        <f t="shared" si="52"/>
        <v>-1</v>
      </c>
      <c r="AI197" s="364">
        <f t="shared" si="53"/>
        <v>2</v>
      </c>
      <c r="AJ197" s="364">
        <f t="shared" si="54"/>
        <v>0</v>
      </c>
      <c r="AK197" s="364">
        <f t="shared" si="55"/>
        <v>0</v>
      </c>
      <c r="AL197" s="348">
        <f t="shared" si="56"/>
        <v>1</v>
      </c>
      <c r="AM197" s="232"/>
      <c r="AN197" s="322">
        <v>0</v>
      </c>
      <c r="AO197" s="231">
        <v>1</v>
      </c>
      <c r="AP197" s="228">
        <v>0</v>
      </c>
      <c r="AQ197" s="231">
        <v>0</v>
      </c>
      <c r="AR197" s="231">
        <v>0</v>
      </c>
      <c r="AS197" s="231">
        <v>0</v>
      </c>
      <c r="AT197" s="231">
        <v>0</v>
      </c>
      <c r="AU197" s="323">
        <v>0</v>
      </c>
      <c r="AV197" s="231">
        <v>0</v>
      </c>
      <c r="AW197" s="231">
        <v>0</v>
      </c>
      <c r="AX197" s="231">
        <v>0</v>
      </c>
      <c r="AY197" s="231">
        <v>0</v>
      </c>
      <c r="AZ197" s="230">
        <v>0</v>
      </c>
      <c r="BA197" s="2" t="s">
        <v>1212</v>
      </c>
    </row>
    <row r="198" spans="1:58" ht="15" customHeight="1" x14ac:dyDescent="0.25">
      <c r="A198" s="241" t="s">
        <v>438</v>
      </c>
      <c r="B198" s="2" t="s">
        <v>9</v>
      </c>
      <c r="D198" s="241" t="s">
        <v>439</v>
      </c>
      <c r="E198" s="241" t="s">
        <v>440</v>
      </c>
      <c r="F198" s="371">
        <v>43160</v>
      </c>
      <c r="H198" s="358" t="s">
        <v>1050</v>
      </c>
      <c r="I198" s="367" t="s">
        <v>1048</v>
      </c>
      <c r="J198" s="2">
        <v>517784</v>
      </c>
      <c r="K198" s="2">
        <v>171703</v>
      </c>
      <c r="L198" s="293"/>
      <c r="M198" s="364">
        <v>0</v>
      </c>
      <c r="N198" s="364">
        <v>0</v>
      </c>
      <c r="O198" s="364">
        <v>1</v>
      </c>
      <c r="P198" s="364">
        <v>0</v>
      </c>
      <c r="Q198" s="364"/>
      <c r="R198" s="364"/>
      <c r="S198" s="364"/>
      <c r="T198" s="365">
        <v>1</v>
      </c>
      <c r="U198" s="364"/>
      <c r="V198" s="364">
        <v>0</v>
      </c>
      <c r="W198" s="364">
        <v>0</v>
      </c>
      <c r="X198" s="364">
        <v>2</v>
      </c>
      <c r="Y198" s="364">
        <v>0</v>
      </c>
      <c r="Z198" s="364"/>
      <c r="AA198" s="364"/>
      <c r="AB198" s="364"/>
      <c r="AC198" s="365">
        <v>2</v>
      </c>
      <c r="AD198" s="364"/>
      <c r="AE198" s="364">
        <f t="shared" si="49"/>
        <v>0</v>
      </c>
      <c r="AF198" s="364">
        <f t="shared" si="50"/>
        <v>0</v>
      </c>
      <c r="AG198" s="364">
        <f t="shared" si="51"/>
        <v>1</v>
      </c>
      <c r="AH198" s="364">
        <f t="shared" si="52"/>
        <v>0</v>
      </c>
      <c r="AI198" s="364">
        <f t="shared" si="53"/>
        <v>0</v>
      </c>
      <c r="AJ198" s="364">
        <f t="shared" si="54"/>
        <v>0</v>
      </c>
      <c r="AK198" s="364">
        <f t="shared" si="55"/>
        <v>0</v>
      </c>
      <c r="AL198" s="348">
        <f t="shared" si="56"/>
        <v>1</v>
      </c>
      <c r="AM198" s="232"/>
      <c r="AN198" s="322">
        <v>0</v>
      </c>
      <c r="AO198" s="231">
        <v>1</v>
      </c>
      <c r="AP198" s="228">
        <v>0</v>
      </c>
      <c r="AQ198" s="231">
        <v>0</v>
      </c>
      <c r="AR198" s="231">
        <v>0</v>
      </c>
      <c r="AS198" s="231">
        <v>0</v>
      </c>
      <c r="AT198" s="231">
        <v>0</v>
      </c>
      <c r="AU198" s="323">
        <v>0</v>
      </c>
      <c r="AV198" s="231">
        <v>0</v>
      </c>
      <c r="AW198" s="231">
        <v>0</v>
      </c>
      <c r="AX198" s="231">
        <v>0</v>
      </c>
      <c r="AY198" s="231">
        <v>0</v>
      </c>
      <c r="AZ198" s="230">
        <v>0</v>
      </c>
      <c r="BA198" s="2" t="s">
        <v>1443</v>
      </c>
    </row>
    <row r="199" spans="1:58" ht="15" customHeight="1" x14ac:dyDescent="0.25">
      <c r="A199" s="241" t="s">
        <v>243</v>
      </c>
      <c r="B199" s="2" t="s">
        <v>9</v>
      </c>
      <c r="D199" s="241" t="s">
        <v>244</v>
      </c>
      <c r="E199" s="241" t="s">
        <v>245</v>
      </c>
      <c r="F199" s="359">
        <v>43525</v>
      </c>
      <c r="H199" s="358" t="s">
        <v>1050</v>
      </c>
      <c r="I199" s="367" t="s">
        <v>1048</v>
      </c>
      <c r="J199" s="2">
        <v>522357</v>
      </c>
      <c r="K199" s="2">
        <v>175528</v>
      </c>
      <c r="L199" s="293"/>
      <c r="M199" s="364">
        <v>0</v>
      </c>
      <c r="N199" s="364">
        <v>0</v>
      </c>
      <c r="O199" s="364">
        <v>2</v>
      </c>
      <c r="P199" s="364">
        <v>0</v>
      </c>
      <c r="Q199" s="364"/>
      <c r="R199" s="364"/>
      <c r="S199" s="364"/>
      <c r="T199" s="365">
        <v>2</v>
      </c>
      <c r="U199" s="364"/>
      <c r="V199" s="364">
        <v>0</v>
      </c>
      <c r="W199" s="364">
        <v>0</v>
      </c>
      <c r="X199" s="364">
        <v>0</v>
      </c>
      <c r="Y199" s="364">
        <v>2</v>
      </c>
      <c r="Z199" s="364"/>
      <c r="AA199" s="364"/>
      <c r="AB199" s="364"/>
      <c r="AC199" s="365">
        <v>2</v>
      </c>
      <c r="AD199" s="364"/>
      <c r="AE199" s="364">
        <f t="shared" si="49"/>
        <v>0</v>
      </c>
      <c r="AF199" s="364">
        <f t="shared" si="50"/>
        <v>0</v>
      </c>
      <c r="AG199" s="364">
        <f t="shared" si="51"/>
        <v>-2</v>
      </c>
      <c r="AH199" s="364">
        <f t="shared" si="52"/>
        <v>2</v>
      </c>
      <c r="AI199" s="364">
        <f t="shared" si="53"/>
        <v>0</v>
      </c>
      <c r="AJ199" s="364">
        <f t="shared" si="54"/>
        <v>0</v>
      </c>
      <c r="AK199" s="364">
        <f t="shared" si="55"/>
        <v>0</v>
      </c>
      <c r="AL199" s="348">
        <f t="shared" si="56"/>
        <v>0</v>
      </c>
      <c r="AN199" s="322">
        <v>0</v>
      </c>
      <c r="AO199" s="231">
        <v>0</v>
      </c>
      <c r="AP199" s="228">
        <v>0</v>
      </c>
      <c r="AQ199" s="231">
        <v>0</v>
      </c>
      <c r="AR199" s="231">
        <v>0</v>
      </c>
      <c r="AS199" s="231">
        <v>0</v>
      </c>
      <c r="AT199" s="231">
        <v>0</v>
      </c>
      <c r="AU199" s="323">
        <v>0</v>
      </c>
      <c r="AV199" s="231">
        <v>0</v>
      </c>
      <c r="AW199" s="231">
        <v>0</v>
      </c>
      <c r="AX199" s="231">
        <v>0</v>
      </c>
      <c r="AY199" s="231">
        <v>0</v>
      </c>
      <c r="AZ199" s="230">
        <v>0</v>
      </c>
      <c r="BA199" s="2" t="s">
        <v>1267</v>
      </c>
    </row>
    <row r="200" spans="1:58" ht="15" customHeight="1" x14ac:dyDescent="0.25">
      <c r="A200" s="241" t="s">
        <v>891</v>
      </c>
      <c r="B200" s="2" t="s">
        <v>5</v>
      </c>
      <c r="D200" s="241" t="s">
        <v>892</v>
      </c>
      <c r="E200" s="241" t="s">
        <v>893</v>
      </c>
      <c r="H200" s="358" t="s">
        <v>1050</v>
      </c>
      <c r="I200" s="367" t="s">
        <v>1048</v>
      </c>
      <c r="J200" s="2">
        <v>514998</v>
      </c>
      <c r="K200" s="2">
        <v>172958</v>
      </c>
      <c r="L200" s="293"/>
      <c r="M200" s="364">
        <v>0</v>
      </c>
      <c r="N200" s="364">
        <v>1</v>
      </c>
      <c r="O200" s="364">
        <v>0</v>
      </c>
      <c r="P200" s="364">
        <v>0</v>
      </c>
      <c r="Q200" s="364"/>
      <c r="R200" s="364"/>
      <c r="S200" s="364"/>
      <c r="T200" s="365">
        <v>1</v>
      </c>
      <c r="U200" s="364"/>
      <c r="V200" s="364">
        <v>0</v>
      </c>
      <c r="W200" s="364">
        <v>1</v>
      </c>
      <c r="X200" s="364">
        <v>0</v>
      </c>
      <c r="Y200" s="364">
        <v>0</v>
      </c>
      <c r="Z200" s="364"/>
      <c r="AA200" s="364"/>
      <c r="AB200" s="364"/>
      <c r="AC200" s="365">
        <v>1</v>
      </c>
      <c r="AD200" s="364"/>
      <c r="AE200" s="364">
        <f t="shared" si="49"/>
        <v>0</v>
      </c>
      <c r="AF200" s="364">
        <f t="shared" si="50"/>
        <v>0</v>
      </c>
      <c r="AG200" s="364">
        <f t="shared" si="51"/>
        <v>0</v>
      </c>
      <c r="AH200" s="364">
        <f t="shared" si="52"/>
        <v>0</v>
      </c>
      <c r="AI200" s="364">
        <f t="shared" si="53"/>
        <v>0</v>
      </c>
      <c r="AJ200" s="364">
        <f t="shared" si="54"/>
        <v>0</v>
      </c>
      <c r="AK200" s="364">
        <f t="shared" si="55"/>
        <v>0</v>
      </c>
      <c r="AL200" s="348">
        <f t="shared" si="56"/>
        <v>0</v>
      </c>
      <c r="AN200" s="322">
        <v>0</v>
      </c>
      <c r="AO200" s="231">
        <v>0</v>
      </c>
      <c r="AP200" s="228">
        <v>0</v>
      </c>
      <c r="AQ200" s="231">
        <v>0</v>
      </c>
      <c r="AR200" s="231">
        <v>0</v>
      </c>
      <c r="AS200" s="231">
        <v>0</v>
      </c>
      <c r="AT200" s="231">
        <v>0</v>
      </c>
      <c r="AU200" s="242">
        <v>0</v>
      </c>
      <c r="AV200" s="231">
        <v>0</v>
      </c>
      <c r="AW200" s="231">
        <v>0</v>
      </c>
      <c r="AX200" s="231">
        <v>0</v>
      </c>
      <c r="AY200" s="231">
        <v>0</v>
      </c>
      <c r="AZ200" s="230">
        <v>0</v>
      </c>
      <c r="BA200" s="2" t="s">
        <v>1239</v>
      </c>
    </row>
    <row r="201" spans="1:58" ht="15" customHeight="1" x14ac:dyDescent="0.25">
      <c r="A201" s="241" t="s">
        <v>757</v>
      </c>
      <c r="B201" s="2" t="s">
        <v>5</v>
      </c>
      <c r="D201" s="241" t="s">
        <v>758</v>
      </c>
      <c r="E201" s="241" t="s">
        <v>759</v>
      </c>
      <c r="F201" s="359">
        <v>43405</v>
      </c>
      <c r="H201" s="358" t="s">
        <v>1050</v>
      </c>
      <c r="I201" s="367" t="s">
        <v>1048</v>
      </c>
      <c r="J201" s="2">
        <v>515991</v>
      </c>
      <c r="K201" s="2">
        <v>168830</v>
      </c>
      <c r="L201" s="293"/>
      <c r="M201" s="364">
        <v>0</v>
      </c>
      <c r="N201" s="364">
        <v>1</v>
      </c>
      <c r="O201" s="364">
        <v>0</v>
      </c>
      <c r="P201" s="364">
        <v>0</v>
      </c>
      <c r="Q201" s="364"/>
      <c r="R201" s="364"/>
      <c r="S201" s="364"/>
      <c r="T201" s="377">
        <v>1</v>
      </c>
      <c r="U201" s="364"/>
      <c r="V201" s="364">
        <v>2</v>
      </c>
      <c r="W201" s="364">
        <v>0</v>
      </c>
      <c r="X201" s="364">
        <v>0</v>
      </c>
      <c r="Y201" s="364">
        <v>0</v>
      </c>
      <c r="Z201" s="364"/>
      <c r="AA201" s="364"/>
      <c r="AB201" s="364"/>
      <c r="AC201" s="365">
        <v>2</v>
      </c>
      <c r="AD201" s="364"/>
      <c r="AE201" s="364">
        <f t="shared" si="49"/>
        <v>2</v>
      </c>
      <c r="AF201" s="364">
        <f t="shared" si="50"/>
        <v>-1</v>
      </c>
      <c r="AG201" s="364">
        <f t="shared" si="51"/>
        <v>0</v>
      </c>
      <c r="AH201" s="364">
        <f t="shared" si="52"/>
        <v>0</v>
      </c>
      <c r="AI201" s="364">
        <f t="shared" si="53"/>
        <v>0</v>
      </c>
      <c r="AJ201" s="364">
        <f t="shared" si="54"/>
        <v>0</v>
      </c>
      <c r="AK201" s="364">
        <f t="shared" si="55"/>
        <v>0</v>
      </c>
      <c r="AL201" s="348">
        <f t="shared" si="56"/>
        <v>1</v>
      </c>
      <c r="AM201" s="232"/>
      <c r="AN201" s="322">
        <v>0</v>
      </c>
      <c r="AO201" s="231">
        <v>1</v>
      </c>
      <c r="AP201" s="228">
        <v>0</v>
      </c>
      <c r="AQ201" s="231">
        <v>0</v>
      </c>
      <c r="AR201" s="231">
        <v>0</v>
      </c>
      <c r="AS201" s="231">
        <v>0</v>
      </c>
      <c r="AT201" s="231">
        <v>0</v>
      </c>
      <c r="AU201" s="323">
        <v>0</v>
      </c>
      <c r="AV201" s="231">
        <v>0</v>
      </c>
      <c r="AW201" s="231">
        <v>0</v>
      </c>
      <c r="AX201" s="231">
        <v>0</v>
      </c>
      <c r="AY201" s="231">
        <v>0</v>
      </c>
      <c r="AZ201" s="230">
        <v>0</v>
      </c>
      <c r="BA201" s="2" t="s">
        <v>1229</v>
      </c>
    </row>
    <row r="202" spans="1:58" ht="15" customHeight="1" x14ac:dyDescent="0.25">
      <c r="A202" s="241" t="s">
        <v>876</v>
      </c>
      <c r="B202" s="2" t="s">
        <v>9</v>
      </c>
      <c r="D202" s="241" t="s">
        <v>877</v>
      </c>
      <c r="E202" s="241" t="s">
        <v>878</v>
      </c>
      <c r="F202" s="371">
        <v>43199</v>
      </c>
      <c r="H202" s="358" t="s">
        <v>1050</v>
      </c>
      <c r="I202" s="367" t="s">
        <v>1048</v>
      </c>
      <c r="J202" s="2">
        <v>514859</v>
      </c>
      <c r="K202" s="2">
        <v>172254</v>
      </c>
      <c r="L202" s="293"/>
      <c r="M202" s="364">
        <v>0</v>
      </c>
      <c r="N202" s="364">
        <v>0</v>
      </c>
      <c r="O202" s="364">
        <v>1</v>
      </c>
      <c r="P202" s="364">
        <v>0</v>
      </c>
      <c r="Q202" s="364"/>
      <c r="R202" s="364"/>
      <c r="S202" s="364"/>
      <c r="T202" s="365">
        <v>1</v>
      </c>
      <c r="U202" s="364"/>
      <c r="V202" s="364">
        <v>0</v>
      </c>
      <c r="W202" s="364">
        <v>0</v>
      </c>
      <c r="X202" s="364">
        <v>2</v>
      </c>
      <c r="Y202" s="364">
        <v>0</v>
      </c>
      <c r="Z202" s="364"/>
      <c r="AA202" s="364"/>
      <c r="AB202" s="364"/>
      <c r="AC202" s="365">
        <v>2</v>
      </c>
      <c r="AD202" s="364"/>
      <c r="AE202" s="364">
        <f t="shared" si="49"/>
        <v>0</v>
      </c>
      <c r="AF202" s="364">
        <f t="shared" si="50"/>
        <v>0</v>
      </c>
      <c r="AG202" s="364">
        <f t="shared" si="51"/>
        <v>1</v>
      </c>
      <c r="AH202" s="364">
        <f t="shared" si="52"/>
        <v>0</v>
      </c>
      <c r="AI202" s="364">
        <f t="shared" si="53"/>
        <v>0</v>
      </c>
      <c r="AJ202" s="364">
        <f t="shared" si="54"/>
        <v>0</v>
      </c>
      <c r="AK202" s="364">
        <f t="shared" si="55"/>
        <v>0</v>
      </c>
      <c r="AL202" s="348">
        <f t="shared" si="56"/>
        <v>1</v>
      </c>
      <c r="AN202" s="322">
        <v>0</v>
      </c>
      <c r="AO202" s="231">
        <v>1</v>
      </c>
      <c r="AP202" s="228">
        <v>0</v>
      </c>
      <c r="AQ202" s="231">
        <v>0</v>
      </c>
      <c r="AR202" s="231">
        <v>0</v>
      </c>
      <c r="AS202" s="231">
        <v>0</v>
      </c>
      <c r="AT202" s="231">
        <v>0</v>
      </c>
      <c r="AU202" s="242">
        <v>0</v>
      </c>
      <c r="AV202" s="231">
        <v>0</v>
      </c>
      <c r="AW202" s="231">
        <v>0</v>
      </c>
      <c r="AX202" s="231">
        <v>0</v>
      </c>
      <c r="AY202" s="231">
        <v>0</v>
      </c>
      <c r="AZ202" s="230">
        <v>0</v>
      </c>
      <c r="BA202" s="2" t="s">
        <v>1236</v>
      </c>
    </row>
    <row r="203" spans="1:58" ht="15" customHeight="1" x14ac:dyDescent="0.25">
      <c r="A203" s="241" t="s">
        <v>325</v>
      </c>
      <c r="B203" s="2" t="s">
        <v>26</v>
      </c>
      <c r="D203" s="241" t="s">
        <v>326</v>
      </c>
      <c r="E203" s="241" t="s">
        <v>327</v>
      </c>
      <c r="H203" s="358" t="s">
        <v>1050</v>
      </c>
      <c r="I203" s="367" t="s">
        <v>1048</v>
      </c>
      <c r="J203" s="2">
        <v>521322</v>
      </c>
      <c r="K203" s="2">
        <v>175815</v>
      </c>
      <c r="L203" s="293"/>
      <c r="M203" s="364">
        <v>0</v>
      </c>
      <c r="N203" s="364">
        <v>0</v>
      </c>
      <c r="O203" s="364">
        <v>0</v>
      </c>
      <c r="P203" s="364">
        <v>0</v>
      </c>
      <c r="Q203" s="364"/>
      <c r="R203" s="364"/>
      <c r="S203" s="364"/>
      <c r="T203" s="365">
        <v>0</v>
      </c>
      <c r="U203" s="364">
        <v>1</v>
      </c>
      <c r="V203" s="364">
        <v>0</v>
      </c>
      <c r="W203" s="364">
        <v>0</v>
      </c>
      <c r="X203" s="364">
        <v>0</v>
      </c>
      <c r="Y203" s="364">
        <v>0</v>
      </c>
      <c r="Z203" s="364"/>
      <c r="AA203" s="364"/>
      <c r="AB203" s="364"/>
      <c r="AC203" s="365">
        <v>1</v>
      </c>
      <c r="AD203" s="364"/>
      <c r="AE203" s="364">
        <f t="shared" si="49"/>
        <v>0</v>
      </c>
      <c r="AF203" s="364">
        <f t="shared" si="50"/>
        <v>0</v>
      </c>
      <c r="AG203" s="364">
        <f t="shared" si="51"/>
        <v>0</v>
      </c>
      <c r="AH203" s="364">
        <f t="shared" si="52"/>
        <v>0</v>
      </c>
      <c r="AI203" s="364">
        <f t="shared" si="53"/>
        <v>0</v>
      </c>
      <c r="AJ203" s="364">
        <f t="shared" si="54"/>
        <v>0</v>
      </c>
      <c r="AK203" s="364">
        <f t="shared" si="55"/>
        <v>0</v>
      </c>
      <c r="AL203" s="348">
        <f t="shared" si="56"/>
        <v>1</v>
      </c>
      <c r="AM203" s="232"/>
      <c r="AN203" s="322">
        <v>0</v>
      </c>
      <c r="AO203" s="231">
        <v>1</v>
      </c>
      <c r="AP203" s="228">
        <v>0</v>
      </c>
      <c r="AQ203" s="231">
        <v>0</v>
      </c>
      <c r="AR203" s="231">
        <v>0</v>
      </c>
      <c r="AS203" s="231">
        <v>0</v>
      </c>
      <c r="AT203" s="231">
        <v>0</v>
      </c>
      <c r="AU203" s="323">
        <v>0</v>
      </c>
      <c r="AV203" s="231">
        <v>0</v>
      </c>
      <c r="AW203" s="231">
        <v>0</v>
      </c>
      <c r="AX203" s="231">
        <v>0</v>
      </c>
      <c r="AY203" s="231">
        <v>0</v>
      </c>
      <c r="AZ203" s="230">
        <v>0</v>
      </c>
      <c r="BA203" s="2" t="s">
        <v>1267</v>
      </c>
      <c r="BC203" s="2" t="s">
        <v>1447</v>
      </c>
    </row>
    <row r="204" spans="1:58" ht="15" customHeight="1" x14ac:dyDescent="0.25">
      <c r="A204" s="241" t="s">
        <v>870</v>
      </c>
      <c r="B204" s="2" t="s">
        <v>9</v>
      </c>
      <c r="D204" s="241" t="s">
        <v>871</v>
      </c>
      <c r="E204" s="241" t="s">
        <v>872</v>
      </c>
      <c r="G204" s="318">
        <v>43613</v>
      </c>
      <c r="H204" s="358" t="s">
        <v>1050</v>
      </c>
      <c r="I204" s="367" t="s">
        <v>1048</v>
      </c>
      <c r="J204" s="2">
        <v>514675</v>
      </c>
      <c r="K204" s="2">
        <v>172117</v>
      </c>
      <c r="L204" s="293"/>
      <c r="M204" s="364">
        <v>0</v>
      </c>
      <c r="N204" s="364">
        <v>0</v>
      </c>
      <c r="O204" s="364">
        <v>0</v>
      </c>
      <c r="P204" s="364">
        <v>0</v>
      </c>
      <c r="Q204" s="364"/>
      <c r="R204" s="364"/>
      <c r="S204" s="364"/>
      <c r="T204" s="365">
        <v>0</v>
      </c>
      <c r="U204" s="364"/>
      <c r="V204" s="364">
        <v>0</v>
      </c>
      <c r="W204" s="364">
        <v>1</v>
      </c>
      <c r="X204" s="364">
        <v>0</v>
      </c>
      <c r="Y204" s="364">
        <v>0</v>
      </c>
      <c r="Z204" s="364"/>
      <c r="AA204" s="364"/>
      <c r="AB204" s="364"/>
      <c r="AC204" s="365">
        <v>1</v>
      </c>
      <c r="AD204" s="364"/>
      <c r="AE204" s="364">
        <f t="shared" si="49"/>
        <v>0</v>
      </c>
      <c r="AF204" s="364">
        <f t="shared" si="50"/>
        <v>1</v>
      </c>
      <c r="AG204" s="364">
        <f t="shared" si="51"/>
        <v>0</v>
      </c>
      <c r="AH204" s="364">
        <f t="shared" si="52"/>
        <v>0</v>
      </c>
      <c r="AI204" s="364">
        <f t="shared" si="53"/>
        <v>0</v>
      </c>
      <c r="AJ204" s="364">
        <f t="shared" si="54"/>
        <v>0</v>
      </c>
      <c r="AK204" s="364">
        <f t="shared" si="55"/>
        <v>0</v>
      </c>
      <c r="AL204" s="348">
        <f t="shared" si="56"/>
        <v>1</v>
      </c>
      <c r="AM204" s="369"/>
      <c r="AN204" s="322">
        <v>0</v>
      </c>
      <c r="AO204" s="231">
        <v>1</v>
      </c>
      <c r="AP204" s="228">
        <v>0</v>
      </c>
      <c r="AQ204" s="231">
        <v>0</v>
      </c>
      <c r="AR204" s="231">
        <v>0</v>
      </c>
      <c r="AS204" s="231">
        <v>0</v>
      </c>
      <c r="AT204" s="231">
        <v>0</v>
      </c>
      <c r="AU204" s="242">
        <v>0</v>
      </c>
      <c r="AV204" s="231">
        <v>0</v>
      </c>
      <c r="AW204" s="231">
        <v>0</v>
      </c>
      <c r="AX204" s="231">
        <v>0</v>
      </c>
      <c r="AY204" s="231">
        <v>0</v>
      </c>
      <c r="AZ204" s="230">
        <v>0</v>
      </c>
      <c r="BA204" s="2" t="s">
        <v>1239</v>
      </c>
      <c r="BF204" s="232" t="s">
        <v>39</v>
      </c>
    </row>
    <row r="205" spans="1:58" ht="15" customHeight="1" x14ac:dyDescent="0.25">
      <c r="A205" s="241" t="s">
        <v>616</v>
      </c>
      <c r="B205" s="2" t="s">
        <v>5</v>
      </c>
      <c r="D205" s="241" t="s">
        <v>617</v>
      </c>
      <c r="E205" s="241" t="s">
        <v>618</v>
      </c>
      <c r="F205" s="359">
        <v>43374</v>
      </c>
      <c r="H205" s="358" t="s">
        <v>1050</v>
      </c>
      <c r="I205" s="367" t="s">
        <v>1048</v>
      </c>
      <c r="J205" s="2">
        <v>516418</v>
      </c>
      <c r="K205" s="2">
        <v>171190</v>
      </c>
      <c r="L205" s="293"/>
      <c r="M205" s="364">
        <v>0</v>
      </c>
      <c r="N205" s="364">
        <v>0</v>
      </c>
      <c r="O205" s="364">
        <v>0</v>
      </c>
      <c r="P205" s="364">
        <v>0</v>
      </c>
      <c r="Q205" s="372">
        <v>1</v>
      </c>
      <c r="R205" s="364"/>
      <c r="S205" s="364"/>
      <c r="T205" s="365">
        <v>1</v>
      </c>
      <c r="U205" s="364"/>
      <c r="V205" s="364">
        <v>0</v>
      </c>
      <c r="W205" s="364">
        <v>2</v>
      </c>
      <c r="X205" s="364">
        <v>0</v>
      </c>
      <c r="Y205" s="364">
        <v>0</v>
      </c>
      <c r="Z205" s="364"/>
      <c r="AA205" s="364"/>
      <c r="AB205" s="364"/>
      <c r="AC205" s="365">
        <v>2</v>
      </c>
      <c r="AD205" s="364"/>
      <c r="AE205" s="364">
        <f t="shared" si="49"/>
        <v>0</v>
      </c>
      <c r="AF205" s="364">
        <f t="shared" si="50"/>
        <v>2</v>
      </c>
      <c r="AG205" s="364">
        <f t="shared" si="51"/>
        <v>0</v>
      </c>
      <c r="AH205" s="364">
        <f t="shared" si="52"/>
        <v>0</v>
      </c>
      <c r="AI205" s="364">
        <f t="shared" si="53"/>
        <v>-1</v>
      </c>
      <c r="AJ205" s="364">
        <f t="shared" si="54"/>
        <v>0</v>
      </c>
      <c r="AK205" s="364">
        <f t="shared" si="55"/>
        <v>0</v>
      </c>
      <c r="AL205" s="348">
        <f t="shared" si="56"/>
        <v>1</v>
      </c>
      <c r="AM205" s="232"/>
      <c r="AN205" s="322">
        <v>0</v>
      </c>
      <c r="AO205" s="231">
        <v>1</v>
      </c>
      <c r="AP205" s="228">
        <v>0</v>
      </c>
      <c r="AQ205" s="231">
        <v>0</v>
      </c>
      <c r="AR205" s="231">
        <v>0</v>
      </c>
      <c r="AS205" s="231">
        <v>0</v>
      </c>
      <c r="AT205" s="231">
        <v>0</v>
      </c>
      <c r="AU205" s="323">
        <v>0</v>
      </c>
      <c r="AV205" s="231">
        <v>0</v>
      </c>
      <c r="AW205" s="231">
        <v>0</v>
      </c>
      <c r="AX205" s="231">
        <v>0</v>
      </c>
      <c r="AY205" s="231">
        <v>0</v>
      </c>
      <c r="AZ205" s="230">
        <v>0</v>
      </c>
      <c r="BA205" s="2" t="s">
        <v>1215</v>
      </c>
    </row>
    <row r="206" spans="1:58" ht="15" customHeight="1" x14ac:dyDescent="0.25">
      <c r="A206" s="241" t="s">
        <v>810</v>
      </c>
      <c r="B206" s="2" t="s">
        <v>9</v>
      </c>
      <c r="D206" s="241" t="s">
        <v>1557</v>
      </c>
      <c r="E206" s="241" t="s">
        <v>811</v>
      </c>
      <c r="F206" s="359">
        <v>43435</v>
      </c>
      <c r="H206" s="358" t="s">
        <v>1050</v>
      </c>
      <c r="I206" s="367" t="s">
        <v>1048</v>
      </c>
      <c r="J206" s="2">
        <v>513452</v>
      </c>
      <c r="K206" s="2">
        <v>171614</v>
      </c>
      <c r="L206" s="293"/>
      <c r="M206" s="364">
        <v>0</v>
      </c>
      <c r="N206" s="364">
        <v>0</v>
      </c>
      <c r="O206" s="364">
        <v>0</v>
      </c>
      <c r="P206" s="364">
        <v>0</v>
      </c>
      <c r="Q206" s="364"/>
      <c r="R206" s="364"/>
      <c r="S206" s="364"/>
      <c r="T206" s="365">
        <v>0</v>
      </c>
      <c r="U206" s="364"/>
      <c r="V206" s="364">
        <v>1</v>
      </c>
      <c r="W206" s="364">
        <v>0</v>
      </c>
      <c r="X206" s="364">
        <v>0</v>
      </c>
      <c r="Y206" s="364">
        <v>0</v>
      </c>
      <c r="Z206" s="364"/>
      <c r="AA206" s="364"/>
      <c r="AB206" s="364"/>
      <c r="AC206" s="365">
        <v>1</v>
      </c>
      <c r="AD206" s="364"/>
      <c r="AE206" s="364">
        <f t="shared" si="49"/>
        <v>1</v>
      </c>
      <c r="AF206" s="364">
        <f t="shared" si="50"/>
        <v>0</v>
      </c>
      <c r="AG206" s="364">
        <f t="shared" si="51"/>
        <v>0</v>
      </c>
      <c r="AH206" s="364">
        <f t="shared" si="52"/>
        <v>0</v>
      </c>
      <c r="AI206" s="364">
        <f t="shared" si="53"/>
        <v>0</v>
      </c>
      <c r="AJ206" s="364">
        <f t="shared" si="54"/>
        <v>0</v>
      </c>
      <c r="AK206" s="364">
        <f t="shared" si="55"/>
        <v>0</v>
      </c>
      <c r="AL206" s="348">
        <f t="shared" si="56"/>
        <v>1</v>
      </c>
      <c r="AN206" s="322">
        <v>0</v>
      </c>
      <c r="AO206" s="231">
        <v>0</v>
      </c>
      <c r="AP206" s="228">
        <v>1</v>
      </c>
      <c r="AQ206" s="231">
        <v>0</v>
      </c>
      <c r="AR206" s="231">
        <v>0</v>
      </c>
      <c r="AS206" s="231">
        <v>0</v>
      </c>
      <c r="AT206" s="231">
        <v>0</v>
      </c>
      <c r="AU206" s="323" t="s">
        <v>39</v>
      </c>
      <c r="AV206" s="231">
        <v>0</v>
      </c>
      <c r="AW206" s="231">
        <v>0</v>
      </c>
      <c r="AX206" s="231">
        <v>0</v>
      </c>
      <c r="AY206" s="231">
        <v>0</v>
      </c>
      <c r="AZ206" s="230">
        <v>0</v>
      </c>
      <c r="BA206" s="2" t="s">
        <v>1228</v>
      </c>
      <c r="BF206" s="232" t="s">
        <v>39</v>
      </c>
    </row>
    <row r="207" spans="1:58" ht="15" customHeight="1" x14ac:dyDescent="0.25">
      <c r="A207" s="241" t="s">
        <v>633</v>
      </c>
      <c r="B207" s="2" t="s">
        <v>26</v>
      </c>
      <c r="C207" s="2" t="s">
        <v>1037</v>
      </c>
      <c r="D207" s="241" t="s">
        <v>634</v>
      </c>
      <c r="E207" s="241" t="s">
        <v>635</v>
      </c>
      <c r="G207" s="318">
        <v>43630</v>
      </c>
      <c r="H207" s="358" t="s">
        <v>1050</v>
      </c>
      <c r="I207" s="367" t="s">
        <v>1048</v>
      </c>
      <c r="J207" s="2">
        <v>516011</v>
      </c>
      <c r="K207" s="2">
        <v>171165</v>
      </c>
      <c r="L207" s="293"/>
      <c r="M207" s="364">
        <v>0</v>
      </c>
      <c r="N207" s="364">
        <v>0</v>
      </c>
      <c r="O207" s="364">
        <v>0</v>
      </c>
      <c r="P207" s="364">
        <v>0</v>
      </c>
      <c r="Q207" s="364"/>
      <c r="R207" s="364"/>
      <c r="S207" s="364"/>
      <c r="T207" s="365">
        <v>0</v>
      </c>
      <c r="U207" s="364">
        <v>7</v>
      </c>
      <c r="V207" s="364">
        <v>0</v>
      </c>
      <c r="W207" s="364">
        <v>0</v>
      </c>
      <c r="X207" s="364">
        <v>0</v>
      </c>
      <c r="Y207" s="364">
        <v>0</v>
      </c>
      <c r="Z207" s="364"/>
      <c r="AA207" s="364"/>
      <c r="AB207" s="364"/>
      <c r="AC207" s="365">
        <v>7</v>
      </c>
      <c r="AD207" s="364">
        <f>U207-L207</f>
        <v>7</v>
      </c>
      <c r="AE207" s="364">
        <f t="shared" si="49"/>
        <v>0</v>
      </c>
      <c r="AF207" s="364">
        <f t="shared" si="50"/>
        <v>0</v>
      </c>
      <c r="AG207" s="364">
        <f t="shared" si="51"/>
        <v>0</v>
      </c>
      <c r="AH207" s="364">
        <f t="shared" si="52"/>
        <v>0</v>
      </c>
      <c r="AI207" s="364">
        <f t="shared" si="53"/>
        <v>0</v>
      </c>
      <c r="AJ207" s="364">
        <f t="shared" si="54"/>
        <v>0</v>
      </c>
      <c r="AK207" s="364">
        <f t="shared" si="55"/>
        <v>0</v>
      </c>
      <c r="AL207" s="348">
        <f t="shared" si="56"/>
        <v>7</v>
      </c>
      <c r="AM207" s="232"/>
      <c r="AN207" s="322">
        <v>0</v>
      </c>
      <c r="AO207" s="231">
        <v>7</v>
      </c>
      <c r="AP207" s="228">
        <v>0</v>
      </c>
      <c r="AQ207" s="231">
        <v>0</v>
      </c>
      <c r="AR207" s="231">
        <v>0</v>
      </c>
      <c r="AS207" s="231">
        <v>0</v>
      </c>
      <c r="AT207" s="231">
        <v>0</v>
      </c>
      <c r="AU207" s="323">
        <v>0</v>
      </c>
      <c r="AV207" s="231">
        <v>0</v>
      </c>
      <c r="AW207" s="231">
        <v>0</v>
      </c>
      <c r="AX207" s="231">
        <v>0</v>
      </c>
      <c r="AY207" s="231">
        <v>0</v>
      </c>
      <c r="AZ207" s="230">
        <v>0</v>
      </c>
      <c r="BA207" s="2" t="s">
        <v>1215</v>
      </c>
      <c r="BD207" s="2" t="s">
        <v>1215</v>
      </c>
    </row>
    <row r="208" spans="1:58" ht="15" customHeight="1" x14ac:dyDescent="0.25">
      <c r="A208" s="241" t="s">
        <v>728</v>
      </c>
      <c r="B208" s="2" t="s">
        <v>26</v>
      </c>
      <c r="D208" s="241" t="s">
        <v>729</v>
      </c>
      <c r="E208" s="241" t="s">
        <v>730</v>
      </c>
      <c r="F208" s="359">
        <v>43497</v>
      </c>
      <c r="H208" s="358" t="s">
        <v>1050</v>
      </c>
      <c r="I208" s="367" t="s">
        <v>1048</v>
      </c>
      <c r="J208" s="2">
        <v>514280</v>
      </c>
      <c r="K208" s="2">
        <v>170996</v>
      </c>
      <c r="L208" s="293"/>
      <c r="M208" s="364">
        <v>0</v>
      </c>
      <c r="N208" s="364">
        <v>0</v>
      </c>
      <c r="O208" s="364">
        <v>0</v>
      </c>
      <c r="P208" s="364">
        <v>0</v>
      </c>
      <c r="Q208" s="364"/>
      <c r="R208" s="364"/>
      <c r="S208" s="364"/>
      <c r="T208" s="365">
        <v>0</v>
      </c>
      <c r="U208" s="364"/>
      <c r="V208" s="364">
        <v>4</v>
      </c>
      <c r="W208" s="364">
        <v>2</v>
      </c>
      <c r="X208" s="364">
        <v>0</v>
      </c>
      <c r="Y208" s="364">
        <v>0</v>
      </c>
      <c r="Z208" s="364"/>
      <c r="AA208" s="364"/>
      <c r="AB208" s="364"/>
      <c r="AC208" s="365">
        <v>6</v>
      </c>
      <c r="AD208" s="364"/>
      <c r="AE208" s="364">
        <f t="shared" si="49"/>
        <v>4</v>
      </c>
      <c r="AF208" s="364">
        <f t="shared" si="50"/>
        <v>2</v>
      </c>
      <c r="AG208" s="364">
        <f t="shared" si="51"/>
        <v>0</v>
      </c>
      <c r="AH208" s="364">
        <f t="shared" si="52"/>
        <v>0</v>
      </c>
      <c r="AI208" s="364">
        <f t="shared" si="53"/>
        <v>0</v>
      </c>
      <c r="AJ208" s="364">
        <f t="shared" si="54"/>
        <v>0</v>
      </c>
      <c r="AK208" s="364">
        <f t="shared" si="55"/>
        <v>0</v>
      </c>
      <c r="AL208" s="348">
        <f t="shared" si="56"/>
        <v>6</v>
      </c>
      <c r="AM208" s="232"/>
      <c r="AN208" s="322">
        <v>0</v>
      </c>
      <c r="AO208" s="231">
        <v>3</v>
      </c>
      <c r="AP208" s="228">
        <v>3</v>
      </c>
      <c r="AQ208" s="231">
        <v>0</v>
      </c>
      <c r="AR208" s="231">
        <v>0</v>
      </c>
      <c r="AS208" s="231">
        <v>0</v>
      </c>
      <c r="AT208" s="231">
        <v>0</v>
      </c>
      <c r="AU208" s="323" t="s">
        <v>39</v>
      </c>
      <c r="AV208" s="231">
        <v>0</v>
      </c>
      <c r="AW208" s="231">
        <v>0</v>
      </c>
      <c r="AX208" s="231">
        <v>0</v>
      </c>
      <c r="AY208" s="231">
        <v>0</v>
      </c>
      <c r="AZ208" s="230">
        <v>0</v>
      </c>
      <c r="BA208" s="2" t="s">
        <v>1265</v>
      </c>
      <c r="BC208" s="2" t="s">
        <v>1432</v>
      </c>
    </row>
    <row r="209" spans="1:58" ht="15" customHeight="1" x14ac:dyDescent="0.25">
      <c r="A209" s="241" t="s">
        <v>737</v>
      </c>
      <c r="B209" s="2" t="s">
        <v>60</v>
      </c>
      <c r="D209" s="241" t="s">
        <v>738</v>
      </c>
      <c r="E209" s="241" t="s">
        <v>739</v>
      </c>
      <c r="F209" s="359">
        <v>43374</v>
      </c>
      <c r="H209" s="358" t="s">
        <v>1050</v>
      </c>
      <c r="I209" s="367" t="s">
        <v>1048</v>
      </c>
      <c r="J209" s="2">
        <v>514485</v>
      </c>
      <c r="K209" s="2">
        <v>171271</v>
      </c>
      <c r="L209" s="293"/>
      <c r="M209" s="364">
        <v>3</v>
      </c>
      <c r="N209" s="364">
        <v>0</v>
      </c>
      <c r="O209" s="364">
        <v>0</v>
      </c>
      <c r="P209" s="364">
        <v>0</v>
      </c>
      <c r="Q209" s="364"/>
      <c r="R209" s="364"/>
      <c r="S209" s="364"/>
      <c r="T209" s="365">
        <v>3</v>
      </c>
      <c r="U209" s="364"/>
      <c r="V209" s="364">
        <v>0</v>
      </c>
      <c r="W209" s="364">
        <v>3</v>
      </c>
      <c r="X209" s="364">
        <v>0</v>
      </c>
      <c r="Y209" s="364">
        <v>0</v>
      </c>
      <c r="Z209" s="364"/>
      <c r="AA209" s="364"/>
      <c r="AB209" s="364"/>
      <c r="AC209" s="365">
        <v>3</v>
      </c>
      <c r="AD209" s="364"/>
      <c r="AE209" s="364">
        <f t="shared" si="49"/>
        <v>-3</v>
      </c>
      <c r="AF209" s="364">
        <f t="shared" si="50"/>
        <v>3</v>
      </c>
      <c r="AG209" s="364">
        <f t="shared" si="51"/>
        <v>0</v>
      </c>
      <c r="AH209" s="364">
        <f t="shared" si="52"/>
        <v>0</v>
      </c>
      <c r="AI209" s="364">
        <f t="shared" si="53"/>
        <v>0</v>
      </c>
      <c r="AJ209" s="364">
        <f t="shared" si="54"/>
        <v>0</v>
      </c>
      <c r="AK209" s="364">
        <f t="shared" si="55"/>
        <v>0</v>
      </c>
      <c r="AL209" s="348">
        <f t="shared" si="56"/>
        <v>0</v>
      </c>
      <c r="AM209" s="232"/>
      <c r="AN209" s="322">
        <v>0</v>
      </c>
      <c r="AO209" s="231">
        <v>0</v>
      </c>
      <c r="AP209" s="228">
        <v>0</v>
      </c>
      <c r="AQ209" s="231">
        <v>0</v>
      </c>
      <c r="AR209" s="231">
        <v>0</v>
      </c>
      <c r="AS209" s="231">
        <v>0</v>
      </c>
      <c r="AT209" s="231">
        <v>0</v>
      </c>
      <c r="AU209" s="323">
        <v>0</v>
      </c>
      <c r="AV209" s="231">
        <v>0</v>
      </c>
      <c r="AW209" s="231">
        <v>0</v>
      </c>
      <c r="AX209" s="231">
        <v>0</v>
      </c>
      <c r="AY209" s="231">
        <v>0</v>
      </c>
      <c r="AZ209" s="230">
        <v>0</v>
      </c>
      <c r="BA209" s="2" t="s">
        <v>1265</v>
      </c>
      <c r="BC209" s="2" t="s">
        <v>1432</v>
      </c>
    </row>
    <row r="210" spans="1:58" ht="15" customHeight="1" x14ac:dyDescent="0.25">
      <c r="A210" s="241" t="s">
        <v>352</v>
      </c>
      <c r="B210" s="2" t="s">
        <v>22</v>
      </c>
      <c r="D210" s="241" t="s">
        <v>353</v>
      </c>
      <c r="E210" s="241" t="s">
        <v>354</v>
      </c>
      <c r="G210" s="318">
        <v>43647</v>
      </c>
      <c r="H210" s="358" t="s">
        <v>1050</v>
      </c>
      <c r="I210" s="367" t="s">
        <v>1048</v>
      </c>
      <c r="J210" s="2">
        <v>518588</v>
      </c>
      <c r="K210" s="2">
        <v>175372</v>
      </c>
      <c r="L210" s="293"/>
      <c r="M210" s="364">
        <v>0</v>
      </c>
      <c r="N210" s="364">
        <v>0</v>
      </c>
      <c r="O210" s="364">
        <v>0</v>
      </c>
      <c r="P210" s="364">
        <v>0</v>
      </c>
      <c r="Q210" s="364"/>
      <c r="R210" s="364"/>
      <c r="S210" s="364"/>
      <c r="T210" s="365">
        <v>0</v>
      </c>
      <c r="U210" s="364"/>
      <c r="V210" s="364">
        <v>0</v>
      </c>
      <c r="W210" s="364">
        <v>1</v>
      </c>
      <c r="X210" s="364">
        <v>0</v>
      </c>
      <c r="Y210" s="364">
        <v>0</v>
      </c>
      <c r="Z210" s="364"/>
      <c r="AA210" s="364"/>
      <c r="AB210" s="364"/>
      <c r="AC210" s="365">
        <v>1</v>
      </c>
      <c r="AD210" s="364"/>
      <c r="AE210" s="364">
        <f t="shared" si="49"/>
        <v>0</v>
      </c>
      <c r="AF210" s="364">
        <f t="shared" si="50"/>
        <v>1</v>
      </c>
      <c r="AG210" s="364">
        <f t="shared" si="51"/>
        <v>0</v>
      </c>
      <c r="AH210" s="364">
        <f t="shared" si="52"/>
        <v>0</v>
      </c>
      <c r="AI210" s="364">
        <f t="shared" si="53"/>
        <v>0</v>
      </c>
      <c r="AJ210" s="364">
        <f t="shared" si="54"/>
        <v>0</v>
      </c>
      <c r="AK210" s="364">
        <f t="shared" si="55"/>
        <v>0</v>
      </c>
      <c r="AL210" s="348">
        <f t="shared" si="56"/>
        <v>1</v>
      </c>
      <c r="AM210" s="232"/>
      <c r="AN210" s="322">
        <v>0</v>
      </c>
      <c r="AO210" s="231">
        <v>1</v>
      </c>
      <c r="AP210" s="228">
        <v>0</v>
      </c>
      <c r="AQ210" s="231">
        <v>0</v>
      </c>
      <c r="AR210" s="231">
        <v>0</v>
      </c>
      <c r="AS210" s="231">
        <v>0</v>
      </c>
      <c r="AT210" s="231">
        <v>0</v>
      </c>
      <c r="AU210" s="323">
        <v>0</v>
      </c>
      <c r="AV210" s="231">
        <v>0</v>
      </c>
      <c r="AW210" s="231">
        <v>0</v>
      </c>
      <c r="AX210" s="231">
        <v>0</v>
      </c>
      <c r="AY210" s="231">
        <v>0</v>
      </c>
      <c r="AZ210" s="230">
        <v>0</v>
      </c>
      <c r="BA210" s="2" t="s">
        <v>1234</v>
      </c>
    </row>
    <row r="211" spans="1:58" ht="15" customHeight="1" x14ac:dyDescent="0.25">
      <c r="A211" s="241" t="s">
        <v>908</v>
      </c>
      <c r="B211" s="2" t="s">
        <v>9</v>
      </c>
      <c r="D211" s="241" t="s">
        <v>909</v>
      </c>
      <c r="E211" s="241" t="s">
        <v>910</v>
      </c>
      <c r="F211" s="318">
        <v>43497</v>
      </c>
      <c r="H211" s="358" t="s">
        <v>1050</v>
      </c>
      <c r="I211" s="367" t="s">
        <v>1048</v>
      </c>
      <c r="J211" s="2">
        <v>515299</v>
      </c>
      <c r="K211" s="2">
        <v>173105</v>
      </c>
      <c r="L211" s="293"/>
      <c r="M211" s="364">
        <v>0</v>
      </c>
      <c r="N211" s="364">
        <v>0</v>
      </c>
      <c r="O211" s="364">
        <v>0</v>
      </c>
      <c r="P211" s="364">
        <v>1</v>
      </c>
      <c r="Q211" s="364"/>
      <c r="R211" s="364"/>
      <c r="S211" s="364"/>
      <c r="T211" s="365">
        <v>1</v>
      </c>
      <c r="U211" s="364"/>
      <c r="V211" s="364">
        <v>0</v>
      </c>
      <c r="W211" s="364">
        <v>0</v>
      </c>
      <c r="X211" s="364">
        <v>0</v>
      </c>
      <c r="Y211" s="364">
        <v>1</v>
      </c>
      <c r="Z211" s="364"/>
      <c r="AA211" s="364"/>
      <c r="AB211" s="364"/>
      <c r="AC211" s="365">
        <v>1</v>
      </c>
      <c r="AD211" s="364"/>
      <c r="AE211" s="364">
        <f t="shared" si="49"/>
        <v>0</v>
      </c>
      <c r="AF211" s="364">
        <f t="shared" si="50"/>
        <v>0</v>
      </c>
      <c r="AG211" s="364">
        <f t="shared" si="51"/>
        <v>0</v>
      </c>
      <c r="AH211" s="364">
        <f t="shared" si="52"/>
        <v>0</v>
      </c>
      <c r="AI211" s="364">
        <f t="shared" si="53"/>
        <v>0</v>
      </c>
      <c r="AJ211" s="364">
        <f t="shared" si="54"/>
        <v>0</v>
      </c>
      <c r="AK211" s="364">
        <f t="shared" si="55"/>
        <v>0</v>
      </c>
      <c r="AL211" s="348">
        <f t="shared" si="56"/>
        <v>0</v>
      </c>
      <c r="AM211" s="369"/>
      <c r="AN211" s="322">
        <v>0</v>
      </c>
      <c r="AO211" s="231">
        <v>0</v>
      </c>
      <c r="AP211" s="228">
        <v>0</v>
      </c>
      <c r="AQ211" s="231">
        <v>0</v>
      </c>
      <c r="AR211" s="231">
        <v>0</v>
      </c>
      <c r="AS211" s="231">
        <v>0</v>
      </c>
      <c r="AT211" s="231">
        <v>0</v>
      </c>
      <c r="AU211" s="242">
        <v>0</v>
      </c>
      <c r="AV211" s="231">
        <v>0</v>
      </c>
      <c r="AW211" s="231">
        <v>0</v>
      </c>
      <c r="AX211" s="231">
        <v>0</v>
      </c>
      <c r="AY211" s="231">
        <v>0</v>
      </c>
      <c r="AZ211" s="230">
        <v>0</v>
      </c>
      <c r="BA211" s="2" t="s">
        <v>1236</v>
      </c>
    </row>
    <row r="212" spans="1:58" ht="15" customHeight="1" x14ac:dyDescent="0.25">
      <c r="A212" s="241" t="s">
        <v>846</v>
      </c>
      <c r="B212" s="2" t="s">
        <v>5</v>
      </c>
      <c r="D212" s="241" t="s">
        <v>847</v>
      </c>
      <c r="E212" s="241" t="s">
        <v>848</v>
      </c>
      <c r="F212" s="359">
        <v>43496</v>
      </c>
      <c r="H212" s="358" t="s">
        <v>1050</v>
      </c>
      <c r="I212" s="367" t="s">
        <v>1048</v>
      </c>
      <c r="J212" s="2">
        <v>515965</v>
      </c>
      <c r="K212" s="2">
        <v>173782</v>
      </c>
      <c r="L212" s="293"/>
      <c r="M212" s="364">
        <v>0</v>
      </c>
      <c r="N212" s="364">
        <v>0</v>
      </c>
      <c r="O212" s="364">
        <v>1</v>
      </c>
      <c r="P212" s="364">
        <v>0</v>
      </c>
      <c r="Q212" s="364"/>
      <c r="R212" s="364"/>
      <c r="S212" s="364"/>
      <c r="T212" s="365">
        <v>1</v>
      </c>
      <c r="U212" s="364"/>
      <c r="V212" s="364">
        <v>1</v>
      </c>
      <c r="W212" s="364">
        <v>2</v>
      </c>
      <c r="X212" s="364">
        <v>0</v>
      </c>
      <c r="Y212" s="364">
        <v>0</v>
      </c>
      <c r="Z212" s="364"/>
      <c r="AA212" s="364"/>
      <c r="AB212" s="364"/>
      <c r="AC212" s="365">
        <v>3</v>
      </c>
      <c r="AD212" s="364"/>
      <c r="AE212" s="364">
        <f t="shared" si="49"/>
        <v>1</v>
      </c>
      <c r="AF212" s="364">
        <f t="shared" si="50"/>
        <v>2</v>
      </c>
      <c r="AG212" s="364">
        <f t="shared" si="51"/>
        <v>-1</v>
      </c>
      <c r="AH212" s="364">
        <f t="shared" si="52"/>
        <v>0</v>
      </c>
      <c r="AI212" s="364">
        <f t="shared" si="53"/>
        <v>0</v>
      </c>
      <c r="AJ212" s="364">
        <f t="shared" si="54"/>
        <v>0</v>
      </c>
      <c r="AK212" s="364">
        <f t="shared" si="55"/>
        <v>0</v>
      </c>
      <c r="AL212" s="348">
        <f t="shared" si="56"/>
        <v>2</v>
      </c>
      <c r="AN212" s="322">
        <v>0</v>
      </c>
      <c r="AO212" s="231">
        <v>2</v>
      </c>
      <c r="AP212" s="228">
        <v>0</v>
      </c>
      <c r="AQ212" s="231">
        <v>0</v>
      </c>
      <c r="AR212" s="231">
        <v>0</v>
      </c>
      <c r="AS212" s="231">
        <v>0</v>
      </c>
      <c r="AT212" s="231">
        <v>0</v>
      </c>
      <c r="AU212" s="242">
        <v>0</v>
      </c>
      <c r="AV212" s="231">
        <v>0</v>
      </c>
      <c r="AW212" s="231">
        <v>0</v>
      </c>
      <c r="AX212" s="231">
        <v>0</v>
      </c>
      <c r="AY212" s="231">
        <v>0</v>
      </c>
      <c r="AZ212" s="230">
        <v>0</v>
      </c>
      <c r="BA212" s="2" t="s">
        <v>1442</v>
      </c>
    </row>
    <row r="213" spans="1:58" ht="15" customHeight="1" x14ac:dyDescent="0.25">
      <c r="A213" s="241" t="s">
        <v>831</v>
      </c>
      <c r="B213" s="2" t="s">
        <v>5</v>
      </c>
      <c r="D213" s="241" t="s">
        <v>832</v>
      </c>
      <c r="E213" s="241" t="s">
        <v>833</v>
      </c>
      <c r="F213" s="359">
        <v>43555</v>
      </c>
      <c r="G213" s="318"/>
      <c r="H213" s="358" t="s">
        <v>1050</v>
      </c>
      <c r="I213" s="367" t="s">
        <v>1048</v>
      </c>
      <c r="J213" s="2">
        <v>516997</v>
      </c>
      <c r="K213" s="2">
        <v>173966</v>
      </c>
      <c r="L213" s="293"/>
      <c r="M213" s="364">
        <v>0</v>
      </c>
      <c r="N213" s="364">
        <v>2</v>
      </c>
      <c r="O213" s="364">
        <v>0</v>
      </c>
      <c r="P213" s="364">
        <v>0</v>
      </c>
      <c r="Q213" s="364"/>
      <c r="R213" s="364"/>
      <c r="S213" s="364"/>
      <c r="T213" s="365">
        <v>2</v>
      </c>
      <c r="U213" s="364"/>
      <c r="V213" s="364">
        <v>0</v>
      </c>
      <c r="W213" s="364">
        <v>0</v>
      </c>
      <c r="X213" s="364">
        <v>0</v>
      </c>
      <c r="Y213" s="364">
        <v>1</v>
      </c>
      <c r="Z213" s="364"/>
      <c r="AA213" s="364"/>
      <c r="AB213" s="364"/>
      <c r="AC213" s="365">
        <v>1</v>
      </c>
      <c r="AD213" s="364"/>
      <c r="AE213" s="364">
        <f t="shared" si="49"/>
        <v>0</v>
      </c>
      <c r="AF213" s="364">
        <f t="shared" si="50"/>
        <v>-2</v>
      </c>
      <c r="AG213" s="364">
        <f t="shared" si="51"/>
        <v>0</v>
      </c>
      <c r="AH213" s="364">
        <f t="shared" si="52"/>
        <v>1</v>
      </c>
      <c r="AI213" s="364">
        <f t="shared" si="53"/>
        <v>0</v>
      </c>
      <c r="AJ213" s="364">
        <f t="shared" si="54"/>
        <v>0</v>
      </c>
      <c r="AK213" s="364">
        <f t="shared" si="55"/>
        <v>0</v>
      </c>
      <c r="AL213" s="348">
        <f t="shared" si="56"/>
        <v>-1</v>
      </c>
      <c r="AN213" s="322">
        <v>0</v>
      </c>
      <c r="AO213" s="231">
        <v>-1</v>
      </c>
      <c r="AP213" s="228">
        <v>0</v>
      </c>
      <c r="AQ213" s="231">
        <v>0</v>
      </c>
      <c r="AR213" s="231">
        <v>0</v>
      </c>
      <c r="AS213" s="231">
        <v>0</v>
      </c>
      <c r="AT213" s="231">
        <v>0</v>
      </c>
      <c r="AU213" s="242">
        <v>0</v>
      </c>
      <c r="AV213" s="231">
        <v>0</v>
      </c>
      <c r="AW213" s="231">
        <v>0</v>
      </c>
      <c r="AX213" s="231">
        <v>0</v>
      </c>
      <c r="AY213" s="231">
        <v>0</v>
      </c>
      <c r="AZ213" s="230">
        <v>0</v>
      </c>
      <c r="BA213" s="2" t="s">
        <v>1238</v>
      </c>
    </row>
    <row r="214" spans="1:58" ht="15" customHeight="1" x14ac:dyDescent="0.25">
      <c r="A214" s="241" t="s">
        <v>669</v>
      </c>
      <c r="B214" s="2" t="s">
        <v>26</v>
      </c>
      <c r="C214" s="2" t="s">
        <v>1037</v>
      </c>
      <c r="D214" s="241" t="s">
        <v>670</v>
      </c>
      <c r="E214" s="241" t="s">
        <v>671</v>
      </c>
      <c r="F214" s="371">
        <v>43293</v>
      </c>
      <c r="H214" s="358" t="s">
        <v>1050</v>
      </c>
      <c r="I214" s="367" t="s">
        <v>1048</v>
      </c>
      <c r="J214" s="2">
        <v>515113</v>
      </c>
      <c r="K214" s="2">
        <v>171634</v>
      </c>
      <c r="L214" s="293"/>
      <c r="M214" s="364">
        <v>0</v>
      </c>
      <c r="N214" s="364">
        <v>0</v>
      </c>
      <c r="O214" s="364">
        <v>0</v>
      </c>
      <c r="P214" s="364">
        <v>0</v>
      </c>
      <c r="Q214" s="364"/>
      <c r="R214" s="364"/>
      <c r="S214" s="364"/>
      <c r="T214" s="365">
        <v>0</v>
      </c>
      <c r="U214" s="364"/>
      <c r="V214" s="364">
        <v>0</v>
      </c>
      <c r="W214" s="364">
        <v>1</v>
      </c>
      <c r="X214" s="364">
        <v>0</v>
      </c>
      <c r="Y214" s="364">
        <v>0</v>
      </c>
      <c r="Z214" s="364"/>
      <c r="AA214" s="364"/>
      <c r="AB214" s="364"/>
      <c r="AC214" s="365">
        <v>1</v>
      </c>
      <c r="AD214" s="364"/>
      <c r="AE214" s="364">
        <f t="shared" si="49"/>
        <v>0</v>
      </c>
      <c r="AF214" s="364">
        <f t="shared" si="50"/>
        <v>1</v>
      </c>
      <c r="AG214" s="364">
        <f t="shared" si="51"/>
        <v>0</v>
      </c>
      <c r="AH214" s="364">
        <f t="shared" si="52"/>
        <v>0</v>
      </c>
      <c r="AI214" s="364">
        <f t="shared" si="53"/>
        <v>0</v>
      </c>
      <c r="AJ214" s="364">
        <f t="shared" si="54"/>
        <v>0</v>
      </c>
      <c r="AK214" s="364">
        <f t="shared" si="55"/>
        <v>0</v>
      </c>
      <c r="AL214" s="348">
        <f t="shared" si="56"/>
        <v>1</v>
      </c>
      <c r="AM214" s="232"/>
      <c r="AN214" s="322">
        <v>0</v>
      </c>
      <c r="AO214" s="231">
        <v>1</v>
      </c>
      <c r="AP214" s="228">
        <v>0</v>
      </c>
      <c r="AQ214" s="231">
        <v>0</v>
      </c>
      <c r="AR214" s="231">
        <v>0</v>
      </c>
      <c r="AS214" s="231">
        <v>0</v>
      </c>
      <c r="AT214" s="231">
        <v>0</v>
      </c>
      <c r="AU214" s="323">
        <v>0</v>
      </c>
      <c r="AV214" s="231">
        <v>0</v>
      </c>
      <c r="AW214" s="231">
        <v>0</v>
      </c>
      <c r="AX214" s="231">
        <v>0</v>
      </c>
      <c r="AY214" s="231">
        <v>0</v>
      </c>
      <c r="AZ214" s="230">
        <v>0</v>
      </c>
      <c r="BA214" s="2" t="s">
        <v>1265</v>
      </c>
      <c r="BC214" s="2" t="s">
        <v>1435</v>
      </c>
    </row>
    <row r="215" spans="1:58" ht="15" customHeight="1" x14ac:dyDescent="0.25">
      <c r="A215" s="241" t="s">
        <v>725</v>
      </c>
      <c r="B215" s="2" t="s">
        <v>26</v>
      </c>
      <c r="D215" s="241" t="s">
        <v>726</v>
      </c>
      <c r="E215" s="241" t="s">
        <v>727</v>
      </c>
      <c r="F215" s="359">
        <v>43525</v>
      </c>
      <c r="H215" s="358" t="s">
        <v>1050</v>
      </c>
      <c r="I215" s="367" t="s">
        <v>1048</v>
      </c>
      <c r="J215" s="2">
        <v>514273</v>
      </c>
      <c r="K215" s="2">
        <v>170844</v>
      </c>
      <c r="L215" s="293"/>
      <c r="M215" s="364">
        <v>0</v>
      </c>
      <c r="N215" s="364">
        <v>0</v>
      </c>
      <c r="O215" s="364">
        <v>0</v>
      </c>
      <c r="P215" s="364">
        <v>0</v>
      </c>
      <c r="Q215" s="364"/>
      <c r="R215" s="364"/>
      <c r="S215" s="364"/>
      <c r="T215" s="365">
        <v>0</v>
      </c>
      <c r="U215" s="364"/>
      <c r="V215" s="364">
        <v>0</v>
      </c>
      <c r="W215" s="364">
        <v>2</v>
      </c>
      <c r="X215" s="364">
        <v>0</v>
      </c>
      <c r="Y215" s="364">
        <v>0</v>
      </c>
      <c r="Z215" s="364"/>
      <c r="AA215" s="364"/>
      <c r="AB215" s="364"/>
      <c r="AC215" s="365">
        <v>2</v>
      </c>
      <c r="AD215" s="364"/>
      <c r="AE215" s="364">
        <f t="shared" si="49"/>
        <v>0</v>
      </c>
      <c r="AF215" s="364">
        <f t="shared" si="50"/>
        <v>2</v>
      </c>
      <c r="AG215" s="364">
        <f t="shared" si="51"/>
        <v>0</v>
      </c>
      <c r="AH215" s="364">
        <f t="shared" si="52"/>
        <v>0</v>
      </c>
      <c r="AI215" s="364">
        <f t="shared" si="53"/>
        <v>0</v>
      </c>
      <c r="AJ215" s="364">
        <f t="shared" si="54"/>
        <v>0</v>
      </c>
      <c r="AK215" s="364">
        <f t="shared" si="55"/>
        <v>0</v>
      </c>
      <c r="AL215" s="348">
        <f t="shared" si="56"/>
        <v>2</v>
      </c>
      <c r="AM215" s="232"/>
      <c r="AN215" s="322">
        <v>0</v>
      </c>
      <c r="AO215" s="231">
        <v>0</v>
      </c>
      <c r="AP215" s="228">
        <v>2</v>
      </c>
      <c r="AQ215" s="231">
        <v>0</v>
      </c>
      <c r="AR215" s="231">
        <v>0</v>
      </c>
      <c r="AS215" s="231">
        <v>0</v>
      </c>
      <c r="AT215" s="231">
        <v>0</v>
      </c>
      <c r="AU215" s="323" t="s">
        <v>39</v>
      </c>
      <c r="AV215" s="231">
        <v>0</v>
      </c>
      <c r="AW215" s="231">
        <v>0</v>
      </c>
      <c r="AX215" s="231">
        <v>0</v>
      </c>
      <c r="AY215" s="231">
        <v>0</v>
      </c>
      <c r="AZ215" s="230">
        <v>0</v>
      </c>
      <c r="BA215" s="2" t="s">
        <v>1265</v>
      </c>
      <c r="BC215" s="2" t="s">
        <v>1432</v>
      </c>
    </row>
    <row r="216" spans="1:58" ht="15" customHeight="1" x14ac:dyDescent="0.25">
      <c r="A216" s="241" t="s">
        <v>308</v>
      </c>
      <c r="B216" s="2" t="s">
        <v>26</v>
      </c>
      <c r="D216" s="241" t="s">
        <v>309</v>
      </c>
      <c r="E216" s="241" t="s">
        <v>310</v>
      </c>
      <c r="F216" s="359">
        <v>43497</v>
      </c>
      <c r="H216" s="358" t="s">
        <v>1050</v>
      </c>
      <c r="I216" s="367" t="s">
        <v>1048</v>
      </c>
      <c r="J216" s="2">
        <v>521729</v>
      </c>
      <c r="K216" s="2">
        <v>176389</v>
      </c>
      <c r="L216" s="293"/>
      <c r="M216" s="364">
        <v>2</v>
      </c>
      <c r="N216" s="364">
        <v>0</v>
      </c>
      <c r="O216" s="364">
        <v>0</v>
      </c>
      <c r="P216" s="364">
        <v>0</v>
      </c>
      <c r="Q216" s="364"/>
      <c r="R216" s="364"/>
      <c r="S216" s="364"/>
      <c r="T216" s="365">
        <v>2</v>
      </c>
      <c r="U216" s="364"/>
      <c r="V216" s="364">
        <v>2</v>
      </c>
      <c r="W216" s="364">
        <v>1</v>
      </c>
      <c r="X216" s="364">
        <v>0</v>
      </c>
      <c r="Y216" s="364">
        <v>0</v>
      </c>
      <c r="Z216" s="364"/>
      <c r="AA216" s="364"/>
      <c r="AB216" s="364"/>
      <c r="AC216" s="365">
        <v>3</v>
      </c>
      <c r="AD216" s="364"/>
      <c r="AE216" s="364">
        <f t="shared" si="49"/>
        <v>0</v>
      </c>
      <c r="AF216" s="364">
        <f t="shared" si="50"/>
        <v>1</v>
      </c>
      <c r="AG216" s="364">
        <f t="shared" si="51"/>
        <v>0</v>
      </c>
      <c r="AH216" s="364">
        <f t="shared" si="52"/>
        <v>0</v>
      </c>
      <c r="AI216" s="364">
        <f t="shared" si="53"/>
        <v>0</v>
      </c>
      <c r="AJ216" s="364">
        <f t="shared" si="54"/>
        <v>0</v>
      </c>
      <c r="AK216" s="364">
        <f t="shared" si="55"/>
        <v>0</v>
      </c>
      <c r="AL216" s="348">
        <f t="shared" si="56"/>
        <v>1</v>
      </c>
      <c r="AM216" s="232"/>
      <c r="AN216" s="322">
        <v>0</v>
      </c>
      <c r="AO216" s="231">
        <v>1</v>
      </c>
      <c r="AP216" s="228">
        <v>0</v>
      </c>
      <c r="AQ216" s="231">
        <v>0</v>
      </c>
      <c r="AR216" s="231">
        <v>0</v>
      </c>
      <c r="AS216" s="231">
        <v>0</v>
      </c>
      <c r="AT216" s="231">
        <v>0</v>
      </c>
      <c r="AU216" s="323">
        <v>0</v>
      </c>
      <c r="AV216" s="231">
        <v>0</v>
      </c>
      <c r="AW216" s="231">
        <v>0</v>
      </c>
      <c r="AX216" s="231">
        <v>0</v>
      </c>
      <c r="AY216" s="231">
        <v>0</v>
      </c>
      <c r="AZ216" s="230">
        <v>0</v>
      </c>
      <c r="BA216" s="2" t="s">
        <v>1267</v>
      </c>
      <c r="BC216" s="2" t="s">
        <v>1432</v>
      </c>
    </row>
    <row r="217" spans="1:58" ht="15" customHeight="1" x14ac:dyDescent="0.25">
      <c r="A217" s="241" t="s">
        <v>1567</v>
      </c>
      <c r="B217" s="2" t="s">
        <v>26</v>
      </c>
      <c r="D217" s="350" t="s">
        <v>672</v>
      </c>
      <c r="E217" s="241" t="s">
        <v>673</v>
      </c>
      <c r="F217" s="371">
        <v>43191</v>
      </c>
      <c r="H217" s="358" t="s">
        <v>1050</v>
      </c>
      <c r="I217" s="367" t="s">
        <v>1048</v>
      </c>
      <c r="J217" s="2">
        <v>515113</v>
      </c>
      <c r="K217" s="2">
        <v>171634</v>
      </c>
      <c r="L217" s="293"/>
      <c r="M217" s="364">
        <v>0</v>
      </c>
      <c r="N217" s="364">
        <v>0</v>
      </c>
      <c r="O217" s="364">
        <v>0</v>
      </c>
      <c r="P217" s="364">
        <v>0</v>
      </c>
      <c r="Q217" s="364"/>
      <c r="R217" s="364"/>
      <c r="S217" s="364"/>
      <c r="T217" s="365">
        <v>0</v>
      </c>
      <c r="U217" s="364">
        <v>1</v>
      </c>
      <c r="V217" s="364">
        <v>0</v>
      </c>
      <c r="W217" s="364">
        <v>0</v>
      </c>
      <c r="X217" s="364">
        <v>0</v>
      </c>
      <c r="Y217" s="364">
        <v>0</v>
      </c>
      <c r="Z217" s="364"/>
      <c r="AA217" s="364"/>
      <c r="AB217" s="364"/>
      <c r="AC217" s="365">
        <v>1</v>
      </c>
      <c r="AD217" s="364">
        <f>U217-L217</f>
        <v>1</v>
      </c>
      <c r="AE217" s="364">
        <f t="shared" si="49"/>
        <v>0</v>
      </c>
      <c r="AF217" s="364">
        <f t="shared" si="50"/>
        <v>0</v>
      </c>
      <c r="AG217" s="364">
        <f t="shared" si="51"/>
        <v>0</v>
      </c>
      <c r="AH217" s="364">
        <f t="shared" si="52"/>
        <v>0</v>
      </c>
      <c r="AI217" s="364">
        <f t="shared" si="53"/>
        <v>0</v>
      </c>
      <c r="AJ217" s="364">
        <f t="shared" si="54"/>
        <v>0</v>
      </c>
      <c r="AK217" s="364">
        <f t="shared" si="55"/>
        <v>0</v>
      </c>
      <c r="AL217" s="348">
        <f t="shared" si="56"/>
        <v>1</v>
      </c>
      <c r="AM217" s="232"/>
      <c r="AN217" s="228">
        <v>0</v>
      </c>
      <c r="AO217" s="322">
        <v>1</v>
      </c>
      <c r="AP217" s="231">
        <v>0</v>
      </c>
      <c r="AQ217" s="231">
        <v>0</v>
      </c>
      <c r="AR217" s="231">
        <v>0</v>
      </c>
      <c r="AS217" s="231">
        <v>0</v>
      </c>
      <c r="AT217" s="231">
        <v>0</v>
      </c>
      <c r="AU217" s="323">
        <v>0</v>
      </c>
      <c r="AV217" s="231">
        <v>0</v>
      </c>
      <c r="AW217" s="231">
        <v>0</v>
      </c>
      <c r="AX217" s="231">
        <v>0</v>
      </c>
      <c r="AY217" s="231">
        <v>0</v>
      </c>
      <c r="AZ217" s="230">
        <v>0</v>
      </c>
      <c r="BA217" s="2" t="s">
        <v>1265</v>
      </c>
      <c r="BC217" s="2" t="s">
        <v>1435</v>
      </c>
    </row>
    <row r="218" spans="1:58" ht="15" customHeight="1" x14ac:dyDescent="0.25">
      <c r="A218" s="241" t="s">
        <v>630</v>
      </c>
      <c r="B218" s="2" t="s">
        <v>26</v>
      </c>
      <c r="D218" s="241" t="s">
        <v>631</v>
      </c>
      <c r="E218" s="241" t="s">
        <v>632</v>
      </c>
      <c r="F218" s="359">
        <v>43553</v>
      </c>
      <c r="H218" s="349" t="s">
        <v>1050</v>
      </c>
      <c r="I218" s="367" t="s">
        <v>1048</v>
      </c>
      <c r="J218" s="2">
        <v>516022</v>
      </c>
      <c r="K218" s="2">
        <v>171099</v>
      </c>
      <c r="L218" s="293"/>
      <c r="M218" s="364">
        <v>0</v>
      </c>
      <c r="N218" s="364">
        <v>0</v>
      </c>
      <c r="O218" s="364">
        <v>0</v>
      </c>
      <c r="P218" s="364">
        <v>0</v>
      </c>
      <c r="Q218" s="364"/>
      <c r="R218" s="364"/>
      <c r="S218" s="364"/>
      <c r="T218" s="365">
        <v>0</v>
      </c>
      <c r="U218" s="364"/>
      <c r="V218" s="364">
        <v>0</v>
      </c>
      <c r="W218" s="364">
        <v>0</v>
      </c>
      <c r="X218" s="364">
        <v>1</v>
      </c>
      <c r="Y218" s="364">
        <v>0</v>
      </c>
      <c r="Z218" s="364"/>
      <c r="AA218" s="364"/>
      <c r="AB218" s="364"/>
      <c r="AC218" s="365">
        <v>1</v>
      </c>
      <c r="AD218" s="364"/>
      <c r="AE218" s="364">
        <f t="shared" si="49"/>
        <v>0</v>
      </c>
      <c r="AF218" s="364">
        <f t="shared" si="50"/>
        <v>0</v>
      </c>
      <c r="AG218" s="364">
        <f t="shared" si="51"/>
        <v>1</v>
      </c>
      <c r="AH218" s="364">
        <f t="shared" si="52"/>
        <v>0</v>
      </c>
      <c r="AI218" s="364">
        <f t="shared" si="53"/>
        <v>0</v>
      </c>
      <c r="AJ218" s="364">
        <f t="shared" si="54"/>
        <v>0</v>
      </c>
      <c r="AK218" s="364">
        <f t="shared" si="55"/>
        <v>0</v>
      </c>
      <c r="AL218" s="348">
        <f t="shared" si="56"/>
        <v>1</v>
      </c>
      <c r="AM218" s="232"/>
      <c r="AN218" s="322">
        <v>0</v>
      </c>
      <c r="AO218" s="322">
        <v>1</v>
      </c>
      <c r="AP218" s="231">
        <v>0</v>
      </c>
      <c r="AQ218" s="231">
        <v>0</v>
      </c>
      <c r="AR218" s="231">
        <v>0</v>
      </c>
      <c r="AS218" s="231">
        <v>0</v>
      </c>
      <c r="AT218" s="231">
        <v>0</v>
      </c>
      <c r="AU218" s="323">
        <v>0</v>
      </c>
      <c r="AV218" s="231">
        <v>0</v>
      </c>
      <c r="AW218" s="231">
        <v>0</v>
      </c>
      <c r="AX218" s="231">
        <v>0</v>
      </c>
      <c r="AY218" s="231">
        <v>0</v>
      </c>
      <c r="AZ218" s="230">
        <v>0</v>
      </c>
      <c r="BA218" s="2" t="s">
        <v>1215</v>
      </c>
      <c r="BD218" s="2" t="s">
        <v>1215</v>
      </c>
    </row>
    <row r="219" spans="1:58" ht="15" customHeight="1" x14ac:dyDescent="0.25">
      <c r="A219" s="241" t="s">
        <v>542</v>
      </c>
      <c r="B219" s="2" t="s">
        <v>26</v>
      </c>
      <c r="C219" s="2" t="s">
        <v>1037</v>
      </c>
      <c r="D219" s="241" t="s">
        <v>543</v>
      </c>
      <c r="E219" s="241" t="s">
        <v>544</v>
      </c>
      <c r="F219" s="359">
        <v>43525</v>
      </c>
      <c r="H219" s="358" t="s">
        <v>1050</v>
      </c>
      <c r="I219" s="367" t="s">
        <v>1048</v>
      </c>
      <c r="J219" s="2">
        <v>519311</v>
      </c>
      <c r="K219" s="2">
        <v>177214</v>
      </c>
      <c r="L219" s="293"/>
      <c r="M219" s="364">
        <v>0</v>
      </c>
      <c r="N219" s="364">
        <v>0</v>
      </c>
      <c r="O219" s="364">
        <v>0</v>
      </c>
      <c r="P219" s="364">
        <v>0</v>
      </c>
      <c r="Q219" s="364"/>
      <c r="R219" s="364"/>
      <c r="S219" s="364"/>
      <c r="T219" s="365">
        <v>0</v>
      </c>
      <c r="U219" s="364"/>
      <c r="V219" s="364">
        <v>0</v>
      </c>
      <c r="W219" s="364">
        <v>1</v>
      </c>
      <c r="X219" s="364">
        <v>2</v>
      </c>
      <c r="Y219" s="364">
        <v>0</v>
      </c>
      <c r="Z219" s="364"/>
      <c r="AA219" s="364"/>
      <c r="AB219" s="364"/>
      <c r="AC219" s="365">
        <v>3</v>
      </c>
      <c r="AD219" s="364"/>
      <c r="AE219" s="364">
        <f t="shared" si="49"/>
        <v>0</v>
      </c>
      <c r="AF219" s="364">
        <f t="shared" si="50"/>
        <v>1</v>
      </c>
      <c r="AG219" s="364">
        <f t="shared" si="51"/>
        <v>2</v>
      </c>
      <c r="AH219" s="364">
        <f t="shared" si="52"/>
        <v>0</v>
      </c>
      <c r="AI219" s="364">
        <f t="shared" si="53"/>
        <v>0</v>
      </c>
      <c r="AJ219" s="364">
        <f t="shared" si="54"/>
        <v>0</v>
      </c>
      <c r="AK219" s="364">
        <f t="shared" si="55"/>
        <v>0</v>
      </c>
      <c r="AL219" s="348">
        <f t="shared" si="56"/>
        <v>3</v>
      </c>
      <c r="AM219" s="232"/>
      <c r="AN219" s="322">
        <v>0</v>
      </c>
      <c r="AO219" s="322">
        <v>3</v>
      </c>
      <c r="AP219" s="231">
        <v>0</v>
      </c>
      <c r="AQ219" s="231">
        <v>0</v>
      </c>
      <c r="AR219" s="231">
        <v>0</v>
      </c>
      <c r="AS219" s="231">
        <v>0</v>
      </c>
      <c r="AT219" s="231">
        <v>0</v>
      </c>
      <c r="AU219" s="323">
        <v>0</v>
      </c>
      <c r="AV219" s="231">
        <v>0</v>
      </c>
      <c r="AW219" s="231">
        <v>0</v>
      </c>
      <c r="AX219" s="231">
        <v>0</v>
      </c>
      <c r="AY219" s="231">
        <v>0</v>
      </c>
      <c r="AZ219" s="230">
        <v>0</v>
      </c>
      <c r="BA219" s="2" t="s">
        <v>1232</v>
      </c>
    </row>
    <row r="220" spans="1:58" ht="15" customHeight="1" x14ac:dyDescent="0.25">
      <c r="A220" s="241" t="s">
        <v>905</v>
      </c>
      <c r="B220" s="2" t="s">
        <v>26</v>
      </c>
      <c r="C220" s="2" t="s">
        <v>1037</v>
      </c>
      <c r="D220" s="241" t="s">
        <v>906</v>
      </c>
      <c r="E220" s="241" t="s">
        <v>907</v>
      </c>
      <c r="F220" s="318">
        <v>43525</v>
      </c>
      <c r="H220" s="358" t="s">
        <v>1050</v>
      </c>
      <c r="I220" s="367" t="s">
        <v>1048</v>
      </c>
      <c r="J220" s="2">
        <v>515383</v>
      </c>
      <c r="K220" s="2">
        <v>173139</v>
      </c>
      <c r="L220" s="293"/>
      <c r="M220" s="364">
        <v>0</v>
      </c>
      <c r="N220" s="364">
        <v>0</v>
      </c>
      <c r="O220" s="364">
        <v>0</v>
      </c>
      <c r="P220" s="364">
        <v>0</v>
      </c>
      <c r="Q220" s="364"/>
      <c r="R220" s="364"/>
      <c r="S220" s="364"/>
      <c r="T220" s="365">
        <v>0</v>
      </c>
      <c r="U220" s="364"/>
      <c r="V220" s="364">
        <v>3</v>
      </c>
      <c r="W220" s="364">
        <v>1</v>
      </c>
      <c r="X220" s="364">
        <v>0</v>
      </c>
      <c r="Y220" s="364">
        <v>0</v>
      </c>
      <c r="Z220" s="364"/>
      <c r="AA220" s="364"/>
      <c r="AB220" s="364"/>
      <c r="AC220" s="365">
        <v>4</v>
      </c>
      <c r="AD220" s="364"/>
      <c r="AE220" s="364">
        <f t="shared" ref="AE220:AE251" si="57">V220-M220</f>
        <v>3</v>
      </c>
      <c r="AF220" s="364">
        <f t="shared" ref="AF220:AF251" si="58">W220-N220</f>
        <v>1</v>
      </c>
      <c r="AG220" s="364">
        <f t="shared" ref="AG220:AG251" si="59">X220-O220</f>
        <v>0</v>
      </c>
      <c r="AH220" s="364">
        <f t="shared" ref="AH220:AH251" si="60">Y220-P220</f>
        <v>0</v>
      </c>
      <c r="AI220" s="364">
        <f t="shared" ref="AI220:AI251" si="61">Z220-Q220</f>
        <v>0</v>
      </c>
      <c r="AJ220" s="364">
        <f t="shared" ref="AJ220:AJ251" si="62">AA220-R220</f>
        <v>0</v>
      </c>
      <c r="AK220" s="364">
        <f t="shared" ref="AK220:AK251" si="63">AB220-S220</f>
        <v>0</v>
      </c>
      <c r="AL220" s="348">
        <f t="shared" si="56"/>
        <v>4</v>
      </c>
      <c r="AM220" s="369"/>
      <c r="AN220" s="322">
        <v>0</v>
      </c>
      <c r="AO220" s="231">
        <v>2</v>
      </c>
      <c r="AP220" s="228">
        <v>2</v>
      </c>
      <c r="AQ220" s="231">
        <v>0</v>
      </c>
      <c r="AR220" s="231">
        <v>0</v>
      </c>
      <c r="AS220" s="231">
        <v>0</v>
      </c>
      <c r="AT220" s="231">
        <v>0</v>
      </c>
      <c r="AU220" s="323" t="s">
        <v>39</v>
      </c>
      <c r="AV220" s="231">
        <v>0</v>
      </c>
      <c r="AW220" s="231">
        <v>0</v>
      </c>
      <c r="AX220" s="231">
        <v>0</v>
      </c>
      <c r="AY220" s="231">
        <v>0</v>
      </c>
      <c r="AZ220" s="230">
        <v>0</v>
      </c>
      <c r="BA220" s="2" t="s">
        <v>1236</v>
      </c>
    </row>
    <row r="221" spans="1:58" s="378" customFormat="1" ht="15" customHeight="1" x14ac:dyDescent="0.25">
      <c r="A221" s="241" t="s">
        <v>828</v>
      </c>
      <c r="B221" s="2" t="s">
        <v>9</v>
      </c>
      <c r="C221" s="2"/>
      <c r="D221" s="241" t="s">
        <v>829</v>
      </c>
      <c r="E221" s="241" t="s">
        <v>830</v>
      </c>
      <c r="F221" s="359"/>
      <c r="G221" s="2"/>
      <c r="H221" s="349" t="s">
        <v>1057</v>
      </c>
      <c r="I221" s="367" t="s">
        <v>1048</v>
      </c>
      <c r="J221" s="2">
        <v>517502</v>
      </c>
      <c r="K221" s="2">
        <v>174565</v>
      </c>
      <c r="L221" s="293"/>
      <c r="M221" s="364">
        <v>1</v>
      </c>
      <c r="N221" s="364">
        <v>1</v>
      </c>
      <c r="O221" s="364">
        <v>0</v>
      </c>
      <c r="P221" s="364">
        <v>0</v>
      </c>
      <c r="Q221" s="364"/>
      <c r="R221" s="364"/>
      <c r="S221" s="364"/>
      <c r="T221" s="365">
        <v>2</v>
      </c>
      <c r="U221" s="364"/>
      <c r="V221" s="364">
        <v>0</v>
      </c>
      <c r="W221" s="364">
        <v>0</v>
      </c>
      <c r="X221" s="364">
        <v>0</v>
      </c>
      <c r="Y221" s="364">
        <v>2</v>
      </c>
      <c r="Z221" s="364"/>
      <c r="AA221" s="364"/>
      <c r="AB221" s="364"/>
      <c r="AC221" s="365">
        <v>2</v>
      </c>
      <c r="AD221" s="364"/>
      <c r="AE221" s="364">
        <f t="shared" si="57"/>
        <v>-1</v>
      </c>
      <c r="AF221" s="364">
        <f t="shared" si="58"/>
        <v>-1</v>
      </c>
      <c r="AG221" s="364">
        <f t="shared" si="59"/>
        <v>0</v>
      </c>
      <c r="AH221" s="364">
        <f t="shared" si="60"/>
        <v>2</v>
      </c>
      <c r="AI221" s="364">
        <f t="shared" si="61"/>
        <v>0</v>
      </c>
      <c r="AJ221" s="364">
        <f t="shared" si="62"/>
        <v>0</v>
      </c>
      <c r="AK221" s="364">
        <f t="shared" si="63"/>
        <v>0</v>
      </c>
      <c r="AL221" s="348">
        <f t="shared" ref="AL221:AL252" si="64">AC221-T221</f>
        <v>0</v>
      </c>
      <c r="AM221" s="2"/>
      <c r="AN221" s="322">
        <v>0</v>
      </c>
      <c r="AO221" s="322">
        <v>0</v>
      </c>
      <c r="AP221" s="231">
        <v>0</v>
      </c>
      <c r="AQ221" s="231">
        <v>0</v>
      </c>
      <c r="AR221" s="231">
        <v>0</v>
      </c>
      <c r="AS221" s="231">
        <v>0</v>
      </c>
      <c r="AT221" s="231">
        <v>0</v>
      </c>
      <c r="AU221" s="242">
        <v>0</v>
      </c>
      <c r="AV221" s="231">
        <v>0</v>
      </c>
      <c r="AW221" s="231">
        <v>0</v>
      </c>
      <c r="AX221" s="231">
        <v>0</v>
      </c>
      <c r="AY221" s="231">
        <v>0</v>
      </c>
      <c r="AZ221" s="230">
        <v>0</v>
      </c>
      <c r="BA221" s="2" t="s">
        <v>1238</v>
      </c>
      <c r="BB221" s="2"/>
      <c r="BC221" s="2"/>
      <c r="BD221" s="2"/>
      <c r="BE221" s="2" t="s">
        <v>1214</v>
      </c>
      <c r="BF221" s="232"/>
    </row>
    <row r="222" spans="1:58" ht="15" customHeight="1" x14ac:dyDescent="0.25">
      <c r="A222" s="241" t="s">
        <v>903</v>
      </c>
      <c r="B222" s="2" t="s">
        <v>9</v>
      </c>
      <c r="D222" s="241" t="s">
        <v>901</v>
      </c>
      <c r="E222" s="241" t="s">
        <v>904</v>
      </c>
      <c r="H222" s="349" t="s">
        <v>1057</v>
      </c>
      <c r="I222" s="367" t="s">
        <v>1048</v>
      </c>
      <c r="J222" s="2">
        <v>515337</v>
      </c>
      <c r="K222" s="2">
        <v>173383</v>
      </c>
      <c r="L222" s="293"/>
      <c r="M222" s="364">
        <v>0</v>
      </c>
      <c r="N222" s="364">
        <v>0</v>
      </c>
      <c r="O222" s="364">
        <v>0</v>
      </c>
      <c r="P222" s="364">
        <v>0</v>
      </c>
      <c r="Q222" s="364"/>
      <c r="R222" s="364"/>
      <c r="S222" s="364"/>
      <c r="T222" s="365">
        <v>0</v>
      </c>
      <c r="U222" s="364"/>
      <c r="V222" s="364">
        <v>5</v>
      </c>
      <c r="W222" s="364">
        <v>3</v>
      </c>
      <c r="X222" s="364">
        <v>1</v>
      </c>
      <c r="Y222" s="364">
        <v>0</v>
      </c>
      <c r="Z222" s="364"/>
      <c r="AA222" s="364"/>
      <c r="AB222" s="364"/>
      <c r="AC222" s="365">
        <v>9</v>
      </c>
      <c r="AD222" s="364"/>
      <c r="AE222" s="364">
        <f t="shared" si="57"/>
        <v>5</v>
      </c>
      <c r="AF222" s="364">
        <f t="shared" si="58"/>
        <v>3</v>
      </c>
      <c r="AG222" s="364">
        <f t="shared" si="59"/>
        <v>1</v>
      </c>
      <c r="AH222" s="364">
        <f t="shared" si="60"/>
        <v>0</v>
      </c>
      <c r="AI222" s="364">
        <f t="shared" si="61"/>
        <v>0</v>
      </c>
      <c r="AJ222" s="364">
        <f t="shared" si="62"/>
        <v>0</v>
      </c>
      <c r="AK222" s="364">
        <f t="shared" si="63"/>
        <v>0</v>
      </c>
      <c r="AL222" s="348">
        <f t="shared" si="64"/>
        <v>9</v>
      </c>
      <c r="AN222" s="322">
        <v>0</v>
      </c>
      <c r="AO222" s="322">
        <v>0</v>
      </c>
      <c r="AP222" s="231">
        <v>0</v>
      </c>
      <c r="AQ222" s="231">
        <v>0</v>
      </c>
      <c r="AR222" s="231">
        <v>0</v>
      </c>
      <c r="AS222" s="231">
        <v>0</v>
      </c>
      <c r="AT222" s="231">
        <v>0</v>
      </c>
      <c r="AU222" s="242">
        <v>0</v>
      </c>
      <c r="AV222" s="231">
        <v>0</v>
      </c>
      <c r="AW222" s="231">
        <v>0</v>
      </c>
      <c r="AX222" s="231">
        <v>0</v>
      </c>
      <c r="AY222" s="231">
        <v>0</v>
      </c>
      <c r="AZ222" s="231">
        <v>0</v>
      </c>
      <c r="BA222" s="2" t="s">
        <v>1236</v>
      </c>
    </row>
    <row r="223" spans="1:58" ht="15" customHeight="1" x14ac:dyDescent="0.25">
      <c r="A223" s="241" t="s">
        <v>254</v>
      </c>
      <c r="B223" s="2" t="s">
        <v>9</v>
      </c>
      <c r="D223" s="241" t="s">
        <v>255</v>
      </c>
      <c r="E223" s="241" t="s">
        <v>256</v>
      </c>
      <c r="H223" s="349" t="s">
        <v>1057</v>
      </c>
      <c r="I223" s="367" t="s">
        <v>1048</v>
      </c>
      <c r="J223" s="2">
        <v>522672</v>
      </c>
      <c r="K223" s="2">
        <v>177849</v>
      </c>
      <c r="L223" s="293"/>
      <c r="M223" s="364">
        <v>0</v>
      </c>
      <c r="N223" s="364">
        <v>0</v>
      </c>
      <c r="O223" s="364">
        <v>0</v>
      </c>
      <c r="P223" s="364">
        <v>0</v>
      </c>
      <c r="Q223" s="364"/>
      <c r="R223" s="364"/>
      <c r="S223" s="364"/>
      <c r="T223" s="365">
        <v>0</v>
      </c>
      <c r="U223" s="364"/>
      <c r="V223" s="364">
        <v>0</v>
      </c>
      <c r="W223" s="364">
        <v>0</v>
      </c>
      <c r="X223" s="364">
        <v>1</v>
      </c>
      <c r="Y223" s="364">
        <v>0</v>
      </c>
      <c r="Z223" s="364"/>
      <c r="AA223" s="364"/>
      <c r="AB223" s="364"/>
      <c r="AC223" s="365">
        <v>1</v>
      </c>
      <c r="AD223" s="364"/>
      <c r="AE223" s="364">
        <f t="shared" si="57"/>
        <v>0</v>
      </c>
      <c r="AF223" s="364">
        <f t="shared" si="58"/>
        <v>0</v>
      </c>
      <c r="AG223" s="364">
        <f t="shared" si="59"/>
        <v>1</v>
      </c>
      <c r="AH223" s="364">
        <f t="shared" si="60"/>
        <v>0</v>
      </c>
      <c r="AI223" s="364">
        <f t="shared" si="61"/>
        <v>0</v>
      </c>
      <c r="AJ223" s="364">
        <f t="shared" si="62"/>
        <v>0</v>
      </c>
      <c r="AK223" s="364">
        <f t="shared" si="63"/>
        <v>0</v>
      </c>
      <c r="AL223" s="348">
        <f t="shared" si="64"/>
        <v>1</v>
      </c>
      <c r="AM223" s="232"/>
      <c r="AN223" s="322">
        <v>0</v>
      </c>
      <c r="AO223" s="322">
        <v>0</v>
      </c>
      <c r="AP223" s="231">
        <v>0.33333333333333331</v>
      </c>
      <c r="AQ223" s="231">
        <v>0.33333333333333331</v>
      </c>
      <c r="AR223" s="231">
        <v>0.33333333333333331</v>
      </c>
      <c r="AS223" s="231">
        <v>0</v>
      </c>
      <c r="AT223" s="231">
        <v>0</v>
      </c>
      <c r="AU223" s="323" t="s">
        <v>39</v>
      </c>
      <c r="AV223" s="231">
        <v>0</v>
      </c>
      <c r="AW223" s="231">
        <v>0</v>
      </c>
      <c r="AX223" s="231">
        <v>0</v>
      </c>
      <c r="AY223" s="231">
        <v>0</v>
      </c>
      <c r="AZ223" s="231">
        <v>0</v>
      </c>
      <c r="BA223" s="2" t="s">
        <v>1225</v>
      </c>
    </row>
    <row r="224" spans="1:58" ht="15" customHeight="1" x14ac:dyDescent="0.25">
      <c r="A224" s="241" t="s">
        <v>990</v>
      </c>
      <c r="B224" s="2" t="s">
        <v>9</v>
      </c>
      <c r="D224" s="241" t="s">
        <v>991</v>
      </c>
      <c r="E224" s="241" t="s">
        <v>992</v>
      </c>
      <c r="H224" s="349" t="s">
        <v>1057</v>
      </c>
      <c r="I224" s="367" t="s">
        <v>1048</v>
      </c>
      <c r="J224" s="2">
        <v>516355</v>
      </c>
      <c r="K224" s="2">
        <v>173076</v>
      </c>
      <c r="L224" s="293"/>
      <c r="M224" s="364">
        <v>0</v>
      </c>
      <c r="N224" s="364">
        <v>1</v>
      </c>
      <c r="O224" s="364">
        <v>0</v>
      </c>
      <c r="P224" s="364">
        <v>0</v>
      </c>
      <c r="Q224" s="364"/>
      <c r="R224" s="364"/>
      <c r="S224" s="364"/>
      <c r="T224" s="365">
        <v>1</v>
      </c>
      <c r="U224" s="364"/>
      <c r="V224" s="364">
        <v>0</v>
      </c>
      <c r="W224" s="364">
        <v>0</v>
      </c>
      <c r="X224" s="364">
        <v>1</v>
      </c>
      <c r="Y224" s="364">
        <v>0</v>
      </c>
      <c r="Z224" s="364"/>
      <c r="AA224" s="364"/>
      <c r="AB224" s="364"/>
      <c r="AC224" s="365">
        <v>1</v>
      </c>
      <c r="AD224" s="364"/>
      <c r="AE224" s="364">
        <f t="shared" si="57"/>
        <v>0</v>
      </c>
      <c r="AF224" s="364">
        <f t="shared" si="58"/>
        <v>-1</v>
      </c>
      <c r="AG224" s="364">
        <f t="shared" si="59"/>
        <v>1</v>
      </c>
      <c r="AH224" s="364">
        <f t="shared" si="60"/>
        <v>0</v>
      </c>
      <c r="AI224" s="364">
        <f t="shared" si="61"/>
        <v>0</v>
      </c>
      <c r="AJ224" s="364">
        <f t="shared" si="62"/>
        <v>0</v>
      </c>
      <c r="AK224" s="364">
        <f t="shared" si="63"/>
        <v>0</v>
      </c>
      <c r="AL224" s="348">
        <f t="shared" si="64"/>
        <v>0</v>
      </c>
      <c r="AN224" s="322">
        <v>0</v>
      </c>
      <c r="AO224" s="322">
        <v>0</v>
      </c>
      <c r="AP224" s="231">
        <v>0</v>
      </c>
      <c r="AQ224" s="231">
        <v>0</v>
      </c>
      <c r="AR224" s="231">
        <v>0</v>
      </c>
      <c r="AS224" s="231">
        <v>0</v>
      </c>
      <c r="AT224" s="231">
        <v>0</v>
      </c>
      <c r="AU224" s="242">
        <v>0</v>
      </c>
      <c r="AV224" s="231">
        <v>0</v>
      </c>
      <c r="AW224" s="231">
        <v>0</v>
      </c>
      <c r="AX224" s="231">
        <v>0</v>
      </c>
      <c r="AY224" s="231">
        <v>0</v>
      </c>
      <c r="AZ224" s="231">
        <v>0</v>
      </c>
      <c r="BA224" s="2" t="s">
        <v>1238</v>
      </c>
      <c r="BE224" s="2" t="s">
        <v>1214</v>
      </c>
    </row>
    <row r="225" spans="1:56" ht="15" customHeight="1" x14ac:dyDescent="0.25">
      <c r="A225" s="241" t="s">
        <v>873</v>
      </c>
      <c r="B225" s="2" t="s">
        <v>9</v>
      </c>
      <c r="D225" s="241" t="s">
        <v>874</v>
      </c>
      <c r="E225" s="241" t="s">
        <v>875</v>
      </c>
      <c r="H225" s="349" t="s">
        <v>1057</v>
      </c>
      <c r="I225" s="367" t="s">
        <v>1048</v>
      </c>
      <c r="J225" s="2">
        <v>514934</v>
      </c>
      <c r="K225" s="2">
        <v>172192</v>
      </c>
      <c r="L225" s="293"/>
      <c r="M225" s="364">
        <v>0</v>
      </c>
      <c r="N225" s="364">
        <v>0</v>
      </c>
      <c r="O225" s="364">
        <v>0</v>
      </c>
      <c r="P225" s="364">
        <v>0</v>
      </c>
      <c r="Q225" s="364"/>
      <c r="R225" s="364"/>
      <c r="S225" s="364"/>
      <c r="T225" s="365">
        <v>0</v>
      </c>
      <c r="U225" s="364"/>
      <c r="V225" s="364">
        <v>0</v>
      </c>
      <c r="W225" s="364">
        <v>0</v>
      </c>
      <c r="X225" s="364">
        <v>0</v>
      </c>
      <c r="Y225" s="364">
        <v>0</v>
      </c>
      <c r="Z225" s="364"/>
      <c r="AA225" s="364"/>
      <c r="AB225" s="364"/>
      <c r="AC225" s="365">
        <v>0</v>
      </c>
      <c r="AD225" s="364"/>
      <c r="AE225" s="364">
        <f t="shared" si="57"/>
        <v>0</v>
      </c>
      <c r="AF225" s="364">
        <f t="shared" si="58"/>
        <v>0</v>
      </c>
      <c r="AG225" s="364">
        <f t="shared" si="59"/>
        <v>0</v>
      </c>
      <c r="AH225" s="364">
        <f t="shared" si="60"/>
        <v>0</v>
      </c>
      <c r="AI225" s="364">
        <f t="shared" si="61"/>
        <v>0</v>
      </c>
      <c r="AJ225" s="364">
        <f t="shared" si="62"/>
        <v>0</v>
      </c>
      <c r="AK225" s="364">
        <f t="shared" si="63"/>
        <v>0</v>
      </c>
      <c r="AL225" s="348">
        <f t="shared" si="64"/>
        <v>0</v>
      </c>
      <c r="AN225" s="322">
        <v>0</v>
      </c>
      <c r="AO225" s="322">
        <v>0</v>
      </c>
      <c r="AP225" s="231">
        <v>0</v>
      </c>
      <c r="AQ225" s="231">
        <v>0</v>
      </c>
      <c r="AR225" s="231">
        <v>0</v>
      </c>
      <c r="AS225" s="231">
        <v>0</v>
      </c>
      <c r="AT225" s="231">
        <v>0</v>
      </c>
      <c r="AU225" s="242">
        <v>0</v>
      </c>
      <c r="AV225" s="231">
        <v>0</v>
      </c>
      <c r="AW225" s="231">
        <v>0</v>
      </c>
      <c r="AX225" s="231">
        <v>0</v>
      </c>
      <c r="AY225" s="231">
        <v>0</v>
      </c>
      <c r="AZ225" s="231">
        <v>0</v>
      </c>
      <c r="BA225" s="2" t="s">
        <v>1236</v>
      </c>
    </row>
    <row r="226" spans="1:56" ht="15" customHeight="1" x14ac:dyDescent="0.25">
      <c r="A226" s="241" t="s">
        <v>938</v>
      </c>
      <c r="B226" s="2" t="s">
        <v>9</v>
      </c>
      <c r="D226" s="241" t="s">
        <v>939</v>
      </c>
      <c r="E226" s="241" t="s">
        <v>940</v>
      </c>
      <c r="H226" s="349" t="s">
        <v>1057</v>
      </c>
      <c r="I226" s="367" t="s">
        <v>1048</v>
      </c>
      <c r="J226" s="2">
        <v>514174</v>
      </c>
      <c r="K226" s="2">
        <v>174381</v>
      </c>
      <c r="L226" s="293"/>
      <c r="M226" s="364">
        <v>0</v>
      </c>
      <c r="N226" s="364">
        <v>0</v>
      </c>
      <c r="O226" s="364">
        <v>0</v>
      </c>
      <c r="P226" s="364">
        <v>0</v>
      </c>
      <c r="Q226" s="364"/>
      <c r="R226" s="364"/>
      <c r="S226" s="364"/>
      <c r="T226" s="365">
        <v>0</v>
      </c>
      <c r="U226" s="364"/>
      <c r="V226" s="364">
        <v>0</v>
      </c>
      <c r="W226" s="364">
        <v>1</v>
      </c>
      <c r="X226" s="364">
        <v>0</v>
      </c>
      <c r="Y226" s="364">
        <v>0</v>
      </c>
      <c r="Z226" s="364"/>
      <c r="AA226" s="364"/>
      <c r="AB226" s="364"/>
      <c r="AC226" s="365">
        <v>1</v>
      </c>
      <c r="AD226" s="364"/>
      <c r="AE226" s="364">
        <f t="shared" si="57"/>
        <v>0</v>
      </c>
      <c r="AF226" s="364">
        <f t="shared" si="58"/>
        <v>1</v>
      </c>
      <c r="AG226" s="364">
        <f t="shared" si="59"/>
        <v>0</v>
      </c>
      <c r="AH226" s="364">
        <f t="shared" si="60"/>
        <v>0</v>
      </c>
      <c r="AI226" s="364">
        <f t="shared" si="61"/>
        <v>0</v>
      </c>
      <c r="AJ226" s="364">
        <f t="shared" si="62"/>
        <v>0</v>
      </c>
      <c r="AK226" s="364">
        <f t="shared" si="63"/>
        <v>0</v>
      </c>
      <c r="AL226" s="348">
        <f t="shared" si="64"/>
        <v>1</v>
      </c>
      <c r="AN226" s="322">
        <v>0</v>
      </c>
      <c r="AO226" s="322">
        <v>0</v>
      </c>
      <c r="AP226" s="231">
        <v>0.33333333333333331</v>
      </c>
      <c r="AQ226" s="231">
        <v>0.33333333333333331</v>
      </c>
      <c r="AR226" s="231">
        <v>0.33333333333333331</v>
      </c>
      <c r="AS226" s="231">
        <v>0</v>
      </c>
      <c r="AT226" s="231">
        <v>0</v>
      </c>
      <c r="AU226" s="323" t="s">
        <v>39</v>
      </c>
      <c r="AV226" s="231">
        <v>0</v>
      </c>
      <c r="AW226" s="231">
        <v>0</v>
      </c>
      <c r="AX226" s="231">
        <v>0</v>
      </c>
      <c r="AY226" s="231">
        <v>0</v>
      </c>
      <c r="AZ226" s="230">
        <v>0</v>
      </c>
      <c r="BA226" s="2" t="s">
        <v>1219</v>
      </c>
    </row>
    <row r="227" spans="1:56" ht="15" customHeight="1" x14ac:dyDescent="0.25">
      <c r="A227" s="241" t="s">
        <v>453</v>
      </c>
      <c r="B227" s="2" t="s">
        <v>9</v>
      </c>
      <c r="D227" s="241" t="s">
        <v>454</v>
      </c>
      <c r="E227" s="241" t="s">
        <v>455</v>
      </c>
      <c r="F227" s="371"/>
      <c r="H227" s="349" t="s">
        <v>1057</v>
      </c>
      <c r="I227" s="367" t="s">
        <v>1048</v>
      </c>
      <c r="J227" s="2">
        <v>517050</v>
      </c>
      <c r="K227" s="2">
        <v>172680</v>
      </c>
      <c r="L227" s="293"/>
      <c r="M227" s="364">
        <v>0</v>
      </c>
      <c r="N227" s="364">
        <v>0</v>
      </c>
      <c r="O227" s="364">
        <v>0</v>
      </c>
      <c r="P227" s="364">
        <v>0</v>
      </c>
      <c r="Q227" s="364"/>
      <c r="R227" s="364"/>
      <c r="S227" s="364"/>
      <c r="T227" s="365">
        <v>0</v>
      </c>
      <c r="U227" s="364"/>
      <c r="V227" s="364">
        <v>0</v>
      </c>
      <c r="W227" s="364">
        <v>2</v>
      </c>
      <c r="X227" s="364">
        <v>0</v>
      </c>
      <c r="Y227" s="364">
        <v>0</v>
      </c>
      <c r="Z227" s="364"/>
      <c r="AA227" s="364"/>
      <c r="AB227" s="364"/>
      <c r="AC227" s="365">
        <v>2</v>
      </c>
      <c r="AD227" s="364"/>
      <c r="AE227" s="364">
        <f t="shared" si="57"/>
        <v>0</v>
      </c>
      <c r="AF227" s="364">
        <f t="shared" si="58"/>
        <v>2</v>
      </c>
      <c r="AG227" s="364">
        <f t="shared" si="59"/>
        <v>0</v>
      </c>
      <c r="AH227" s="364">
        <f t="shared" si="60"/>
        <v>0</v>
      </c>
      <c r="AI227" s="364">
        <f t="shared" si="61"/>
        <v>0</v>
      </c>
      <c r="AJ227" s="364">
        <f t="shared" si="62"/>
        <v>0</v>
      </c>
      <c r="AK227" s="364">
        <f t="shared" si="63"/>
        <v>0</v>
      </c>
      <c r="AL227" s="348">
        <f t="shared" si="64"/>
        <v>2</v>
      </c>
      <c r="AM227" s="232"/>
      <c r="AN227" s="322">
        <v>0</v>
      </c>
      <c r="AO227" s="231">
        <v>1</v>
      </c>
      <c r="AP227" s="228">
        <v>1</v>
      </c>
      <c r="AQ227" s="231">
        <v>0</v>
      </c>
      <c r="AR227" s="231">
        <v>0</v>
      </c>
      <c r="AS227" s="231">
        <v>0</v>
      </c>
      <c r="AT227" s="231">
        <v>0</v>
      </c>
      <c r="AU227" s="323" t="s">
        <v>39</v>
      </c>
      <c r="AV227" s="231">
        <v>0</v>
      </c>
      <c r="AW227" s="231">
        <v>0</v>
      </c>
      <c r="AX227" s="231">
        <v>0</v>
      </c>
      <c r="AY227" s="231">
        <v>0</v>
      </c>
      <c r="AZ227" s="230">
        <v>0</v>
      </c>
      <c r="BA227" s="2" t="s">
        <v>1443</v>
      </c>
    </row>
    <row r="228" spans="1:56" ht="15" customHeight="1" x14ac:dyDescent="0.25">
      <c r="A228" s="241" t="s">
        <v>444</v>
      </c>
      <c r="B228" s="2" t="s">
        <v>9</v>
      </c>
      <c r="D228" s="241" t="s">
        <v>445</v>
      </c>
      <c r="E228" s="241" t="s">
        <v>446</v>
      </c>
      <c r="H228" s="349" t="s">
        <v>1057</v>
      </c>
      <c r="I228" s="2" t="s">
        <v>1047</v>
      </c>
      <c r="J228" s="2">
        <v>517476</v>
      </c>
      <c r="K228" s="2">
        <v>171658</v>
      </c>
      <c r="L228" s="293"/>
      <c r="M228" s="364">
        <v>0</v>
      </c>
      <c r="N228" s="364">
        <v>0</v>
      </c>
      <c r="O228" s="364">
        <v>0</v>
      </c>
      <c r="P228" s="364">
        <v>0</v>
      </c>
      <c r="Q228" s="364"/>
      <c r="R228" s="364"/>
      <c r="S228" s="364"/>
      <c r="T228" s="365">
        <v>0</v>
      </c>
      <c r="U228" s="364"/>
      <c r="V228" s="364">
        <v>0</v>
      </c>
      <c r="W228" s="364">
        <v>0</v>
      </c>
      <c r="X228" s="364">
        <v>2</v>
      </c>
      <c r="Y228" s="364">
        <v>0</v>
      </c>
      <c r="Z228" s="364"/>
      <c r="AA228" s="364"/>
      <c r="AB228" s="364"/>
      <c r="AC228" s="365">
        <v>2</v>
      </c>
      <c r="AD228" s="364"/>
      <c r="AE228" s="364">
        <f t="shared" si="57"/>
        <v>0</v>
      </c>
      <c r="AF228" s="364">
        <f t="shared" si="58"/>
        <v>0</v>
      </c>
      <c r="AG228" s="364">
        <f t="shared" si="59"/>
        <v>2</v>
      </c>
      <c r="AH228" s="364">
        <f t="shared" si="60"/>
        <v>0</v>
      </c>
      <c r="AI228" s="364">
        <f t="shared" si="61"/>
        <v>0</v>
      </c>
      <c r="AJ228" s="364">
        <f t="shared" si="62"/>
        <v>0</v>
      </c>
      <c r="AK228" s="364">
        <f t="shared" si="63"/>
        <v>0</v>
      </c>
      <c r="AL228" s="348">
        <f t="shared" si="64"/>
        <v>2</v>
      </c>
      <c r="AM228" s="232"/>
      <c r="AN228" s="322">
        <v>0</v>
      </c>
      <c r="AO228" s="231">
        <v>0</v>
      </c>
      <c r="AP228" s="228">
        <v>0.66666666666666663</v>
      </c>
      <c r="AQ228" s="231">
        <v>0.66666666666666663</v>
      </c>
      <c r="AR228" s="231">
        <v>0.66666666666666663</v>
      </c>
      <c r="AS228" s="231">
        <v>0</v>
      </c>
      <c r="AT228" s="231">
        <v>0</v>
      </c>
      <c r="AU228" s="323" t="s">
        <v>39</v>
      </c>
      <c r="AV228" s="231">
        <v>0</v>
      </c>
      <c r="AW228" s="231">
        <v>0</v>
      </c>
      <c r="AX228" s="231">
        <v>0</v>
      </c>
      <c r="AY228" s="231">
        <v>0</v>
      </c>
      <c r="AZ228" s="230">
        <v>0</v>
      </c>
      <c r="BA228" s="2" t="s">
        <v>1443</v>
      </c>
    </row>
    <row r="229" spans="1:56" ht="15" customHeight="1" x14ac:dyDescent="0.25">
      <c r="A229" s="241" t="s">
        <v>468</v>
      </c>
      <c r="B229" s="2" t="s">
        <v>9</v>
      </c>
      <c r="D229" s="241" t="s">
        <v>469</v>
      </c>
      <c r="E229" s="241" t="s">
        <v>470</v>
      </c>
      <c r="F229" s="371"/>
      <c r="H229" s="349" t="s">
        <v>1057</v>
      </c>
      <c r="I229" s="2" t="s">
        <v>1047</v>
      </c>
      <c r="J229" s="2">
        <v>517848</v>
      </c>
      <c r="K229" s="2">
        <v>172830</v>
      </c>
      <c r="L229" s="293"/>
      <c r="M229" s="364">
        <v>0</v>
      </c>
      <c r="N229" s="364">
        <v>0</v>
      </c>
      <c r="O229" s="364">
        <v>0</v>
      </c>
      <c r="P229" s="364">
        <v>0</v>
      </c>
      <c r="Q229" s="364"/>
      <c r="R229" s="364"/>
      <c r="S229" s="364"/>
      <c r="T229" s="365">
        <v>0</v>
      </c>
      <c r="U229" s="364"/>
      <c r="V229" s="364">
        <v>0</v>
      </c>
      <c r="W229" s="364">
        <v>0</v>
      </c>
      <c r="X229" s="364">
        <v>3</v>
      </c>
      <c r="Y229" s="364">
        <v>0</v>
      </c>
      <c r="Z229" s="364"/>
      <c r="AA229" s="364"/>
      <c r="AB229" s="364"/>
      <c r="AC229" s="365">
        <v>3</v>
      </c>
      <c r="AD229" s="364"/>
      <c r="AE229" s="364">
        <f t="shared" si="57"/>
        <v>0</v>
      </c>
      <c r="AF229" s="364">
        <f t="shared" si="58"/>
        <v>0</v>
      </c>
      <c r="AG229" s="364">
        <f t="shared" si="59"/>
        <v>3</v>
      </c>
      <c r="AH229" s="364">
        <f t="shared" si="60"/>
        <v>0</v>
      </c>
      <c r="AI229" s="364">
        <f t="shared" si="61"/>
        <v>0</v>
      </c>
      <c r="AJ229" s="364">
        <f t="shared" si="62"/>
        <v>0</v>
      </c>
      <c r="AK229" s="364">
        <f t="shared" si="63"/>
        <v>0</v>
      </c>
      <c r="AL229" s="348">
        <f t="shared" si="64"/>
        <v>3</v>
      </c>
      <c r="AM229" s="232"/>
      <c r="AN229" s="322">
        <v>0</v>
      </c>
      <c r="AO229" s="231">
        <v>0</v>
      </c>
      <c r="AP229" s="228">
        <v>1</v>
      </c>
      <c r="AQ229" s="231">
        <v>1</v>
      </c>
      <c r="AR229" s="231">
        <v>1</v>
      </c>
      <c r="AS229" s="231">
        <v>0</v>
      </c>
      <c r="AT229" s="231">
        <v>0</v>
      </c>
      <c r="AU229" s="323" t="s">
        <v>39</v>
      </c>
      <c r="AV229" s="231">
        <v>0</v>
      </c>
      <c r="AW229" s="231">
        <v>0</v>
      </c>
      <c r="AX229" s="231">
        <v>0</v>
      </c>
      <c r="AY229" s="231">
        <v>0</v>
      </c>
      <c r="AZ229" s="230">
        <v>0</v>
      </c>
      <c r="BA229" s="2" t="s">
        <v>1443</v>
      </c>
    </row>
    <row r="230" spans="1:56" ht="15" customHeight="1" x14ac:dyDescent="0.25">
      <c r="A230" s="241" t="s">
        <v>706</v>
      </c>
      <c r="B230" s="2" t="s">
        <v>9</v>
      </c>
      <c r="D230" s="241" t="s">
        <v>707</v>
      </c>
      <c r="E230" s="241" t="s">
        <v>708</v>
      </c>
      <c r="H230" s="349" t="s">
        <v>1057</v>
      </c>
      <c r="I230" s="367" t="s">
        <v>1048</v>
      </c>
      <c r="J230" s="2">
        <v>515807</v>
      </c>
      <c r="K230" s="2">
        <v>172452</v>
      </c>
      <c r="L230" s="293"/>
      <c r="M230" s="364">
        <v>0</v>
      </c>
      <c r="N230" s="364">
        <v>1</v>
      </c>
      <c r="O230" s="364">
        <v>0</v>
      </c>
      <c r="P230" s="364">
        <v>0</v>
      </c>
      <c r="Q230" s="364"/>
      <c r="R230" s="364"/>
      <c r="S230" s="364"/>
      <c r="T230" s="365">
        <v>1</v>
      </c>
      <c r="U230" s="364"/>
      <c r="V230" s="364">
        <v>0</v>
      </c>
      <c r="W230" s="364">
        <v>0</v>
      </c>
      <c r="X230" s="364">
        <v>1</v>
      </c>
      <c r="Y230" s="364">
        <v>0</v>
      </c>
      <c r="Z230" s="364"/>
      <c r="AA230" s="364"/>
      <c r="AB230" s="364"/>
      <c r="AC230" s="365">
        <v>1</v>
      </c>
      <c r="AD230" s="364"/>
      <c r="AE230" s="364">
        <f t="shared" si="57"/>
        <v>0</v>
      </c>
      <c r="AF230" s="364">
        <f t="shared" si="58"/>
        <v>-1</v>
      </c>
      <c r="AG230" s="364">
        <f t="shared" si="59"/>
        <v>1</v>
      </c>
      <c r="AH230" s="364">
        <f t="shared" si="60"/>
        <v>0</v>
      </c>
      <c r="AI230" s="364">
        <f t="shared" si="61"/>
        <v>0</v>
      </c>
      <c r="AJ230" s="364">
        <f t="shared" si="62"/>
        <v>0</v>
      </c>
      <c r="AK230" s="364">
        <f t="shared" si="63"/>
        <v>0</v>
      </c>
      <c r="AL230" s="348">
        <f t="shared" si="64"/>
        <v>0</v>
      </c>
      <c r="AM230" s="232"/>
      <c r="AN230" s="322">
        <v>0</v>
      </c>
      <c r="AO230" s="231">
        <v>0</v>
      </c>
      <c r="AP230" s="228">
        <v>0</v>
      </c>
      <c r="AQ230" s="231">
        <v>0</v>
      </c>
      <c r="AR230" s="231">
        <v>0</v>
      </c>
      <c r="AS230" s="231">
        <v>0</v>
      </c>
      <c r="AT230" s="231">
        <v>0</v>
      </c>
      <c r="AU230" s="323">
        <v>0</v>
      </c>
      <c r="AV230" s="231">
        <v>0</v>
      </c>
      <c r="AW230" s="231">
        <v>0</v>
      </c>
      <c r="AX230" s="231">
        <v>0</v>
      </c>
      <c r="AY230" s="231">
        <v>0</v>
      </c>
      <c r="AZ230" s="230">
        <v>0</v>
      </c>
      <c r="BA230" s="2" t="s">
        <v>1236</v>
      </c>
    </row>
    <row r="231" spans="1:56" ht="15" customHeight="1" x14ac:dyDescent="0.25">
      <c r="A231" s="241" t="s">
        <v>592</v>
      </c>
      <c r="B231" s="2" t="s">
        <v>22</v>
      </c>
      <c r="D231" s="241" t="s">
        <v>593</v>
      </c>
      <c r="E231" s="241" t="s">
        <v>594</v>
      </c>
      <c r="H231" s="349" t="s">
        <v>1057</v>
      </c>
      <c r="I231" s="367" t="s">
        <v>1048</v>
      </c>
      <c r="J231" s="2">
        <v>517543</v>
      </c>
      <c r="K231" s="2">
        <v>169767</v>
      </c>
      <c r="L231" s="293"/>
      <c r="M231" s="364">
        <v>0</v>
      </c>
      <c r="N231" s="364">
        <v>0</v>
      </c>
      <c r="O231" s="364">
        <v>0</v>
      </c>
      <c r="P231" s="364">
        <v>0</v>
      </c>
      <c r="Q231" s="364"/>
      <c r="R231" s="364"/>
      <c r="S231" s="364"/>
      <c r="T231" s="365">
        <v>0</v>
      </c>
      <c r="U231" s="364"/>
      <c r="V231" s="364">
        <v>0</v>
      </c>
      <c r="W231" s="364">
        <v>2</v>
      </c>
      <c r="X231" s="364">
        <v>0</v>
      </c>
      <c r="Y231" s="364">
        <v>0</v>
      </c>
      <c r="Z231" s="364"/>
      <c r="AA231" s="364"/>
      <c r="AB231" s="364"/>
      <c r="AC231" s="365">
        <v>2</v>
      </c>
      <c r="AD231" s="364"/>
      <c r="AE231" s="364">
        <f t="shared" si="57"/>
        <v>0</v>
      </c>
      <c r="AF231" s="364">
        <f t="shared" si="58"/>
        <v>2</v>
      </c>
      <c r="AG231" s="364">
        <f t="shared" si="59"/>
        <v>0</v>
      </c>
      <c r="AH231" s="364">
        <f t="shared" si="60"/>
        <v>0</v>
      </c>
      <c r="AI231" s="364">
        <f t="shared" si="61"/>
        <v>0</v>
      </c>
      <c r="AJ231" s="364">
        <f t="shared" si="62"/>
        <v>0</v>
      </c>
      <c r="AK231" s="364">
        <f t="shared" si="63"/>
        <v>0</v>
      </c>
      <c r="AL231" s="348">
        <f t="shared" si="64"/>
        <v>2</v>
      </c>
      <c r="AM231" s="232"/>
      <c r="AN231" s="322">
        <v>0</v>
      </c>
      <c r="AO231" s="231">
        <v>0.5</v>
      </c>
      <c r="AP231" s="228">
        <v>0.5</v>
      </c>
      <c r="AQ231" s="231">
        <v>0.5</v>
      </c>
      <c r="AR231" s="231">
        <v>0.5</v>
      </c>
      <c r="AS231" s="231">
        <v>0</v>
      </c>
      <c r="AT231" s="231">
        <v>0</v>
      </c>
      <c r="AU231" s="323" t="s">
        <v>39</v>
      </c>
      <c r="AV231" s="231">
        <v>0</v>
      </c>
      <c r="AW231" s="231">
        <v>0</v>
      </c>
      <c r="AX231" s="231">
        <v>0</v>
      </c>
      <c r="AY231" s="231">
        <v>0</v>
      </c>
      <c r="AZ231" s="230">
        <v>0</v>
      </c>
      <c r="BA231" s="2" t="s">
        <v>1230</v>
      </c>
    </row>
    <row r="232" spans="1:56" ht="15" customHeight="1" x14ac:dyDescent="0.25">
      <c r="A232" s="241" t="s">
        <v>820</v>
      </c>
      <c r="B232" s="2" t="s">
        <v>9</v>
      </c>
      <c r="D232" s="241" t="s">
        <v>821</v>
      </c>
      <c r="E232" s="241" t="s">
        <v>822</v>
      </c>
      <c r="H232" s="349" t="s">
        <v>1057</v>
      </c>
      <c r="I232" s="367" t="s">
        <v>1048</v>
      </c>
      <c r="J232" s="2">
        <v>517831</v>
      </c>
      <c r="K232" s="2">
        <v>174076</v>
      </c>
      <c r="L232" s="293"/>
      <c r="M232" s="364">
        <v>0</v>
      </c>
      <c r="N232" s="364">
        <v>2</v>
      </c>
      <c r="O232" s="364">
        <v>0</v>
      </c>
      <c r="P232" s="364">
        <v>0</v>
      </c>
      <c r="Q232" s="364"/>
      <c r="R232" s="364"/>
      <c r="S232" s="364"/>
      <c r="T232" s="365">
        <v>2</v>
      </c>
      <c r="U232" s="364"/>
      <c r="V232" s="364">
        <v>0</v>
      </c>
      <c r="W232" s="364">
        <v>0</v>
      </c>
      <c r="X232" s="364">
        <v>0</v>
      </c>
      <c r="Y232" s="364">
        <v>2</v>
      </c>
      <c r="Z232" s="364"/>
      <c r="AA232" s="364"/>
      <c r="AB232" s="364"/>
      <c r="AC232" s="365">
        <v>2</v>
      </c>
      <c r="AD232" s="364"/>
      <c r="AE232" s="364">
        <f t="shared" si="57"/>
        <v>0</v>
      </c>
      <c r="AF232" s="364">
        <f t="shared" si="58"/>
        <v>-2</v>
      </c>
      <c r="AG232" s="364">
        <f t="shared" si="59"/>
        <v>0</v>
      </c>
      <c r="AH232" s="364">
        <f t="shared" si="60"/>
        <v>2</v>
      </c>
      <c r="AI232" s="364">
        <f t="shared" si="61"/>
        <v>0</v>
      </c>
      <c r="AJ232" s="364">
        <f t="shared" si="62"/>
        <v>0</v>
      </c>
      <c r="AK232" s="364">
        <f t="shared" si="63"/>
        <v>0</v>
      </c>
      <c r="AL232" s="348">
        <f t="shared" si="64"/>
        <v>0</v>
      </c>
      <c r="AN232" s="322">
        <v>0</v>
      </c>
      <c r="AO232" s="231">
        <v>0</v>
      </c>
      <c r="AP232" s="228">
        <v>0</v>
      </c>
      <c r="AQ232" s="231">
        <v>0</v>
      </c>
      <c r="AR232" s="231">
        <v>0</v>
      </c>
      <c r="AS232" s="231">
        <v>0</v>
      </c>
      <c r="AT232" s="231">
        <v>0</v>
      </c>
      <c r="AU232" s="242">
        <v>0</v>
      </c>
      <c r="AV232" s="231">
        <v>0</v>
      </c>
      <c r="AW232" s="231">
        <v>0</v>
      </c>
      <c r="AX232" s="231">
        <v>0</v>
      </c>
      <c r="AY232" s="231">
        <v>0</v>
      </c>
      <c r="AZ232" s="230">
        <v>0</v>
      </c>
      <c r="BA232" s="2" t="s">
        <v>1238</v>
      </c>
    </row>
    <row r="233" spans="1:56" ht="15" customHeight="1" x14ac:dyDescent="0.25">
      <c r="A233" s="241" t="s">
        <v>789</v>
      </c>
      <c r="B233" s="2" t="s">
        <v>5</v>
      </c>
      <c r="D233" s="241" t="s">
        <v>790</v>
      </c>
      <c r="E233" s="241" t="s">
        <v>791</v>
      </c>
      <c r="H233" s="349" t="s">
        <v>1057</v>
      </c>
      <c r="I233" s="367" t="s">
        <v>1048</v>
      </c>
      <c r="J233" s="2">
        <v>513068</v>
      </c>
      <c r="K233" s="2">
        <v>169904</v>
      </c>
      <c r="L233" s="293"/>
      <c r="M233" s="364">
        <v>0</v>
      </c>
      <c r="N233" s="364">
        <v>0</v>
      </c>
      <c r="O233" s="364">
        <v>1</v>
      </c>
      <c r="P233" s="364">
        <v>0</v>
      </c>
      <c r="Q233" s="364"/>
      <c r="R233" s="364"/>
      <c r="S233" s="364"/>
      <c r="T233" s="365">
        <v>1</v>
      </c>
      <c r="U233" s="364"/>
      <c r="V233" s="364">
        <v>0</v>
      </c>
      <c r="W233" s="364">
        <v>2</v>
      </c>
      <c r="X233" s="364">
        <v>0</v>
      </c>
      <c r="Y233" s="364">
        <v>0</v>
      </c>
      <c r="Z233" s="364"/>
      <c r="AA233" s="364"/>
      <c r="AB233" s="364"/>
      <c r="AC233" s="365">
        <v>2</v>
      </c>
      <c r="AD233" s="364"/>
      <c r="AE233" s="364">
        <f t="shared" si="57"/>
        <v>0</v>
      </c>
      <c r="AF233" s="364">
        <f t="shared" si="58"/>
        <v>2</v>
      </c>
      <c r="AG233" s="364">
        <f t="shared" si="59"/>
        <v>-1</v>
      </c>
      <c r="AH233" s="364">
        <f t="shared" si="60"/>
        <v>0</v>
      </c>
      <c r="AI233" s="364">
        <f t="shared" si="61"/>
        <v>0</v>
      </c>
      <c r="AJ233" s="364">
        <f t="shared" si="62"/>
        <v>0</v>
      </c>
      <c r="AK233" s="364">
        <f t="shared" si="63"/>
        <v>0</v>
      </c>
      <c r="AL233" s="348">
        <f t="shared" si="64"/>
        <v>1</v>
      </c>
      <c r="AM233" s="232"/>
      <c r="AN233" s="322">
        <v>0</v>
      </c>
      <c r="AO233" s="231">
        <v>0.25</v>
      </c>
      <c r="AP233" s="228">
        <v>0.25</v>
      </c>
      <c r="AQ233" s="231">
        <v>0.25</v>
      </c>
      <c r="AR233" s="231">
        <v>0.25</v>
      </c>
      <c r="AS233" s="231">
        <v>0</v>
      </c>
      <c r="AT233" s="231">
        <v>0</v>
      </c>
      <c r="AU233" s="323" t="s">
        <v>39</v>
      </c>
      <c r="AV233" s="231">
        <v>0</v>
      </c>
      <c r="AW233" s="231">
        <v>0</v>
      </c>
      <c r="AX233" s="231">
        <v>0</v>
      </c>
      <c r="AY233" s="231">
        <v>0</v>
      </c>
      <c r="AZ233" s="230">
        <v>0</v>
      </c>
      <c r="BA233" s="2" t="s">
        <v>1229</v>
      </c>
    </row>
    <row r="234" spans="1:56" ht="15" customHeight="1" x14ac:dyDescent="0.25">
      <c r="A234" s="241" t="s">
        <v>775</v>
      </c>
      <c r="B234" s="2" t="s">
        <v>9</v>
      </c>
      <c r="D234" s="241" t="s">
        <v>776</v>
      </c>
      <c r="E234" s="241" t="s">
        <v>777</v>
      </c>
      <c r="H234" s="349" t="s">
        <v>1057</v>
      </c>
      <c r="I234" s="367" t="s">
        <v>1048</v>
      </c>
      <c r="J234" s="2">
        <v>513825</v>
      </c>
      <c r="K234" s="2">
        <v>169567</v>
      </c>
      <c r="L234" s="293"/>
      <c r="M234" s="364">
        <v>0</v>
      </c>
      <c r="N234" s="364">
        <v>0</v>
      </c>
      <c r="O234" s="364">
        <v>0</v>
      </c>
      <c r="P234" s="364">
        <v>0</v>
      </c>
      <c r="Q234" s="364"/>
      <c r="R234" s="364"/>
      <c r="S234" s="364"/>
      <c r="T234" s="365">
        <v>0</v>
      </c>
      <c r="U234" s="364"/>
      <c r="V234" s="364">
        <v>0</v>
      </c>
      <c r="W234" s="364">
        <v>0</v>
      </c>
      <c r="X234" s="364">
        <v>6</v>
      </c>
      <c r="Y234" s="364">
        <v>0</v>
      </c>
      <c r="Z234" s="364"/>
      <c r="AA234" s="364"/>
      <c r="AB234" s="364"/>
      <c r="AC234" s="365">
        <v>6</v>
      </c>
      <c r="AD234" s="364"/>
      <c r="AE234" s="364">
        <f t="shared" si="57"/>
        <v>0</v>
      </c>
      <c r="AF234" s="364">
        <f t="shared" si="58"/>
        <v>0</v>
      </c>
      <c r="AG234" s="364">
        <f t="shared" si="59"/>
        <v>6</v>
      </c>
      <c r="AH234" s="364">
        <f t="shared" si="60"/>
        <v>0</v>
      </c>
      <c r="AI234" s="364">
        <f t="shared" si="61"/>
        <v>0</v>
      </c>
      <c r="AJ234" s="364">
        <f t="shared" si="62"/>
        <v>0</v>
      </c>
      <c r="AK234" s="364">
        <f t="shared" si="63"/>
        <v>0</v>
      </c>
      <c r="AL234" s="348">
        <f t="shared" si="64"/>
        <v>6</v>
      </c>
      <c r="AM234" s="232"/>
      <c r="AN234" s="322">
        <v>0</v>
      </c>
      <c r="AO234" s="231">
        <v>0</v>
      </c>
      <c r="AP234" s="228">
        <v>2</v>
      </c>
      <c r="AQ234" s="231">
        <v>2</v>
      </c>
      <c r="AR234" s="231">
        <v>2</v>
      </c>
      <c r="AS234" s="231">
        <v>0</v>
      </c>
      <c r="AT234" s="231">
        <v>0</v>
      </c>
      <c r="AU234" s="323" t="s">
        <v>39</v>
      </c>
      <c r="AV234" s="231">
        <v>0</v>
      </c>
      <c r="AW234" s="231">
        <v>0</v>
      </c>
      <c r="AX234" s="231">
        <v>0</v>
      </c>
      <c r="AY234" s="231">
        <v>0</v>
      </c>
      <c r="AZ234" s="230">
        <v>0</v>
      </c>
      <c r="BA234" s="2" t="s">
        <v>1229</v>
      </c>
    </row>
    <row r="235" spans="1:56" ht="15" customHeight="1" x14ac:dyDescent="0.25">
      <c r="A235" s="241" t="s">
        <v>709</v>
      </c>
      <c r="B235" s="2" t="s">
        <v>9</v>
      </c>
      <c r="D235" s="241" t="s">
        <v>710</v>
      </c>
      <c r="E235" s="241" t="s">
        <v>711</v>
      </c>
      <c r="H235" s="349" t="s">
        <v>1057</v>
      </c>
      <c r="I235" s="367" t="s">
        <v>1048</v>
      </c>
      <c r="J235" s="2">
        <v>515611</v>
      </c>
      <c r="K235" s="2">
        <v>172008</v>
      </c>
      <c r="L235" s="293"/>
      <c r="M235" s="364">
        <v>0</v>
      </c>
      <c r="N235" s="364">
        <v>0</v>
      </c>
      <c r="O235" s="364">
        <v>0</v>
      </c>
      <c r="P235" s="364">
        <v>1</v>
      </c>
      <c r="Q235" s="364"/>
      <c r="R235" s="364"/>
      <c r="S235" s="364"/>
      <c r="T235" s="365">
        <v>1</v>
      </c>
      <c r="U235" s="364"/>
      <c r="V235" s="364">
        <v>0</v>
      </c>
      <c r="W235" s="364">
        <v>0</v>
      </c>
      <c r="X235" s="364">
        <v>0</v>
      </c>
      <c r="Y235" s="364">
        <v>0</v>
      </c>
      <c r="Z235" s="372">
        <v>1</v>
      </c>
      <c r="AA235" s="364"/>
      <c r="AB235" s="364"/>
      <c r="AC235" s="365">
        <v>1</v>
      </c>
      <c r="AD235" s="364"/>
      <c r="AE235" s="364">
        <f t="shared" si="57"/>
        <v>0</v>
      </c>
      <c r="AF235" s="364">
        <f t="shared" si="58"/>
        <v>0</v>
      </c>
      <c r="AG235" s="364">
        <f t="shared" si="59"/>
        <v>0</v>
      </c>
      <c r="AH235" s="364">
        <f t="shared" si="60"/>
        <v>-1</v>
      </c>
      <c r="AI235" s="364">
        <f t="shared" si="61"/>
        <v>1</v>
      </c>
      <c r="AJ235" s="364">
        <f t="shared" si="62"/>
        <v>0</v>
      </c>
      <c r="AK235" s="364">
        <f t="shared" si="63"/>
        <v>0</v>
      </c>
      <c r="AL235" s="348">
        <f t="shared" si="64"/>
        <v>0</v>
      </c>
      <c r="AM235" s="232"/>
      <c r="AN235" s="322">
        <v>0</v>
      </c>
      <c r="AO235" s="231">
        <v>0</v>
      </c>
      <c r="AP235" s="228">
        <v>0</v>
      </c>
      <c r="AQ235" s="231">
        <v>0</v>
      </c>
      <c r="AR235" s="231">
        <v>0</v>
      </c>
      <c r="AS235" s="231">
        <v>0</v>
      </c>
      <c r="AT235" s="231">
        <v>0</v>
      </c>
      <c r="AU235" s="323">
        <v>0</v>
      </c>
      <c r="AV235" s="231">
        <v>0</v>
      </c>
      <c r="AW235" s="231">
        <v>0</v>
      </c>
      <c r="AX235" s="231">
        <v>0</v>
      </c>
      <c r="AY235" s="231">
        <v>0</v>
      </c>
      <c r="AZ235" s="230">
        <v>0</v>
      </c>
      <c r="BA235" s="2" t="s">
        <v>1236</v>
      </c>
    </row>
    <row r="236" spans="1:56" ht="15" customHeight="1" x14ac:dyDescent="0.25">
      <c r="A236" s="241" t="s">
        <v>489</v>
      </c>
      <c r="B236" s="2" t="s">
        <v>9</v>
      </c>
      <c r="D236" s="241" t="s">
        <v>490</v>
      </c>
      <c r="E236" s="241" t="s">
        <v>491</v>
      </c>
      <c r="H236" s="349" t="s">
        <v>1057</v>
      </c>
      <c r="I236" s="367" t="s">
        <v>1048</v>
      </c>
      <c r="J236" s="2">
        <v>518559</v>
      </c>
      <c r="K236" s="2">
        <v>174698</v>
      </c>
      <c r="L236" s="293"/>
      <c r="M236" s="364">
        <v>1</v>
      </c>
      <c r="N236" s="364">
        <v>0</v>
      </c>
      <c r="O236" s="364">
        <v>0</v>
      </c>
      <c r="P236" s="364">
        <v>0</v>
      </c>
      <c r="Q236" s="364"/>
      <c r="R236" s="364"/>
      <c r="S236" s="364"/>
      <c r="T236" s="365">
        <v>1</v>
      </c>
      <c r="U236" s="364"/>
      <c r="V236" s="364">
        <v>0</v>
      </c>
      <c r="W236" s="364">
        <v>2</v>
      </c>
      <c r="X236" s="364">
        <v>5</v>
      </c>
      <c r="Y236" s="364">
        <v>2</v>
      </c>
      <c r="Z236" s="364"/>
      <c r="AA236" s="364"/>
      <c r="AB236" s="364"/>
      <c r="AC236" s="365">
        <v>9</v>
      </c>
      <c r="AD236" s="364"/>
      <c r="AE236" s="364">
        <f t="shared" si="57"/>
        <v>-1</v>
      </c>
      <c r="AF236" s="364">
        <f t="shared" si="58"/>
        <v>2</v>
      </c>
      <c r="AG236" s="364">
        <f t="shared" si="59"/>
        <v>5</v>
      </c>
      <c r="AH236" s="364">
        <f t="shared" si="60"/>
        <v>2</v>
      </c>
      <c r="AI236" s="364">
        <f t="shared" si="61"/>
        <v>0</v>
      </c>
      <c r="AJ236" s="364">
        <f t="shared" si="62"/>
        <v>0</v>
      </c>
      <c r="AK236" s="364">
        <f t="shared" si="63"/>
        <v>0</v>
      </c>
      <c r="AL236" s="348">
        <f t="shared" si="64"/>
        <v>8</v>
      </c>
      <c r="AM236" s="232"/>
      <c r="AN236" s="322">
        <v>0</v>
      </c>
      <c r="AO236" s="231">
        <v>0</v>
      </c>
      <c r="AP236" s="228">
        <v>2.6666666666666665</v>
      </c>
      <c r="AQ236" s="231">
        <v>2.6666666666666665</v>
      </c>
      <c r="AR236" s="231">
        <v>2.6666666666666665</v>
      </c>
      <c r="AS236" s="231">
        <v>0</v>
      </c>
      <c r="AT236" s="231">
        <v>0</v>
      </c>
      <c r="AU236" s="323" t="s">
        <v>39</v>
      </c>
      <c r="AV236" s="231">
        <v>0</v>
      </c>
      <c r="AW236" s="231">
        <v>0</v>
      </c>
      <c r="AX236" s="231">
        <v>0</v>
      </c>
      <c r="AY236" s="231">
        <v>0</v>
      </c>
      <c r="AZ236" s="230">
        <v>0</v>
      </c>
      <c r="BA236" s="2" t="s">
        <v>1235</v>
      </c>
    </row>
    <row r="237" spans="1:56" ht="15" customHeight="1" x14ac:dyDescent="0.25">
      <c r="A237" s="241" t="s">
        <v>879</v>
      </c>
      <c r="B237" s="2" t="s">
        <v>9</v>
      </c>
      <c r="D237" s="241" t="s">
        <v>880</v>
      </c>
      <c r="E237" s="241" t="s">
        <v>881</v>
      </c>
      <c r="H237" s="349" t="s">
        <v>1057</v>
      </c>
      <c r="I237" s="367" t="s">
        <v>1048</v>
      </c>
      <c r="J237" s="2">
        <v>514775</v>
      </c>
      <c r="K237" s="2">
        <v>172397</v>
      </c>
      <c r="L237" s="293"/>
      <c r="M237" s="364">
        <v>0</v>
      </c>
      <c r="N237" s="364">
        <v>0</v>
      </c>
      <c r="O237" s="364">
        <v>1</v>
      </c>
      <c r="P237" s="364">
        <v>0</v>
      </c>
      <c r="Q237" s="364"/>
      <c r="R237" s="364"/>
      <c r="S237" s="364"/>
      <c r="T237" s="365">
        <v>1</v>
      </c>
      <c r="U237" s="364"/>
      <c r="V237" s="364">
        <v>0</v>
      </c>
      <c r="W237" s="364">
        <v>2</v>
      </c>
      <c r="X237" s="364">
        <v>0</v>
      </c>
      <c r="Y237" s="364">
        <v>0</v>
      </c>
      <c r="Z237" s="364"/>
      <c r="AA237" s="364"/>
      <c r="AB237" s="364"/>
      <c r="AC237" s="365">
        <v>2</v>
      </c>
      <c r="AD237" s="364"/>
      <c r="AE237" s="364">
        <f t="shared" si="57"/>
        <v>0</v>
      </c>
      <c r="AF237" s="364">
        <f t="shared" si="58"/>
        <v>2</v>
      </c>
      <c r="AG237" s="364">
        <f t="shared" si="59"/>
        <v>-1</v>
      </c>
      <c r="AH237" s="364">
        <f t="shared" si="60"/>
        <v>0</v>
      </c>
      <c r="AI237" s="364">
        <f t="shared" si="61"/>
        <v>0</v>
      </c>
      <c r="AJ237" s="364">
        <f t="shared" si="62"/>
        <v>0</v>
      </c>
      <c r="AK237" s="364">
        <f t="shared" si="63"/>
        <v>0</v>
      </c>
      <c r="AL237" s="348">
        <f t="shared" si="64"/>
        <v>1</v>
      </c>
      <c r="AN237" s="322">
        <v>0</v>
      </c>
      <c r="AO237" s="231">
        <v>0</v>
      </c>
      <c r="AP237" s="228">
        <v>0.33333333333333331</v>
      </c>
      <c r="AQ237" s="231">
        <v>0.33333333333333331</v>
      </c>
      <c r="AR237" s="231">
        <v>0.33333333333333331</v>
      </c>
      <c r="AS237" s="231">
        <v>0</v>
      </c>
      <c r="AT237" s="231">
        <v>0</v>
      </c>
      <c r="AU237" s="323" t="s">
        <v>39</v>
      </c>
      <c r="AV237" s="231">
        <v>0</v>
      </c>
      <c r="AW237" s="231">
        <v>0</v>
      </c>
      <c r="AX237" s="231">
        <v>0</v>
      </c>
      <c r="AY237" s="231">
        <v>0</v>
      </c>
      <c r="AZ237" s="230">
        <v>0</v>
      </c>
      <c r="BA237" s="2" t="s">
        <v>1239</v>
      </c>
    </row>
    <row r="238" spans="1:56" ht="15" customHeight="1" x14ac:dyDescent="0.25">
      <c r="A238" s="241" t="s">
        <v>340</v>
      </c>
      <c r="B238" s="2" t="s">
        <v>5</v>
      </c>
      <c r="D238" s="241" t="s">
        <v>341</v>
      </c>
      <c r="E238" s="241" t="s">
        <v>342</v>
      </c>
      <c r="H238" s="349" t="s">
        <v>1057</v>
      </c>
      <c r="I238" s="367" t="s">
        <v>1048</v>
      </c>
      <c r="J238" s="2">
        <v>519787</v>
      </c>
      <c r="K238" s="2">
        <v>175797</v>
      </c>
      <c r="L238" s="293"/>
      <c r="M238" s="364">
        <v>2</v>
      </c>
      <c r="N238" s="364">
        <v>0</v>
      </c>
      <c r="O238" s="364">
        <v>0</v>
      </c>
      <c r="P238" s="364">
        <v>0</v>
      </c>
      <c r="Q238" s="364"/>
      <c r="R238" s="364"/>
      <c r="S238" s="364"/>
      <c r="T238" s="365">
        <v>2</v>
      </c>
      <c r="U238" s="364"/>
      <c r="V238" s="364">
        <v>0</v>
      </c>
      <c r="W238" s="364">
        <v>0</v>
      </c>
      <c r="X238" s="364">
        <v>0</v>
      </c>
      <c r="Y238" s="364">
        <v>1</v>
      </c>
      <c r="Z238" s="364"/>
      <c r="AA238" s="364"/>
      <c r="AB238" s="364"/>
      <c r="AC238" s="365">
        <v>1</v>
      </c>
      <c r="AD238" s="364"/>
      <c r="AE238" s="364">
        <f t="shared" si="57"/>
        <v>-2</v>
      </c>
      <c r="AF238" s="364">
        <f t="shared" si="58"/>
        <v>0</v>
      </c>
      <c r="AG238" s="364">
        <f t="shared" si="59"/>
        <v>0</v>
      </c>
      <c r="AH238" s="364">
        <f t="shared" si="60"/>
        <v>1</v>
      </c>
      <c r="AI238" s="364">
        <f t="shared" si="61"/>
        <v>0</v>
      </c>
      <c r="AJ238" s="364">
        <f t="shared" si="62"/>
        <v>0</v>
      </c>
      <c r="AK238" s="364">
        <f t="shared" si="63"/>
        <v>0</v>
      </c>
      <c r="AL238" s="348">
        <f t="shared" si="64"/>
        <v>-1</v>
      </c>
      <c r="AM238" s="232"/>
      <c r="AN238" s="322">
        <v>0</v>
      </c>
      <c r="AO238" s="231">
        <v>-0.25</v>
      </c>
      <c r="AP238" s="228">
        <v>-0.25</v>
      </c>
      <c r="AQ238" s="231">
        <v>-0.25</v>
      </c>
      <c r="AR238" s="231">
        <v>-0.25</v>
      </c>
      <c r="AS238" s="231">
        <v>0</v>
      </c>
      <c r="AT238" s="231">
        <v>0</v>
      </c>
      <c r="AU238" s="323" t="s">
        <v>39</v>
      </c>
      <c r="AV238" s="231">
        <v>0</v>
      </c>
      <c r="AW238" s="231">
        <v>0</v>
      </c>
      <c r="AX238" s="231">
        <v>0</v>
      </c>
      <c r="AY238" s="231">
        <v>0</v>
      </c>
      <c r="AZ238" s="230">
        <v>0</v>
      </c>
      <c r="BA238" s="2" t="s">
        <v>1234</v>
      </c>
    </row>
    <row r="239" spans="1:56" ht="15" customHeight="1" x14ac:dyDescent="0.25">
      <c r="A239" s="241" t="s">
        <v>1008</v>
      </c>
      <c r="B239" s="2" t="s">
        <v>26</v>
      </c>
      <c r="D239" s="241" t="s">
        <v>1009</v>
      </c>
      <c r="E239" s="241" t="s">
        <v>1010</v>
      </c>
      <c r="H239" s="349" t="s">
        <v>1057</v>
      </c>
      <c r="I239" s="367" t="s">
        <v>1048</v>
      </c>
      <c r="J239" s="2">
        <v>517924</v>
      </c>
      <c r="K239" s="2">
        <v>174891</v>
      </c>
      <c r="L239" s="293"/>
      <c r="M239" s="364">
        <v>0</v>
      </c>
      <c r="N239" s="364">
        <v>0</v>
      </c>
      <c r="O239" s="364">
        <v>0</v>
      </c>
      <c r="P239" s="364">
        <v>0</v>
      </c>
      <c r="Q239" s="364"/>
      <c r="R239" s="364"/>
      <c r="S239" s="364"/>
      <c r="T239" s="365">
        <v>0</v>
      </c>
      <c r="U239" s="364"/>
      <c r="V239" s="364">
        <v>9</v>
      </c>
      <c r="W239" s="364">
        <v>0</v>
      </c>
      <c r="X239" s="364">
        <v>0</v>
      </c>
      <c r="Y239" s="364">
        <v>0</v>
      </c>
      <c r="Z239" s="364"/>
      <c r="AA239" s="364"/>
      <c r="AB239" s="364"/>
      <c r="AC239" s="365">
        <v>9</v>
      </c>
      <c r="AD239" s="364"/>
      <c r="AE239" s="364">
        <f t="shared" si="57"/>
        <v>9</v>
      </c>
      <c r="AF239" s="364">
        <f t="shared" si="58"/>
        <v>0</v>
      </c>
      <c r="AG239" s="364">
        <f t="shared" si="59"/>
        <v>0</v>
      </c>
      <c r="AH239" s="364">
        <f t="shared" si="60"/>
        <v>0</v>
      </c>
      <c r="AI239" s="364">
        <f t="shared" si="61"/>
        <v>0</v>
      </c>
      <c r="AJ239" s="364">
        <f t="shared" si="62"/>
        <v>0</v>
      </c>
      <c r="AK239" s="364">
        <f t="shared" si="63"/>
        <v>0</v>
      </c>
      <c r="AL239" s="348">
        <f t="shared" si="64"/>
        <v>9</v>
      </c>
      <c r="AN239" s="322">
        <v>0</v>
      </c>
      <c r="AO239" s="231">
        <v>2.25</v>
      </c>
      <c r="AP239" s="228">
        <v>2.25</v>
      </c>
      <c r="AQ239" s="231">
        <v>2.25</v>
      </c>
      <c r="AR239" s="231">
        <v>2.25</v>
      </c>
      <c r="AS239" s="231">
        <v>0</v>
      </c>
      <c r="AT239" s="231">
        <v>0</v>
      </c>
      <c r="AU239" s="323" t="s">
        <v>39</v>
      </c>
      <c r="AV239" s="231">
        <v>0</v>
      </c>
      <c r="AW239" s="231">
        <v>0</v>
      </c>
      <c r="AX239" s="231">
        <v>0</v>
      </c>
      <c r="AY239" s="231">
        <v>0</v>
      </c>
      <c r="AZ239" s="230">
        <v>0</v>
      </c>
      <c r="BA239" s="2" t="s">
        <v>1235</v>
      </c>
      <c r="BD239" s="2" t="s">
        <v>1213</v>
      </c>
    </row>
    <row r="240" spans="1:56" ht="15" customHeight="1" x14ac:dyDescent="0.25">
      <c r="A240" s="241" t="s">
        <v>666</v>
      </c>
      <c r="B240" s="2" t="s">
        <v>5</v>
      </c>
      <c r="D240" s="241" t="s">
        <v>667</v>
      </c>
      <c r="E240" s="241" t="s">
        <v>668</v>
      </c>
      <c r="H240" s="349" t="s">
        <v>1057</v>
      </c>
      <c r="I240" s="367" t="s">
        <v>1048</v>
      </c>
      <c r="J240" s="2">
        <v>515085</v>
      </c>
      <c r="K240" s="2">
        <v>171577</v>
      </c>
      <c r="L240" s="293"/>
      <c r="M240" s="364">
        <v>0</v>
      </c>
      <c r="N240" s="364">
        <v>1</v>
      </c>
      <c r="O240" s="364">
        <v>0</v>
      </c>
      <c r="P240" s="364">
        <v>0</v>
      </c>
      <c r="Q240" s="364"/>
      <c r="R240" s="364"/>
      <c r="S240" s="364"/>
      <c r="T240" s="365">
        <v>1</v>
      </c>
      <c r="U240" s="364">
        <v>2</v>
      </c>
      <c r="V240" s="364">
        <v>0</v>
      </c>
      <c r="W240" s="364">
        <v>0</v>
      </c>
      <c r="X240" s="364">
        <v>0</v>
      </c>
      <c r="Y240" s="364">
        <v>0</v>
      </c>
      <c r="Z240" s="364"/>
      <c r="AA240" s="364"/>
      <c r="AB240" s="364"/>
      <c r="AC240" s="365">
        <v>2</v>
      </c>
      <c r="AD240" s="364"/>
      <c r="AE240" s="364">
        <f t="shared" si="57"/>
        <v>0</v>
      </c>
      <c r="AF240" s="364">
        <f t="shared" si="58"/>
        <v>-1</v>
      </c>
      <c r="AG240" s="364">
        <f t="shared" si="59"/>
        <v>0</v>
      </c>
      <c r="AH240" s="364">
        <f t="shared" si="60"/>
        <v>0</v>
      </c>
      <c r="AI240" s="364">
        <f t="shared" si="61"/>
        <v>0</v>
      </c>
      <c r="AJ240" s="364">
        <f t="shared" si="62"/>
        <v>0</v>
      </c>
      <c r="AK240" s="364">
        <f t="shared" si="63"/>
        <v>0</v>
      </c>
      <c r="AL240" s="348">
        <f t="shared" si="64"/>
        <v>1</v>
      </c>
      <c r="AM240" s="232"/>
      <c r="AN240" s="322">
        <v>0</v>
      </c>
      <c r="AO240" s="231">
        <v>0.25</v>
      </c>
      <c r="AP240" s="228">
        <v>0.25</v>
      </c>
      <c r="AQ240" s="231">
        <v>0.25</v>
      </c>
      <c r="AR240" s="231">
        <v>0.25</v>
      </c>
      <c r="AS240" s="231">
        <v>0</v>
      </c>
      <c r="AT240" s="231">
        <v>0</v>
      </c>
      <c r="AU240" s="323" t="s">
        <v>39</v>
      </c>
      <c r="AV240" s="231">
        <v>0</v>
      </c>
      <c r="AW240" s="231">
        <v>0</v>
      </c>
      <c r="AX240" s="231">
        <v>0</v>
      </c>
      <c r="AY240" s="231">
        <v>0</v>
      </c>
      <c r="AZ240" s="230">
        <v>0</v>
      </c>
      <c r="BA240" s="2" t="s">
        <v>1265</v>
      </c>
      <c r="BC240" s="2" t="s">
        <v>1435</v>
      </c>
    </row>
    <row r="241" spans="1:58" ht="15" customHeight="1" x14ac:dyDescent="0.25">
      <c r="A241" s="241" t="s">
        <v>441</v>
      </c>
      <c r="B241" s="2" t="s">
        <v>26</v>
      </c>
      <c r="D241" s="241" t="s">
        <v>442</v>
      </c>
      <c r="E241" s="241" t="s">
        <v>443</v>
      </c>
      <c r="H241" s="349" t="s">
        <v>1057</v>
      </c>
      <c r="I241" s="367" t="s">
        <v>1048</v>
      </c>
      <c r="J241" s="2">
        <v>517763</v>
      </c>
      <c r="K241" s="2">
        <v>171588</v>
      </c>
      <c r="L241" s="293"/>
      <c r="M241" s="364">
        <v>0</v>
      </c>
      <c r="N241" s="364">
        <v>0</v>
      </c>
      <c r="O241" s="364">
        <v>0</v>
      </c>
      <c r="P241" s="364">
        <v>0</v>
      </c>
      <c r="Q241" s="364"/>
      <c r="R241" s="364"/>
      <c r="S241" s="364"/>
      <c r="T241" s="365">
        <v>0</v>
      </c>
      <c r="U241" s="364"/>
      <c r="V241" s="364">
        <v>0</v>
      </c>
      <c r="W241" s="364">
        <v>0</v>
      </c>
      <c r="X241" s="364">
        <v>0</v>
      </c>
      <c r="Y241" s="364">
        <v>0</v>
      </c>
      <c r="Z241" s="364"/>
      <c r="AA241" s="364"/>
      <c r="AB241" s="364"/>
      <c r="AC241" s="365">
        <v>0</v>
      </c>
      <c r="AD241" s="364"/>
      <c r="AE241" s="364">
        <f t="shared" si="57"/>
        <v>0</v>
      </c>
      <c r="AF241" s="364">
        <f t="shared" si="58"/>
        <v>0</v>
      </c>
      <c r="AG241" s="364">
        <f t="shared" si="59"/>
        <v>0</v>
      </c>
      <c r="AH241" s="364">
        <f t="shared" si="60"/>
        <v>0</v>
      </c>
      <c r="AI241" s="364">
        <f t="shared" si="61"/>
        <v>0</v>
      </c>
      <c r="AJ241" s="364">
        <f t="shared" si="62"/>
        <v>0</v>
      </c>
      <c r="AK241" s="364">
        <f t="shared" si="63"/>
        <v>0</v>
      </c>
      <c r="AL241" s="348">
        <f t="shared" si="64"/>
        <v>0</v>
      </c>
      <c r="AM241" s="232"/>
      <c r="AN241" s="322">
        <v>0</v>
      </c>
      <c r="AO241" s="231">
        <v>0</v>
      </c>
      <c r="AP241" s="228">
        <v>0</v>
      </c>
      <c r="AQ241" s="231">
        <v>0</v>
      </c>
      <c r="AR241" s="231">
        <v>0</v>
      </c>
      <c r="AS241" s="231">
        <v>0</v>
      </c>
      <c r="AT241" s="231">
        <v>0</v>
      </c>
      <c r="AU241" s="323">
        <v>0</v>
      </c>
      <c r="AV241" s="231">
        <v>0</v>
      </c>
      <c r="AW241" s="231">
        <v>0</v>
      </c>
      <c r="AX241" s="231">
        <v>0</v>
      </c>
      <c r="AY241" s="231">
        <v>0</v>
      </c>
      <c r="AZ241" s="230">
        <v>0</v>
      </c>
      <c r="BA241" s="2" t="s">
        <v>1443</v>
      </c>
    </row>
    <row r="242" spans="1:58" ht="15" customHeight="1" x14ac:dyDescent="0.25">
      <c r="A242" s="241" t="s">
        <v>516</v>
      </c>
      <c r="B242" s="2" t="s">
        <v>26</v>
      </c>
      <c r="D242" s="241" t="s">
        <v>517</v>
      </c>
      <c r="E242" s="241" t="s">
        <v>518</v>
      </c>
      <c r="H242" s="349" t="s">
        <v>1057</v>
      </c>
      <c r="I242" s="367" t="s">
        <v>1048</v>
      </c>
      <c r="J242" s="2">
        <v>518392</v>
      </c>
      <c r="K242" s="2">
        <v>175032</v>
      </c>
      <c r="L242" s="293"/>
      <c r="M242" s="364">
        <v>0</v>
      </c>
      <c r="N242" s="364">
        <v>0</v>
      </c>
      <c r="O242" s="364">
        <v>0</v>
      </c>
      <c r="P242" s="364">
        <v>0</v>
      </c>
      <c r="Q242" s="364"/>
      <c r="R242" s="364"/>
      <c r="S242" s="364"/>
      <c r="T242" s="365">
        <v>0</v>
      </c>
      <c r="U242" s="364"/>
      <c r="V242" s="364">
        <v>0</v>
      </c>
      <c r="W242" s="364">
        <v>2</v>
      </c>
      <c r="X242" s="364">
        <v>0</v>
      </c>
      <c r="Y242" s="364">
        <v>0</v>
      </c>
      <c r="Z242" s="364"/>
      <c r="AA242" s="364"/>
      <c r="AB242" s="364"/>
      <c r="AC242" s="365">
        <v>2</v>
      </c>
      <c r="AD242" s="364"/>
      <c r="AE242" s="364">
        <f t="shared" si="57"/>
        <v>0</v>
      </c>
      <c r="AF242" s="364">
        <f t="shared" si="58"/>
        <v>2</v>
      </c>
      <c r="AG242" s="364">
        <f t="shared" si="59"/>
        <v>0</v>
      </c>
      <c r="AH242" s="364">
        <f t="shared" si="60"/>
        <v>0</v>
      </c>
      <c r="AI242" s="364">
        <f t="shared" si="61"/>
        <v>0</v>
      </c>
      <c r="AJ242" s="364">
        <f t="shared" si="62"/>
        <v>0</v>
      </c>
      <c r="AK242" s="364">
        <f t="shared" si="63"/>
        <v>0</v>
      </c>
      <c r="AL242" s="348">
        <f t="shared" si="64"/>
        <v>2</v>
      </c>
      <c r="AM242" s="317"/>
      <c r="AN242" s="322">
        <v>0</v>
      </c>
      <c r="AO242" s="231">
        <v>0.5</v>
      </c>
      <c r="AP242" s="228">
        <v>0.5</v>
      </c>
      <c r="AQ242" s="231">
        <v>0.5</v>
      </c>
      <c r="AR242" s="231">
        <v>0.5</v>
      </c>
      <c r="AS242" s="231">
        <v>0</v>
      </c>
      <c r="AT242" s="231">
        <v>0</v>
      </c>
      <c r="AU242" s="323" t="s">
        <v>39</v>
      </c>
      <c r="AV242" s="231">
        <v>0</v>
      </c>
      <c r="AW242" s="231">
        <v>0</v>
      </c>
      <c r="AX242" s="231">
        <v>0</v>
      </c>
      <c r="AY242" s="231">
        <v>0</v>
      </c>
      <c r="AZ242" s="230">
        <v>0</v>
      </c>
      <c r="BA242" s="2" t="s">
        <v>1235</v>
      </c>
      <c r="BC242" s="2" t="s">
        <v>1448</v>
      </c>
    </row>
    <row r="243" spans="1:58" ht="15" customHeight="1" x14ac:dyDescent="0.25">
      <c r="A243" s="241" t="s">
        <v>769</v>
      </c>
      <c r="B243" s="2" t="s">
        <v>60</v>
      </c>
      <c r="D243" s="241" t="s">
        <v>770</v>
      </c>
      <c r="E243" s="241" t="s">
        <v>771</v>
      </c>
      <c r="H243" s="349" t="s">
        <v>1057</v>
      </c>
      <c r="I243" s="367" t="s">
        <v>1048</v>
      </c>
      <c r="J243" s="2">
        <v>513766</v>
      </c>
      <c r="K243" s="2">
        <v>169736</v>
      </c>
      <c r="L243" s="293"/>
      <c r="M243" s="364">
        <v>0</v>
      </c>
      <c r="N243" s="364">
        <v>0</v>
      </c>
      <c r="O243" s="364">
        <v>0</v>
      </c>
      <c r="P243" s="364">
        <v>0</v>
      </c>
      <c r="Q243" s="364"/>
      <c r="R243" s="364"/>
      <c r="S243" s="364"/>
      <c r="T243" s="365">
        <v>0</v>
      </c>
      <c r="U243" s="364"/>
      <c r="V243" s="364">
        <v>4</v>
      </c>
      <c r="W243" s="364">
        <v>12</v>
      </c>
      <c r="X243" s="364">
        <v>10</v>
      </c>
      <c r="Y243" s="364">
        <v>2</v>
      </c>
      <c r="Z243" s="364"/>
      <c r="AA243" s="364"/>
      <c r="AB243" s="364"/>
      <c r="AC243" s="365">
        <v>28</v>
      </c>
      <c r="AD243" s="364"/>
      <c r="AE243" s="364">
        <f t="shared" si="57"/>
        <v>4</v>
      </c>
      <c r="AF243" s="364">
        <f t="shared" si="58"/>
        <v>12</v>
      </c>
      <c r="AG243" s="364">
        <f t="shared" si="59"/>
        <v>10</v>
      </c>
      <c r="AH243" s="364">
        <f t="shared" si="60"/>
        <v>2</v>
      </c>
      <c r="AI243" s="364">
        <f t="shared" si="61"/>
        <v>0</v>
      </c>
      <c r="AJ243" s="364">
        <f t="shared" si="62"/>
        <v>0</v>
      </c>
      <c r="AK243" s="364">
        <f t="shared" si="63"/>
        <v>0</v>
      </c>
      <c r="AL243" s="348">
        <f t="shared" si="64"/>
        <v>28</v>
      </c>
      <c r="AM243" s="232"/>
      <c r="AN243" s="322">
        <v>0</v>
      </c>
      <c r="AO243" s="231">
        <v>0</v>
      </c>
      <c r="AP243" s="228">
        <v>0</v>
      </c>
      <c r="AQ243" s="231">
        <v>0</v>
      </c>
      <c r="AR243" s="231">
        <v>14</v>
      </c>
      <c r="AS243" s="231">
        <v>14</v>
      </c>
      <c r="AT243" s="231">
        <v>0</v>
      </c>
      <c r="AU243" s="323" t="s">
        <v>39</v>
      </c>
      <c r="AV243" s="231">
        <v>0</v>
      </c>
      <c r="AW243" s="231">
        <v>0</v>
      </c>
      <c r="AX243" s="231">
        <v>0</v>
      </c>
      <c r="AY243" s="231">
        <v>0</v>
      </c>
      <c r="AZ243" s="230">
        <v>0</v>
      </c>
      <c r="BA243" s="2" t="s">
        <v>1229</v>
      </c>
      <c r="BC243" s="2" t="s">
        <v>1436</v>
      </c>
    </row>
    <row r="244" spans="1:58" ht="15" customHeight="1" x14ac:dyDescent="0.25">
      <c r="A244" s="241" t="s">
        <v>604</v>
      </c>
      <c r="B244" s="2" t="s">
        <v>9</v>
      </c>
      <c r="D244" s="241" t="s">
        <v>605</v>
      </c>
      <c r="E244" s="241" t="s">
        <v>606</v>
      </c>
      <c r="H244" s="349" t="s">
        <v>1057</v>
      </c>
      <c r="I244" s="367" t="s">
        <v>1048</v>
      </c>
      <c r="J244" s="2">
        <v>516905</v>
      </c>
      <c r="K244" s="2">
        <v>170733</v>
      </c>
      <c r="L244" s="293"/>
      <c r="M244" s="364">
        <v>0</v>
      </c>
      <c r="N244" s="364">
        <v>0</v>
      </c>
      <c r="O244" s="364">
        <v>0</v>
      </c>
      <c r="P244" s="364">
        <v>0</v>
      </c>
      <c r="Q244" s="364"/>
      <c r="R244" s="364"/>
      <c r="S244" s="364"/>
      <c r="T244" s="365">
        <v>0</v>
      </c>
      <c r="U244" s="364"/>
      <c r="V244" s="364">
        <v>0</v>
      </c>
      <c r="W244" s="364">
        <v>0</v>
      </c>
      <c r="X244" s="364">
        <v>2</v>
      </c>
      <c r="Y244" s="364">
        <v>0</v>
      </c>
      <c r="Z244" s="364"/>
      <c r="AA244" s="364"/>
      <c r="AB244" s="364"/>
      <c r="AC244" s="365">
        <v>0</v>
      </c>
      <c r="AD244" s="364"/>
      <c r="AE244" s="364">
        <f t="shared" si="57"/>
        <v>0</v>
      </c>
      <c r="AF244" s="364">
        <f t="shared" si="58"/>
        <v>0</v>
      </c>
      <c r="AG244" s="364">
        <f t="shared" si="59"/>
        <v>2</v>
      </c>
      <c r="AH244" s="364">
        <f t="shared" si="60"/>
        <v>0</v>
      </c>
      <c r="AI244" s="364">
        <f t="shared" si="61"/>
        <v>0</v>
      </c>
      <c r="AJ244" s="364">
        <f t="shared" si="62"/>
        <v>0</v>
      </c>
      <c r="AK244" s="364">
        <f t="shared" si="63"/>
        <v>0</v>
      </c>
      <c r="AL244" s="348">
        <f t="shared" si="64"/>
        <v>0</v>
      </c>
      <c r="AM244" s="232"/>
      <c r="AN244" s="322">
        <v>0</v>
      </c>
      <c r="AO244" s="231">
        <v>0</v>
      </c>
      <c r="AP244" s="228">
        <v>0</v>
      </c>
      <c r="AQ244" s="231">
        <v>0</v>
      </c>
      <c r="AR244" s="231">
        <v>0</v>
      </c>
      <c r="AS244" s="231">
        <v>0</v>
      </c>
      <c r="AT244" s="231">
        <v>0</v>
      </c>
      <c r="AU244" s="323">
        <v>0</v>
      </c>
      <c r="AV244" s="231">
        <v>0</v>
      </c>
      <c r="AW244" s="231">
        <v>0</v>
      </c>
      <c r="AX244" s="231">
        <v>0</v>
      </c>
      <c r="AY244" s="231">
        <v>0</v>
      </c>
      <c r="AZ244" s="230">
        <v>0</v>
      </c>
      <c r="BA244" s="2" t="s">
        <v>1230</v>
      </c>
    </row>
    <row r="245" spans="1:58" ht="15" customHeight="1" x14ac:dyDescent="0.25">
      <c r="A245" s="241" t="s">
        <v>568</v>
      </c>
      <c r="B245" s="2" t="s">
        <v>9</v>
      </c>
      <c r="D245" s="241" t="s">
        <v>569</v>
      </c>
      <c r="E245" s="241" t="s">
        <v>570</v>
      </c>
      <c r="H245" s="349" t="s">
        <v>1057</v>
      </c>
      <c r="I245" s="367" t="s">
        <v>1048</v>
      </c>
      <c r="J245" s="2">
        <v>519126</v>
      </c>
      <c r="K245" s="2">
        <v>176420</v>
      </c>
      <c r="L245" s="293"/>
      <c r="M245" s="364">
        <v>0</v>
      </c>
      <c r="N245" s="364">
        <v>0</v>
      </c>
      <c r="O245" s="364">
        <v>0</v>
      </c>
      <c r="P245" s="364">
        <v>0</v>
      </c>
      <c r="Q245" s="364"/>
      <c r="R245" s="364"/>
      <c r="S245" s="364"/>
      <c r="T245" s="365">
        <v>0</v>
      </c>
      <c r="U245" s="364"/>
      <c r="V245" s="364">
        <v>4</v>
      </c>
      <c r="W245" s="364">
        <v>2</v>
      </c>
      <c r="X245" s="364">
        <v>0</v>
      </c>
      <c r="Y245" s="364">
        <v>0</v>
      </c>
      <c r="Z245" s="364"/>
      <c r="AA245" s="364"/>
      <c r="AB245" s="364"/>
      <c r="AC245" s="365">
        <v>6</v>
      </c>
      <c r="AD245" s="364"/>
      <c r="AE245" s="364">
        <f t="shared" si="57"/>
        <v>4</v>
      </c>
      <c r="AF245" s="364">
        <f t="shared" si="58"/>
        <v>2</v>
      </c>
      <c r="AG245" s="364">
        <f t="shared" si="59"/>
        <v>0</v>
      </c>
      <c r="AH245" s="364">
        <f t="shared" si="60"/>
        <v>0</v>
      </c>
      <c r="AI245" s="364">
        <f t="shared" si="61"/>
        <v>0</v>
      </c>
      <c r="AJ245" s="364">
        <f t="shared" si="62"/>
        <v>0</v>
      </c>
      <c r="AK245" s="364">
        <f t="shared" si="63"/>
        <v>0</v>
      </c>
      <c r="AL245" s="348">
        <f t="shared" si="64"/>
        <v>6</v>
      </c>
      <c r="AM245" s="232"/>
      <c r="AN245" s="322">
        <v>0</v>
      </c>
      <c r="AO245" s="231">
        <v>0</v>
      </c>
      <c r="AP245" s="228">
        <v>2</v>
      </c>
      <c r="AQ245" s="231">
        <v>2</v>
      </c>
      <c r="AR245" s="231">
        <v>2</v>
      </c>
      <c r="AS245" s="231">
        <v>0</v>
      </c>
      <c r="AT245" s="231">
        <v>0</v>
      </c>
      <c r="AU245" s="323" t="s">
        <v>39</v>
      </c>
      <c r="AV245" s="231">
        <v>0</v>
      </c>
      <c r="AW245" s="231">
        <v>0</v>
      </c>
      <c r="AX245" s="231">
        <v>0</v>
      </c>
      <c r="AY245" s="231">
        <v>0</v>
      </c>
      <c r="AZ245" s="230">
        <v>0</v>
      </c>
      <c r="BA245" s="2" t="s">
        <v>1232</v>
      </c>
      <c r="BC245" s="2" t="s">
        <v>1450</v>
      </c>
    </row>
    <row r="246" spans="1:58" ht="15" customHeight="1" x14ac:dyDescent="0.25">
      <c r="A246" s="241" t="s">
        <v>1063</v>
      </c>
      <c r="B246" s="2" t="s">
        <v>26</v>
      </c>
      <c r="D246" s="241" t="s">
        <v>1072</v>
      </c>
      <c r="E246" s="241" t="s">
        <v>1081</v>
      </c>
      <c r="H246" s="349" t="s">
        <v>1057</v>
      </c>
      <c r="I246" s="367" t="s">
        <v>1048</v>
      </c>
      <c r="J246" s="2">
        <v>521408</v>
      </c>
      <c r="K246" s="2">
        <v>175714</v>
      </c>
      <c r="L246" s="293"/>
      <c r="M246" s="364">
        <v>0</v>
      </c>
      <c r="N246" s="364">
        <v>0</v>
      </c>
      <c r="O246" s="364">
        <v>0</v>
      </c>
      <c r="P246" s="364">
        <v>1</v>
      </c>
      <c r="Q246" s="364"/>
      <c r="R246" s="364"/>
      <c r="S246" s="364"/>
      <c r="T246" s="365">
        <v>1</v>
      </c>
      <c r="U246" s="364"/>
      <c r="V246" s="364">
        <v>0</v>
      </c>
      <c r="W246" s="364">
        <v>0</v>
      </c>
      <c r="X246" s="364">
        <v>0</v>
      </c>
      <c r="Y246" s="364">
        <v>0</v>
      </c>
      <c r="Z246" s="364">
        <v>1</v>
      </c>
      <c r="AA246" s="364"/>
      <c r="AB246" s="364"/>
      <c r="AC246" s="365">
        <v>1</v>
      </c>
      <c r="AD246" s="364"/>
      <c r="AE246" s="364">
        <f t="shared" si="57"/>
        <v>0</v>
      </c>
      <c r="AF246" s="364">
        <f t="shared" si="58"/>
        <v>0</v>
      </c>
      <c r="AG246" s="364">
        <f t="shared" si="59"/>
        <v>0</v>
      </c>
      <c r="AH246" s="364">
        <f t="shared" si="60"/>
        <v>-1</v>
      </c>
      <c r="AI246" s="364">
        <f t="shared" si="61"/>
        <v>1</v>
      </c>
      <c r="AJ246" s="364">
        <f t="shared" si="62"/>
        <v>0</v>
      </c>
      <c r="AK246" s="364">
        <f t="shared" si="63"/>
        <v>0</v>
      </c>
      <c r="AL246" s="348">
        <f t="shared" si="64"/>
        <v>0</v>
      </c>
      <c r="AN246" s="322">
        <v>0</v>
      </c>
      <c r="AO246" s="231">
        <v>0</v>
      </c>
      <c r="AP246" s="228">
        <v>0</v>
      </c>
      <c r="AQ246" s="231">
        <v>0</v>
      </c>
      <c r="AR246" s="231">
        <v>0</v>
      </c>
      <c r="AS246" s="231">
        <v>0</v>
      </c>
      <c r="AT246" s="231">
        <v>0</v>
      </c>
      <c r="AU246" s="242">
        <v>0</v>
      </c>
      <c r="AV246" s="231">
        <v>0</v>
      </c>
      <c r="AW246" s="231">
        <v>0</v>
      </c>
      <c r="AX246" s="231">
        <v>0</v>
      </c>
      <c r="AY246" s="231">
        <v>0</v>
      </c>
      <c r="AZ246" s="230">
        <v>0</v>
      </c>
      <c r="BA246" s="2" t="s">
        <v>1267</v>
      </c>
    </row>
    <row r="247" spans="1:58" ht="15" customHeight="1" x14ac:dyDescent="0.25">
      <c r="A247" s="241" t="s">
        <v>553</v>
      </c>
      <c r="B247" s="2" t="s">
        <v>26</v>
      </c>
      <c r="D247" s="241" t="s">
        <v>554</v>
      </c>
      <c r="E247" s="241" t="s">
        <v>555</v>
      </c>
      <c r="H247" s="349" t="s">
        <v>1057</v>
      </c>
      <c r="I247" s="367" t="s">
        <v>1048</v>
      </c>
      <c r="J247" s="2">
        <v>519112</v>
      </c>
      <c r="K247" s="2">
        <v>176842</v>
      </c>
      <c r="L247" s="293"/>
      <c r="M247" s="364">
        <v>0</v>
      </c>
      <c r="N247" s="364">
        <v>0</v>
      </c>
      <c r="O247" s="364">
        <v>0</v>
      </c>
      <c r="P247" s="364">
        <v>0</v>
      </c>
      <c r="Q247" s="364"/>
      <c r="R247" s="364"/>
      <c r="S247" s="364"/>
      <c r="T247" s="365">
        <v>0</v>
      </c>
      <c r="U247" s="364"/>
      <c r="V247" s="364">
        <v>0</v>
      </c>
      <c r="W247" s="364">
        <v>1</v>
      </c>
      <c r="X247" s="364">
        <v>0</v>
      </c>
      <c r="Y247" s="364">
        <v>0</v>
      </c>
      <c r="Z247" s="364"/>
      <c r="AA247" s="364"/>
      <c r="AB247" s="364"/>
      <c r="AC247" s="365">
        <v>1</v>
      </c>
      <c r="AD247" s="364"/>
      <c r="AE247" s="364">
        <f t="shared" si="57"/>
        <v>0</v>
      </c>
      <c r="AF247" s="364">
        <f t="shared" si="58"/>
        <v>1</v>
      </c>
      <c r="AG247" s="364">
        <f t="shared" si="59"/>
        <v>0</v>
      </c>
      <c r="AH247" s="364">
        <f t="shared" si="60"/>
        <v>0</v>
      </c>
      <c r="AI247" s="364">
        <f t="shared" si="61"/>
        <v>0</v>
      </c>
      <c r="AJ247" s="364">
        <f t="shared" si="62"/>
        <v>0</v>
      </c>
      <c r="AK247" s="364">
        <f t="shared" si="63"/>
        <v>0</v>
      </c>
      <c r="AL247" s="348">
        <f t="shared" si="64"/>
        <v>1</v>
      </c>
      <c r="AM247" s="232"/>
      <c r="AN247" s="322">
        <v>0</v>
      </c>
      <c r="AO247" s="231">
        <v>0.25</v>
      </c>
      <c r="AP247" s="228">
        <v>0.25</v>
      </c>
      <c r="AQ247" s="231">
        <v>0.25</v>
      </c>
      <c r="AR247" s="231">
        <v>0.25</v>
      </c>
      <c r="AS247" s="231">
        <v>0</v>
      </c>
      <c r="AT247" s="231">
        <v>0</v>
      </c>
      <c r="AU247" s="323" t="s">
        <v>39</v>
      </c>
      <c r="AV247" s="231">
        <v>0</v>
      </c>
      <c r="AW247" s="231">
        <v>0</v>
      </c>
      <c r="AX247" s="231">
        <v>0</v>
      </c>
      <c r="AY247" s="231">
        <v>0</v>
      </c>
      <c r="AZ247" s="230">
        <v>0</v>
      </c>
      <c r="BA247" s="2" t="s">
        <v>1232</v>
      </c>
      <c r="BC247" s="2" t="s">
        <v>1433</v>
      </c>
    </row>
    <row r="248" spans="1:58" ht="15" customHeight="1" x14ac:dyDescent="0.25">
      <c r="A248" s="241" t="s">
        <v>772</v>
      </c>
      <c r="B248" s="2" t="s">
        <v>60</v>
      </c>
      <c r="D248" s="241" t="s">
        <v>773</v>
      </c>
      <c r="E248" s="241" t="s">
        <v>774</v>
      </c>
      <c r="H248" s="349" t="s">
        <v>1057</v>
      </c>
      <c r="I248" s="367" t="s">
        <v>1048</v>
      </c>
      <c r="J248" s="2">
        <v>513783</v>
      </c>
      <c r="K248" s="2">
        <v>169643</v>
      </c>
      <c r="L248" s="293"/>
      <c r="M248" s="364">
        <v>0</v>
      </c>
      <c r="N248" s="364">
        <v>1</v>
      </c>
      <c r="O248" s="364">
        <v>0</v>
      </c>
      <c r="P248" s="364">
        <v>0</v>
      </c>
      <c r="Q248" s="364"/>
      <c r="R248" s="364"/>
      <c r="S248" s="364"/>
      <c r="T248" s="365">
        <v>1</v>
      </c>
      <c r="U248" s="364"/>
      <c r="V248" s="364">
        <v>2</v>
      </c>
      <c r="W248" s="364">
        <v>2</v>
      </c>
      <c r="X248" s="364">
        <v>0</v>
      </c>
      <c r="Y248" s="364">
        <v>0</v>
      </c>
      <c r="Z248" s="364"/>
      <c r="AA248" s="364"/>
      <c r="AB248" s="364"/>
      <c r="AC248" s="365">
        <v>4</v>
      </c>
      <c r="AD248" s="364"/>
      <c r="AE248" s="364">
        <f t="shared" si="57"/>
        <v>2</v>
      </c>
      <c r="AF248" s="364">
        <f t="shared" si="58"/>
        <v>1</v>
      </c>
      <c r="AG248" s="364">
        <f t="shared" si="59"/>
        <v>0</v>
      </c>
      <c r="AH248" s="364">
        <f t="shared" si="60"/>
        <v>0</v>
      </c>
      <c r="AI248" s="364">
        <f t="shared" si="61"/>
        <v>0</v>
      </c>
      <c r="AJ248" s="364">
        <f t="shared" si="62"/>
        <v>0</v>
      </c>
      <c r="AK248" s="364">
        <f t="shared" si="63"/>
        <v>0</v>
      </c>
      <c r="AL248" s="348">
        <f t="shared" si="64"/>
        <v>3</v>
      </c>
      <c r="AM248" s="232"/>
      <c r="AN248" s="322">
        <v>0</v>
      </c>
      <c r="AO248" s="231">
        <v>0</v>
      </c>
      <c r="AP248" s="228">
        <v>1</v>
      </c>
      <c r="AQ248" s="231">
        <v>1</v>
      </c>
      <c r="AR248" s="231">
        <v>1</v>
      </c>
      <c r="AS248" s="231">
        <v>0</v>
      </c>
      <c r="AT248" s="231">
        <v>0</v>
      </c>
      <c r="AU248" s="323" t="s">
        <v>39</v>
      </c>
      <c r="AV248" s="231">
        <v>0</v>
      </c>
      <c r="AW248" s="231">
        <v>0</v>
      </c>
      <c r="AX248" s="231">
        <v>0</v>
      </c>
      <c r="AY248" s="231">
        <v>0</v>
      </c>
      <c r="AZ248" s="230">
        <v>0</v>
      </c>
      <c r="BA248" s="2" t="s">
        <v>1229</v>
      </c>
      <c r="BC248" s="2" t="s">
        <v>1436</v>
      </c>
    </row>
    <row r="249" spans="1:58" ht="15" customHeight="1" x14ac:dyDescent="0.25">
      <c r="A249" s="241" t="s">
        <v>450</v>
      </c>
      <c r="B249" s="2" t="s">
        <v>9</v>
      </c>
      <c r="D249" s="241" t="s">
        <v>451</v>
      </c>
      <c r="E249" s="241" t="s">
        <v>452</v>
      </c>
      <c r="H249" s="349" t="s">
        <v>1057</v>
      </c>
      <c r="I249" s="367" t="s">
        <v>1048</v>
      </c>
      <c r="J249" s="2">
        <v>516909</v>
      </c>
      <c r="K249" s="2">
        <v>172236</v>
      </c>
      <c r="L249" s="293"/>
      <c r="M249" s="364">
        <v>0</v>
      </c>
      <c r="N249" s="364">
        <v>0</v>
      </c>
      <c r="O249" s="364">
        <v>0</v>
      </c>
      <c r="P249" s="364">
        <v>0</v>
      </c>
      <c r="Q249" s="364"/>
      <c r="R249" s="364"/>
      <c r="S249" s="364"/>
      <c r="T249" s="365">
        <v>0</v>
      </c>
      <c r="U249" s="364"/>
      <c r="V249" s="364">
        <v>0</v>
      </c>
      <c r="W249" s="364">
        <v>0</v>
      </c>
      <c r="X249" s="364">
        <v>0</v>
      </c>
      <c r="Y249" s="364">
        <v>0</v>
      </c>
      <c r="Z249" s="364"/>
      <c r="AA249" s="364"/>
      <c r="AB249" s="364"/>
      <c r="AC249" s="365">
        <v>0</v>
      </c>
      <c r="AD249" s="364"/>
      <c r="AE249" s="364">
        <f t="shared" si="57"/>
        <v>0</v>
      </c>
      <c r="AF249" s="364">
        <f t="shared" si="58"/>
        <v>0</v>
      </c>
      <c r="AG249" s="364">
        <f t="shared" si="59"/>
        <v>0</v>
      </c>
      <c r="AH249" s="364">
        <f t="shared" si="60"/>
        <v>0</v>
      </c>
      <c r="AI249" s="364">
        <f t="shared" si="61"/>
        <v>0</v>
      </c>
      <c r="AJ249" s="364">
        <f t="shared" si="62"/>
        <v>0</v>
      </c>
      <c r="AK249" s="364">
        <f t="shared" si="63"/>
        <v>0</v>
      </c>
      <c r="AL249" s="348">
        <f t="shared" si="64"/>
        <v>0</v>
      </c>
      <c r="AM249" s="232"/>
      <c r="AN249" s="322">
        <v>0</v>
      </c>
      <c r="AO249" s="231">
        <v>0</v>
      </c>
      <c r="AP249" s="228">
        <v>0</v>
      </c>
      <c r="AQ249" s="231">
        <v>0</v>
      </c>
      <c r="AR249" s="231">
        <v>0</v>
      </c>
      <c r="AS249" s="231">
        <v>0</v>
      </c>
      <c r="AT249" s="231">
        <v>0</v>
      </c>
      <c r="AU249" s="323">
        <v>0</v>
      </c>
      <c r="AV249" s="231">
        <v>0</v>
      </c>
      <c r="AW249" s="231">
        <v>0</v>
      </c>
      <c r="AX249" s="231">
        <v>0</v>
      </c>
      <c r="AY249" s="231">
        <v>0</v>
      </c>
      <c r="AZ249" s="230">
        <v>0</v>
      </c>
      <c r="BA249" s="2" t="s">
        <v>1443</v>
      </c>
    </row>
    <row r="250" spans="1:58" ht="15" customHeight="1" x14ac:dyDescent="0.25">
      <c r="A250" s="241" t="s">
        <v>734</v>
      </c>
      <c r="B250" s="2" t="s">
        <v>22</v>
      </c>
      <c r="D250" s="241" t="s">
        <v>735</v>
      </c>
      <c r="E250" s="241" t="s">
        <v>736</v>
      </c>
      <c r="H250" s="349" t="s">
        <v>1057</v>
      </c>
      <c r="I250" s="367" t="s">
        <v>1048</v>
      </c>
      <c r="J250" s="2">
        <v>514440</v>
      </c>
      <c r="K250" s="2">
        <v>171238</v>
      </c>
      <c r="L250" s="293"/>
      <c r="M250" s="364">
        <v>1</v>
      </c>
      <c r="N250" s="364">
        <v>2</v>
      </c>
      <c r="O250" s="364">
        <v>0</v>
      </c>
      <c r="P250" s="364">
        <v>0</v>
      </c>
      <c r="Q250" s="364"/>
      <c r="R250" s="364"/>
      <c r="S250" s="364"/>
      <c r="T250" s="365">
        <v>3</v>
      </c>
      <c r="U250" s="364"/>
      <c r="V250" s="364">
        <v>5</v>
      </c>
      <c r="W250" s="364">
        <v>5</v>
      </c>
      <c r="X250" s="364">
        <v>0</v>
      </c>
      <c r="Y250" s="364">
        <v>0</v>
      </c>
      <c r="Z250" s="364"/>
      <c r="AA250" s="364"/>
      <c r="AB250" s="364"/>
      <c r="AC250" s="365">
        <v>10</v>
      </c>
      <c r="AD250" s="364"/>
      <c r="AE250" s="364">
        <f t="shared" si="57"/>
        <v>4</v>
      </c>
      <c r="AF250" s="364">
        <f t="shared" si="58"/>
        <v>3</v>
      </c>
      <c r="AG250" s="364">
        <f t="shared" si="59"/>
        <v>0</v>
      </c>
      <c r="AH250" s="364">
        <f t="shared" si="60"/>
        <v>0</v>
      </c>
      <c r="AI250" s="364">
        <f t="shared" si="61"/>
        <v>0</v>
      </c>
      <c r="AJ250" s="364">
        <f t="shared" si="62"/>
        <v>0</v>
      </c>
      <c r="AK250" s="364">
        <f t="shared" si="63"/>
        <v>0</v>
      </c>
      <c r="AL250" s="348">
        <f t="shared" si="64"/>
        <v>7</v>
      </c>
      <c r="AM250" s="232"/>
      <c r="AN250" s="322">
        <v>0</v>
      </c>
      <c r="AO250" s="231">
        <v>1.75</v>
      </c>
      <c r="AP250" s="228">
        <v>1.75</v>
      </c>
      <c r="AQ250" s="231">
        <v>1.75</v>
      </c>
      <c r="AR250" s="231">
        <v>1.75</v>
      </c>
      <c r="AS250" s="231">
        <v>0</v>
      </c>
      <c r="AT250" s="231">
        <v>0</v>
      </c>
      <c r="AU250" s="323" t="s">
        <v>39</v>
      </c>
      <c r="AV250" s="231">
        <v>0</v>
      </c>
      <c r="AW250" s="231">
        <v>0</v>
      </c>
      <c r="AX250" s="231">
        <v>0</v>
      </c>
      <c r="AY250" s="231">
        <v>0</v>
      </c>
      <c r="AZ250" s="230">
        <v>0</v>
      </c>
      <c r="BA250" s="2" t="s">
        <v>1265</v>
      </c>
      <c r="BC250" s="2" t="s">
        <v>1432</v>
      </c>
    </row>
    <row r="251" spans="1:58" ht="15" customHeight="1" x14ac:dyDescent="0.25">
      <c r="A251" s="241" t="s">
        <v>645</v>
      </c>
      <c r="B251" s="2" t="s">
        <v>9</v>
      </c>
      <c r="D251" s="241" t="s">
        <v>646</v>
      </c>
      <c r="E251" s="241" t="s">
        <v>647</v>
      </c>
      <c r="H251" s="349" t="s">
        <v>1057</v>
      </c>
      <c r="I251" s="319" t="s">
        <v>1049</v>
      </c>
      <c r="J251" s="2">
        <v>515918</v>
      </c>
      <c r="K251" s="2">
        <v>171031</v>
      </c>
      <c r="L251" s="293"/>
      <c r="M251" s="364">
        <v>0</v>
      </c>
      <c r="N251" s="364">
        <v>0</v>
      </c>
      <c r="O251" s="364">
        <v>0</v>
      </c>
      <c r="P251" s="364">
        <v>0</v>
      </c>
      <c r="Q251" s="364"/>
      <c r="R251" s="364"/>
      <c r="S251" s="364"/>
      <c r="T251" s="365">
        <v>0</v>
      </c>
      <c r="U251" s="364"/>
      <c r="V251" s="364">
        <v>11</v>
      </c>
      <c r="W251" s="364">
        <v>11</v>
      </c>
      <c r="X251" s="364">
        <v>0</v>
      </c>
      <c r="Y251" s="364">
        <v>0</v>
      </c>
      <c r="Z251" s="364"/>
      <c r="AA251" s="364"/>
      <c r="AB251" s="364"/>
      <c r="AC251" s="365">
        <v>22</v>
      </c>
      <c r="AD251" s="364"/>
      <c r="AE251" s="364">
        <f t="shared" si="57"/>
        <v>11</v>
      </c>
      <c r="AF251" s="364">
        <f t="shared" si="58"/>
        <v>11</v>
      </c>
      <c r="AG251" s="364">
        <f t="shared" si="59"/>
        <v>0</v>
      </c>
      <c r="AH251" s="364">
        <f t="shared" si="60"/>
        <v>0</v>
      </c>
      <c r="AI251" s="364">
        <f t="shared" si="61"/>
        <v>0</v>
      </c>
      <c r="AJ251" s="364">
        <f t="shared" si="62"/>
        <v>0</v>
      </c>
      <c r="AK251" s="364">
        <f t="shared" si="63"/>
        <v>0</v>
      </c>
      <c r="AL251" s="348">
        <f t="shared" si="64"/>
        <v>22</v>
      </c>
      <c r="AM251" s="232"/>
      <c r="AN251" s="322">
        <v>0</v>
      </c>
      <c r="AO251" s="231">
        <v>0</v>
      </c>
      <c r="AP251" s="228">
        <v>22</v>
      </c>
      <c r="AQ251" s="231">
        <v>0</v>
      </c>
      <c r="AR251" s="231">
        <v>0</v>
      </c>
      <c r="AS251" s="231">
        <v>0</v>
      </c>
      <c r="AT251" s="231">
        <v>0</v>
      </c>
      <c r="AU251" s="323" t="s">
        <v>39</v>
      </c>
      <c r="AV251" s="231">
        <v>0</v>
      </c>
      <c r="AW251" s="231">
        <v>0</v>
      </c>
      <c r="AX251" s="231">
        <v>0</v>
      </c>
      <c r="AY251" s="231">
        <v>0</v>
      </c>
      <c r="AZ251" s="230">
        <v>0</v>
      </c>
      <c r="BA251" s="2" t="s">
        <v>1215</v>
      </c>
      <c r="BD251" s="2" t="s">
        <v>1215</v>
      </c>
    </row>
    <row r="252" spans="1:58" ht="15" customHeight="1" x14ac:dyDescent="0.25">
      <c r="A252" s="241" t="s">
        <v>428</v>
      </c>
      <c r="B252" s="2" t="s">
        <v>9</v>
      </c>
      <c r="D252" s="241" t="s">
        <v>429</v>
      </c>
      <c r="E252" s="241" t="s">
        <v>430</v>
      </c>
      <c r="H252" s="349" t="s">
        <v>1057</v>
      </c>
      <c r="I252" s="367" t="s">
        <v>1048</v>
      </c>
      <c r="J252" s="2">
        <v>519633</v>
      </c>
      <c r="K252" s="2">
        <v>174966</v>
      </c>
      <c r="L252" s="293"/>
      <c r="M252" s="364">
        <v>0</v>
      </c>
      <c r="N252" s="364">
        <v>0</v>
      </c>
      <c r="O252" s="364">
        <v>0</v>
      </c>
      <c r="P252" s="364">
        <v>1</v>
      </c>
      <c r="Q252" s="364"/>
      <c r="R252" s="364"/>
      <c r="S252" s="364"/>
      <c r="T252" s="365">
        <v>1</v>
      </c>
      <c r="U252" s="364"/>
      <c r="V252" s="364">
        <v>0</v>
      </c>
      <c r="W252" s="364">
        <v>0</v>
      </c>
      <c r="X252" s="364">
        <v>0</v>
      </c>
      <c r="Y252" s="364">
        <v>0</v>
      </c>
      <c r="Z252" s="372">
        <v>1</v>
      </c>
      <c r="AA252" s="364"/>
      <c r="AB252" s="364"/>
      <c r="AC252" s="365">
        <v>1</v>
      </c>
      <c r="AD252" s="364"/>
      <c r="AE252" s="364">
        <f t="shared" ref="AE252:AE283" si="65">V252-M252</f>
        <v>0</v>
      </c>
      <c r="AF252" s="364">
        <f t="shared" ref="AF252:AF283" si="66">W252-N252</f>
        <v>0</v>
      </c>
      <c r="AG252" s="364">
        <f t="shared" ref="AG252:AG283" si="67">X252-O252</f>
        <v>0</v>
      </c>
      <c r="AH252" s="364">
        <f t="shared" ref="AH252:AH283" si="68">Y252-P252</f>
        <v>-1</v>
      </c>
      <c r="AI252" s="364">
        <f t="shared" ref="AI252:AI283" si="69">Z252-Q252</f>
        <v>1</v>
      </c>
      <c r="AJ252" s="364">
        <f t="shared" ref="AJ252:AJ283" si="70">AA252-R252</f>
        <v>0</v>
      </c>
      <c r="AK252" s="364">
        <f t="shared" ref="AK252:AK283" si="71">AB252-S252</f>
        <v>0</v>
      </c>
      <c r="AL252" s="348">
        <f t="shared" si="64"/>
        <v>0</v>
      </c>
      <c r="AM252" s="232"/>
      <c r="AN252" s="322">
        <v>0</v>
      </c>
      <c r="AO252" s="231">
        <v>0</v>
      </c>
      <c r="AP252" s="228">
        <v>0</v>
      </c>
      <c r="AQ252" s="231">
        <v>0</v>
      </c>
      <c r="AR252" s="231">
        <v>0</v>
      </c>
      <c r="AS252" s="231">
        <v>0</v>
      </c>
      <c r="AT252" s="231">
        <v>0</v>
      </c>
      <c r="AU252" s="323">
        <v>0</v>
      </c>
      <c r="AV252" s="231">
        <v>0</v>
      </c>
      <c r="AW252" s="231">
        <v>0</v>
      </c>
      <c r="AX252" s="231">
        <v>0</v>
      </c>
      <c r="AY252" s="231">
        <v>0</v>
      </c>
      <c r="AZ252" s="230">
        <v>0</v>
      </c>
      <c r="BA252" s="2" t="s">
        <v>1235</v>
      </c>
    </row>
    <row r="253" spans="1:58" ht="15" customHeight="1" x14ac:dyDescent="0.25">
      <c r="A253" s="241" t="s">
        <v>272</v>
      </c>
      <c r="B253" s="2" t="s">
        <v>9</v>
      </c>
      <c r="D253" s="241" t="s">
        <v>273</v>
      </c>
      <c r="E253" s="241" t="s">
        <v>274</v>
      </c>
      <c r="H253" s="349" t="s">
        <v>1057</v>
      </c>
      <c r="I253" s="367" t="s">
        <v>1048</v>
      </c>
      <c r="J253" s="2">
        <v>522192</v>
      </c>
      <c r="K253" s="2">
        <v>177628</v>
      </c>
      <c r="L253" s="293"/>
      <c r="M253" s="364">
        <v>2</v>
      </c>
      <c r="N253" s="364">
        <v>0</v>
      </c>
      <c r="O253" s="364">
        <v>0</v>
      </c>
      <c r="P253" s="364">
        <v>0</v>
      </c>
      <c r="Q253" s="364"/>
      <c r="R253" s="364"/>
      <c r="S253" s="364"/>
      <c r="T253" s="365">
        <v>2</v>
      </c>
      <c r="U253" s="364"/>
      <c r="V253" s="364">
        <v>0</v>
      </c>
      <c r="W253" s="364">
        <v>2</v>
      </c>
      <c r="X253" s="364">
        <v>0</v>
      </c>
      <c r="Y253" s="364">
        <v>0</v>
      </c>
      <c r="Z253" s="364"/>
      <c r="AA253" s="364"/>
      <c r="AB253" s="364"/>
      <c r="AC253" s="365">
        <v>2</v>
      </c>
      <c r="AD253" s="364"/>
      <c r="AE253" s="364">
        <f t="shared" si="65"/>
        <v>-2</v>
      </c>
      <c r="AF253" s="364">
        <f t="shared" si="66"/>
        <v>2</v>
      </c>
      <c r="AG253" s="364">
        <f t="shared" si="67"/>
        <v>0</v>
      </c>
      <c r="AH253" s="364">
        <f t="shared" si="68"/>
        <v>0</v>
      </c>
      <c r="AI253" s="364">
        <f t="shared" si="69"/>
        <v>0</v>
      </c>
      <c r="AJ253" s="364">
        <f t="shared" si="70"/>
        <v>0</v>
      </c>
      <c r="AK253" s="364">
        <f t="shared" si="71"/>
        <v>0</v>
      </c>
      <c r="AL253" s="348">
        <f t="shared" ref="AL253:AL276" si="72">AC253-T253</f>
        <v>0</v>
      </c>
      <c r="AM253" s="232"/>
      <c r="AN253" s="322">
        <v>0</v>
      </c>
      <c r="AO253" s="231">
        <v>0</v>
      </c>
      <c r="AP253" s="228">
        <v>0</v>
      </c>
      <c r="AQ253" s="231">
        <v>0</v>
      </c>
      <c r="AR253" s="231">
        <v>0</v>
      </c>
      <c r="AS253" s="231">
        <v>0</v>
      </c>
      <c r="AT253" s="231">
        <v>0</v>
      </c>
      <c r="AU253" s="323">
        <v>0</v>
      </c>
      <c r="AV253" s="231">
        <v>0</v>
      </c>
      <c r="AW253" s="231">
        <v>0</v>
      </c>
      <c r="AX253" s="231">
        <v>0</v>
      </c>
      <c r="AY253" s="231">
        <v>0</v>
      </c>
      <c r="AZ253" s="230">
        <v>0</v>
      </c>
      <c r="BA253" s="2" t="s">
        <v>1225</v>
      </c>
      <c r="BF253" s="232" t="s">
        <v>39</v>
      </c>
    </row>
    <row r="254" spans="1:58" ht="15" customHeight="1" x14ac:dyDescent="0.25">
      <c r="A254" s="241" t="s">
        <v>492</v>
      </c>
      <c r="B254" s="2" t="s">
        <v>5</v>
      </c>
      <c r="D254" s="241" t="s">
        <v>493</v>
      </c>
      <c r="E254" s="241" t="s">
        <v>494</v>
      </c>
      <c r="H254" s="349" t="s">
        <v>1057</v>
      </c>
      <c r="I254" s="367" t="s">
        <v>1048</v>
      </c>
      <c r="J254" s="2">
        <v>518642</v>
      </c>
      <c r="K254" s="2">
        <v>174770</v>
      </c>
      <c r="L254" s="293"/>
      <c r="M254" s="364">
        <v>1</v>
      </c>
      <c r="N254" s="364">
        <v>0</v>
      </c>
      <c r="O254" s="364">
        <v>0</v>
      </c>
      <c r="P254" s="364">
        <v>1</v>
      </c>
      <c r="Q254" s="364"/>
      <c r="R254" s="364"/>
      <c r="S254" s="364"/>
      <c r="T254" s="365">
        <v>2</v>
      </c>
      <c r="U254" s="364"/>
      <c r="V254" s="364">
        <v>0</v>
      </c>
      <c r="W254" s="364">
        <v>0</v>
      </c>
      <c r="X254" s="364">
        <v>0</v>
      </c>
      <c r="Y254" s="364">
        <v>1</v>
      </c>
      <c r="Z254" s="364"/>
      <c r="AA254" s="364"/>
      <c r="AB254" s="364"/>
      <c r="AC254" s="365">
        <v>1</v>
      </c>
      <c r="AD254" s="364"/>
      <c r="AE254" s="364">
        <f t="shared" si="65"/>
        <v>-1</v>
      </c>
      <c r="AF254" s="364">
        <f t="shared" si="66"/>
        <v>0</v>
      </c>
      <c r="AG254" s="364">
        <f t="shared" si="67"/>
        <v>0</v>
      </c>
      <c r="AH254" s="364">
        <f t="shared" si="68"/>
        <v>0</v>
      </c>
      <c r="AI254" s="364">
        <f t="shared" si="69"/>
        <v>0</v>
      </c>
      <c r="AJ254" s="364">
        <f t="shared" si="70"/>
        <v>0</v>
      </c>
      <c r="AK254" s="364">
        <f t="shared" si="71"/>
        <v>0</v>
      </c>
      <c r="AL254" s="348">
        <f t="shared" si="72"/>
        <v>-1</v>
      </c>
      <c r="AM254" s="232"/>
      <c r="AN254" s="322">
        <v>0</v>
      </c>
      <c r="AO254" s="231">
        <v>-0.25</v>
      </c>
      <c r="AP254" s="228">
        <v>-0.25</v>
      </c>
      <c r="AQ254" s="231">
        <v>-0.25</v>
      </c>
      <c r="AR254" s="231">
        <v>-0.25</v>
      </c>
      <c r="AS254" s="231">
        <v>0</v>
      </c>
      <c r="AT254" s="231">
        <v>0</v>
      </c>
      <c r="AU254" s="323" t="s">
        <v>39</v>
      </c>
      <c r="AV254" s="231">
        <v>0</v>
      </c>
      <c r="AW254" s="231">
        <v>0</v>
      </c>
      <c r="AX254" s="231">
        <v>0</v>
      </c>
      <c r="AY254" s="231">
        <v>0</v>
      </c>
      <c r="AZ254" s="230">
        <v>0</v>
      </c>
      <c r="BA254" s="2" t="s">
        <v>1235</v>
      </c>
    </row>
    <row r="255" spans="1:58" ht="15" customHeight="1" x14ac:dyDescent="0.25">
      <c r="A255" s="241" t="s">
        <v>471</v>
      </c>
      <c r="B255" s="2" t="s">
        <v>9</v>
      </c>
      <c r="D255" s="241" t="s">
        <v>472</v>
      </c>
      <c r="E255" s="241" t="s">
        <v>473</v>
      </c>
      <c r="F255" s="371"/>
      <c r="H255" s="349" t="s">
        <v>1057</v>
      </c>
      <c r="I255" s="367" t="s">
        <v>1048</v>
      </c>
      <c r="J255" s="2">
        <v>517972</v>
      </c>
      <c r="K255" s="2">
        <v>172874</v>
      </c>
      <c r="L255" s="293"/>
      <c r="M255" s="364">
        <v>0</v>
      </c>
      <c r="N255" s="364">
        <v>0</v>
      </c>
      <c r="O255" s="364">
        <v>0</v>
      </c>
      <c r="P255" s="364">
        <v>1</v>
      </c>
      <c r="Q255" s="364"/>
      <c r="R255" s="364"/>
      <c r="S255" s="364"/>
      <c r="T255" s="365">
        <v>1</v>
      </c>
      <c r="U255" s="364"/>
      <c r="V255" s="364">
        <v>0</v>
      </c>
      <c r="W255" s="364">
        <v>0</v>
      </c>
      <c r="X255" s="364">
        <v>0</v>
      </c>
      <c r="Y255" s="364">
        <v>0</v>
      </c>
      <c r="Z255" s="372">
        <v>1</v>
      </c>
      <c r="AA255" s="364"/>
      <c r="AB255" s="364"/>
      <c r="AC255" s="365">
        <v>1</v>
      </c>
      <c r="AD255" s="364"/>
      <c r="AE255" s="364">
        <f t="shared" si="65"/>
        <v>0</v>
      </c>
      <c r="AF255" s="364">
        <f t="shared" si="66"/>
        <v>0</v>
      </c>
      <c r="AG255" s="364">
        <f t="shared" si="67"/>
        <v>0</v>
      </c>
      <c r="AH255" s="364">
        <f t="shared" si="68"/>
        <v>-1</v>
      </c>
      <c r="AI255" s="364">
        <f t="shared" si="69"/>
        <v>1</v>
      </c>
      <c r="AJ255" s="364">
        <f t="shared" si="70"/>
        <v>0</v>
      </c>
      <c r="AK255" s="364">
        <f t="shared" si="71"/>
        <v>0</v>
      </c>
      <c r="AL255" s="348">
        <f t="shared" si="72"/>
        <v>0</v>
      </c>
      <c r="AM255" s="232"/>
      <c r="AN255" s="322">
        <v>0</v>
      </c>
      <c r="AO255" s="231">
        <v>0</v>
      </c>
      <c r="AP255" s="228">
        <v>0</v>
      </c>
      <c r="AQ255" s="231">
        <v>0</v>
      </c>
      <c r="AR255" s="231">
        <v>0</v>
      </c>
      <c r="AS255" s="231">
        <v>0</v>
      </c>
      <c r="AT255" s="231">
        <v>0</v>
      </c>
      <c r="AU255" s="323">
        <v>0</v>
      </c>
      <c r="AV255" s="231">
        <v>0</v>
      </c>
      <c r="AW255" s="231">
        <v>0</v>
      </c>
      <c r="AX255" s="231">
        <v>0</v>
      </c>
      <c r="AY255" s="231">
        <v>0</v>
      </c>
      <c r="AZ255" s="230">
        <v>0</v>
      </c>
      <c r="BA255" s="2" t="s">
        <v>1443</v>
      </c>
    </row>
    <row r="256" spans="1:58" ht="15" customHeight="1" x14ac:dyDescent="0.25">
      <c r="A256" s="241" t="s">
        <v>1064</v>
      </c>
      <c r="B256" s="2" t="s">
        <v>22</v>
      </c>
      <c r="D256" s="241" t="s">
        <v>1073</v>
      </c>
      <c r="E256" s="241" t="s">
        <v>1082</v>
      </c>
      <c r="H256" s="349" t="s">
        <v>1057</v>
      </c>
      <c r="I256" s="367" t="s">
        <v>1048</v>
      </c>
      <c r="J256" s="2">
        <v>514331</v>
      </c>
      <c r="K256" s="2">
        <v>172184</v>
      </c>
      <c r="L256" s="293"/>
      <c r="M256" s="364">
        <v>0</v>
      </c>
      <c r="N256" s="364">
        <v>0</v>
      </c>
      <c r="O256" s="364">
        <v>0</v>
      </c>
      <c r="P256" s="364">
        <v>0</v>
      </c>
      <c r="Q256" s="364">
        <v>0</v>
      </c>
      <c r="R256" s="364">
        <v>0</v>
      </c>
      <c r="S256" s="364">
        <v>1</v>
      </c>
      <c r="T256" s="365">
        <v>1</v>
      </c>
      <c r="U256" s="364"/>
      <c r="V256" s="364">
        <v>1</v>
      </c>
      <c r="W256" s="364">
        <v>1</v>
      </c>
      <c r="X256" s="364">
        <v>1</v>
      </c>
      <c r="Y256" s="364">
        <v>0</v>
      </c>
      <c r="Z256" s="364"/>
      <c r="AA256" s="364"/>
      <c r="AB256" s="364"/>
      <c r="AC256" s="365">
        <v>3</v>
      </c>
      <c r="AD256" s="364"/>
      <c r="AE256" s="364">
        <f t="shared" si="65"/>
        <v>1</v>
      </c>
      <c r="AF256" s="364">
        <f t="shared" si="66"/>
        <v>1</v>
      </c>
      <c r="AG256" s="364">
        <f t="shared" si="67"/>
        <v>1</v>
      </c>
      <c r="AH256" s="364">
        <f t="shared" si="68"/>
        <v>0</v>
      </c>
      <c r="AI256" s="364">
        <f t="shared" si="69"/>
        <v>0</v>
      </c>
      <c r="AJ256" s="364">
        <f t="shared" si="70"/>
        <v>0</v>
      </c>
      <c r="AK256" s="364">
        <f t="shared" si="71"/>
        <v>-1</v>
      </c>
      <c r="AL256" s="348">
        <f t="shared" si="72"/>
        <v>2</v>
      </c>
      <c r="AN256" s="322">
        <v>0</v>
      </c>
      <c r="AO256" s="231">
        <v>0.5</v>
      </c>
      <c r="AP256" s="228">
        <v>0.5</v>
      </c>
      <c r="AQ256" s="231">
        <v>0.5</v>
      </c>
      <c r="AR256" s="231">
        <v>0.5</v>
      </c>
      <c r="AS256" s="231">
        <v>0</v>
      </c>
      <c r="AT256" s="231">
        <v>0</v>
      </c>
      <c r="AU256" s="323" t="s">
        <v>39</v>
      </c>
      <c r="AV256" s="231">
        <v>0</v>
      </c>
      <c r="AW256" s="231">
        <v>0</v>
      </c>
      <c r="AX256" s="231">
        <v>0</v>
      </c>
      <c r="AY256" s="231">
        <v>0</v>
      </c>
      <c r="AZ256" s="230">
        <v>0</v>
      </c>
      <c r="BA256" s="2" t="s">
        <v>1239</v>
      </c>
    </row>
    <row r="257" spans="1:58" ht="15" customHeight="1" x14ac:dyDescent="0.25">
      <c r="A257" s="241" t="s">
        <v>1066</v>
      </c>
      <c r="B257" s="2" t="s">
        <v>26</v>
      </c>
      <c r="D257" s="241" t="s">
        <v>1075</v>
      </c>
      <c r="E257" s="241" t="s">
        <v>1084</v>
      </c>
      <c r="H257" s="349" t="s">
        <v>1057</v>
      </c>
      <c r="I257" s="367" t="s">
        <v>1048</v>
      </c>
      <c r="J257" s="2">
        <v>517430</v>
      </c>
      <c r="K257" s="2">
        <v>169806</v>
      </c>
      <c r="L257" s="293"/>
      <c r="M257" s="364">
        <v>0</v>
      </c>
      <c r="N257" s="364">
        <v>0</v>
      </c>
      <c r="O257" s="364">
        <v>0</v>
      </c>
      <c r="P257" s="364">
        <v>0</v>
      </c>
      <c r="Q257" s="364"/>
      <c r="R257" s="364"/>
      <c r="S257" s="364"/>
      <c r="T257" s="365">
        <v>0</v>
      </c>
      <c r="U257" s="364"/>
      <c r="V257" s="364">
        <v>2</v>
      </c>
      <c r="W257" s="364">
        <v>2</v>
      </c>
      <c r="X257" s="364">
        <v>0</v>
      </c>
      <c r="Y257" s="364">
        <v>0</v>
      </c>
      <c r="Z257" s="364"/>
      <c r="AA257" s="364"/>
      <c r="AB257" s="364"/>
      <c r="AC257" s="365">
        <v>4</v>
      </c>
      <c r="AD257" s="364"/>
      <c r="AE257" s="364">
        <f t="shared" si="65"/>
        <v>2</v>
      </c>
      <c r="AF257" s="364">
        <f t="shared" si="66"/>
        <v>2</v>
      </c>
      <c r="AG257" s="364">
        <f t="shared" si="67"/>
        <v>0</v>
      </c>
      <c r="AH257" s="364">
        <f t="shared" si="68"/>
        <v>0</v>
      </c>
      <c r="AI257" s="364">
        <f t="shared" si="69"/>
        <v>0</v>
      </c>
      <c r="AJ257" s="364">
        <f t="shared" si="70"/>
        <v>0</v>
      </c>
      <c r="AK257" s="364">
        <f t="shared" si="71"/>
        <v>0</v>
      </c>
      <c r="AL257" s="348">
        <f t="shared" si="72"/>
        <v>4</v>
      </c>
      <c r="AN257" s="322">
        <v>0</v>
      </c>
      <c r="AO257" s="231">
        <v>1</v>
      </c>
      <c r="AP257" s="228">
        <v>1</v>
      </c>
      <c r="AQ257" s="231">
        <v>1</v>
      </c>
      <c r="AR257" s="231">
        <v>1</v>
      </c>
      <c r="AS257" s="231">
        <v>0</v>
      </c>
      <c r="AT257" s="231">
        <v>0</v>
      </c>
      <c r="AU257" s="323" t="s">
        <v>39</v>
      </c>
      <c r="AV257" s="231">
        <v>0</v>
      </c>
      <c r="AW257" s="231">
        <v>0</v>
      </c>
      <c r="AX257" s="231">
        <v>0</v>
      </c>
      <c r="AY257" s="231">
        <v>0</v>
      </c>
      <c r="AZ257" s="230">
        <v>0</v>
      </c>
      <c r="BA257" s="2" t="s">
        <v>1230</v>
      </c>
      <c r="BC257" s="2" t="s">
        <v>1230</v>
      </c>
    </row>
    <row r="258" spans="1:58" ht="15" customHeight="1" x14ac:dyDescent="0.25">
      <c r="A258" s="241" t="s">
        <v>944</v>
      </c>
      <c r="B258" s="2" t="s">
        <v>26</v>
      </c>
      <c r="D258" s="241" t="s">
        <v>945</v>
      </c>
      <c r="E258" s="241" t="s">
        <v>946</v>
      </c>
      <c r="H258" s="349" t="s">
        <v>1057</v>
      </c>
      <c r="I258" s="367" t="s">
        <v>1048</v>
      </c>
      <c r="J258" s="2">
        <v>514223</v>
      </c>
      <c r="K258" s="2">
        <v>173584</v>
      </c>
      <c r="L258" s="293"/>
      <c r="M258" s="364">
        <v>0</v>
      </c>
      <c r="N258" s="364">
        <v>0</v>
      </c>
      <c r="O258" s="364">
        <v>0</v>
      </c>
      <c r="P258" s="364">
        <v>0</v>
      </c>
      <c r="Q258" s="364"/>
      <c r="R258" s="364"/>
      <c r="S258" s="364"/>
      <c r="T258" s="365">
        <v>0</v>
      </c>
      <c r="U258" s="364"/>
      <c r="V258" s="364">
        <v>0</v>
      </c>
      <c r="W258" s="364">
        <v>1</v>
      </c>
      <c r="X258" s="364">
        <v>0</v>
      </c>
      <c r="Y258" s="364">
        <v>0</v>
      </c>
      <c r="Z258" s="364"/>
      <c r="AA258" s="364"/>
      <c r="AB258" s="364"/>
      <c r="AC258" s="365">
        <v>1</v>
      </c>
      <c r="AD258" s="364"/>
      <c r="AE258" s="364">
        <f t="shared" si="65"/>
        <v>0</v>
      </c>
      <c r="AF258" s="364">
        <f t="shared" si="66"/>
        <v>1</v>
      </c>
      <c r="AG258" s="364">
        <f t="shared" si="67"/>
        <v>0</v>
      </c>
      <c r="AH258" s="364">
        <f t="shared" si="68"/>
        <v>0</v>
      </c>
      <c r="AI258" s="364">
        <f t="shared" si="69"/>
        <v>0</v>
      </c>
      <c r="AJ258" s="364">
        <f t="shared" si="70"/>
        <v>0</v>
      </c>
      <c r="AK258" s="364">
        <f t="shared" si="71"/>
        <v>0</v>
      </c>
      <c r="AL258" s="348">
        <f t="shared" si="72"/>
        <v>1</v>
      </c>
      <c r="AN258" s="322">
        <v>0</v>
      </c>
      <c r="AO258" s="231">
        <v>0.25</v>
      </c>
      <c r="AP258" s="228">
        <v>0.25</v>
      </c>
      <c r="AQ258" s="231">
        <v>0.25</v>
      </c>
      <c r="AR258" s="231">
        <v>0.25</v>
      </c>
      <c r="AS258" s="231">
        <v>0</v>
      </c>
      <c r="AT258" s="231">
        <v>0</v>
      </c>
      <c r="AU258" s="323" t="s">
        <v>39</v>
      </c>
      <c r="AV258" s="231">
        <v>0</v>
      </c>
      <c r="AW258" s="231">
        <v>0</v>
      </c>
      <c r="AX258" s="231">
        <v>0</v>
      </c>
      <c r="AY258" s="231">
        <v>0</v>
      </c>
      <c r="AZ258" s="230">
        <v>0</v>
      </c>
      <c r="BA258" s="2" t="s">
        <v>1219</v>
      </c>
      <c r="BD258" s="2" t="s">
        <v>1219</v>
      </c>
    </row>
    <row r="259" spans="1:58" ht="15" customHeight="1" x14ac:dyDescent="0.25">
      <c r="A259" s="241" t="s">
        <v>522</v>
      </c>
      <c r="B259" s="2" t="s">
        <v>9</v>
      </c>
      <c r="D259" s="241" t="s">
        <v>523</v>
      </c>
      <c r="E259" s="241" t="s">
        <v>524</v>
      </c>
      <c r="H259" s="358" t="s">
        <v>1057</v>
      </c>
      <c r="I259" s="367" t="s">
        <v>1048</v>
      </c>
      <c r="J259" s="2">
        <v>518209</v>
      </c>
      <c r="K259" s="2">
        <v>174625</v>
      </c>
      <c r="L259" s="293"/>
      <c r="M259" s="364">
        <v>0</v>
      </c>
      <c r="N259" s="364">
        <v>2</v>
      </c>
      <c r="O259" s="364">
        <v>1</v>
      </c>
      <c r="P259" s="364">
        <v>0</v>
      </c>
      <c r="Q259" s="364"/>
      <c r="R259" s="364"/>
      <c r="S259" s="364"/>
      <c r="T259" s="366">
        <v>3</v>
      </c>
      <c r="U259" s="364"/>
      <c r="V259" s="364">
        <v>0</v>
      </c>
      <c r="W259" s="364">
        <v>0</v>
      </c>
      <c r="X259" s="364">
        <v>1</v>
      </c>
      <c r="Y259" s="364">
        <v>2</v>
      </c>
      <c r="Z259" s="364"/>
      <c r="AC259" s="366">
        <v>3</v>
      </c>
      <c r="AD259" s="293"/>
      <c r="AE259" s="293">
        <f t="shared" si="65"/>
        <v>0</v>
      </c>
      <c r="AF259" s="293">
        <f t="shared" si="66"/>
        <v>-2</v>
      </c>
      <c r="AG259" s="293">
        <f t="shared" si="67"/>
        <v>0</v>
      </c>
      <c r="AH259" s="293">
        <f t="shared" si="68"/>
        <v>2</v>
      </c>
      <c r="AI259" s="293">
        <f t="shared" si="69"/>
        <v>0</v>
      </c>
      <c r="AJ259" s="293">
        <f t="shared" si="70"/>
        <v>0</v>
      </c>
      <c r="AK259" s="293">
        <f t="shared" si="71"/>
        <v>0</v>
      </c>
      <c r="AL259" s="348">
        <f t="shared" si="72"/>
        <v>0</v>
      </c>
      <c r="AM259" s="369"/>
      <c r="AN259" s="322">
        <v>0</v>
      </c>
      <c r="AO259" s="231">
        <v>0</v>
      </c>
      <c r="AP259" s="228">
        <v>0</v>
      </c>
      <c r="AQ259" s="231">
        <v>0</v>
      </c>
      <c r="AR259" s="231">
        <v>0</v>
      </c>
      <c r="AS259" s="231">
        <v>0</v>
      </c>
      <c r="AT259" s="231">
        <v>0</v>
      </c>
      <c r="AU259" s="323">
        <v>0</v>
      </c>
      <c r="AV259" s="231">
        <v>0</v>
      </c>
      <c r="AW259" s="231">
        <v>0</v>
      </c>
      <c r="AX259" s="231">
        <v>0</v>
      </c>
      <c r="AY259" s="231">
        <v>0</v>
      </c>
      <c r="AZ259" s="230">
        <v>0</v>
      </c>
      <c r="BA259" s="2" t="s">
        <v>1235</v>
      </c>
    </row>
    <row r="260" spans="1:58" ht="15" customHeight="1" x14ac:dyDescent="0.25">
      <c r="A260" s="241" t="s">
        <v>926</v>
      </c>
      <c r="B260" s="2" t="s">
        <v>9</v>
      </c>
      <c r="D260" s="241" t="s">
        <v>927</v>
      </c>
      <c r="E260" s="241" t="s">
        <v>928</v>
      </c>
      <c r="H260" s="349" t="s">
        <v>1057</v>
      </c>
      <c r="I260" s="350" t="s">
        <v>1090</v>
      </c>
      <c r="J260" s="2">
        <v>513257</v>
      </c>
      <c r="K260" s="2">
        <v>174057</v>
      </c>
      <c r="L260" s="293"/>
      <c r="M260" s="364">
        <v>29</v>
      </c>
      <c r="N260" s="364">
        <v>1</v>
      </c>
      <c r="O260" s="364">
        <v>0</v>
      </c>
      <c r="P260" s="364">
        <v>0</v>
      </c>
      <c r="Q260" s="364"/>
      <c r="R260" s="364"/>
      <c r="S260" s="364"/>
      <c r="T260" s="365">
        <v>30</v>
      </c>
      <c r="U260" s="364"/>
      <c r="V260" s="364">
        <v>0</v>
      </c>
      <c r="W260" s="364">
        <v>0</v>
      </c>
      <c r="X260" s="364">
        <v>0</v>
      </c>
      <c r="Y260" s="364">
        <v>0</v>
      </c>
      <c r="Z260" s="364"/>
      <c r="AA260" s="364"/>
      <c r="AB260" s="364"/>
      <c r="AC260" s="365">
        <v>0</v>
      </c>
      <c r="AD260" s="364"/>
      <c r="AE260" s="364">
        <f t="shared" si="65"/>
        <v>-29</v>
      </c>
      <c r="AF260" s="364">
        <f t="shared" si="66"/>
        <v>-1</v>
      </c>
      <c r="AG260" s="364">
        <f t="shared" si="67"/>
        <v>0</v>
      </c>
      <c r="AH260" s="364">
        <f t="shared" si="68"/>
        <v>0</v>
      </c>
      <c r="AI260" s="364">
        <f t="shared" si="69"/>
        <v>0</v>
      </c>
      <c r="AJ260" s="364">
        <f t="shared" si="70"/>
        <v>0</v>
      </c>
      <c r="AK260" s="364">
        <f t="shared" si="71"/>
        <v>0</v>
      </c>
      <c r="AL260" s="348">
        <f t="shared" si="72"/>
        <v>-30</v>
      </c>
      <c r="AN260" s="322">
        <v>0</v>
      </c>
      <c r="AO260" s="231">
        <v>0</v>
      </c>
      <c r="AP260" s="228">
        <v>0</v>
      </c>
      <c r="AQ260" s="231">
        <v>0</v>
      </c>
      <c r="AR260" s="231">
        <v>-15</v>
      </c>
      <c r="AS260" s="231">
        <v>-15</v>
      </c>
      <c r="AT260" s="231">
        <v>0</v>
      </c>
      <c r="AU260" s="323" t="s">
        <v>39</v>
      </c>
      <c r="AV260" s="231">
        <v>0</v>
      </c>
      <c r="AW260" s="231">
        <v>0</v>
      </c>
      <c r="AX260" s="231">
        <v>0</v>
      </c>
      <c r="AY260" s="231">
        <v>0</v>
      </c>
      <c r="AZ260" s="230">
        <v>0</v>
      </c>
      <c r="BA260" s="2" t="s">
        <v>1219</v>
      </c>
    </row>
    <row r="261" spans="1:58" ht="15" customHeight="1" x14ac:dyDescent="0.25">
      <c r="A261" s="241" t="s">
        <v>926</v>
      </c>
      <c r="B261" s="2" t="s">
        <v>9</v>
      </c>
      <c r="D261" s="241" t="s">
        <v>927</v>
      </c>
      <c r="E261" s="241" t="s">
        <v>928</v>
      </c>
      <c r="H261" s="349" t="s">
        <v>1057</v>
      </c>
      <c r="I261" s="319" t="s">
        <v>1049</v>
      </c>
      <c r="J261" s="2">
        <v>513257</v>
      </c>
      <c r="K261" s="2">
        <v>174057</v>
      </c>
      <c r="L261" s="293"/>
      <c r="M261" s="364">
        <v>0</v>
      </c>
      <c r="N261" s="364">
        <v>0</v>
      </c>
      <c r="O261" s="364">
        <v>0</v>
      </c>
      <c r="P261" s="364">
        <v>0</v>
      </c>
      <c r="Q261" s="364"/>
      <c r="R261" s="364"/>
      <c r="S261" s="364"/>
      <c r="T261" s="365">
        <v>0</v>
      </c>
      <c r="U261" s="364"/>
      <c r="V261" s="364">
        <v>5</v>
      </c>
      <c r="W261" s="364">
        <v>0</v>
      </c>
      <c r="X261" s="364">
        <v>0</v>
      </c>
      <c r="Y261" s="364">
        <v>0</v>
      </c>
      <c r="Z261" s="364"/>
      <c r="AA261" s="364"/>
      <c r="AB261" s="364"/>
      <c r="AC261" s="365">
        <v>5</v>
      </c>
      <c r="AD261" s="364"/>
      <c r="AE261" s="364">
        <f t="shared" si="65"/>
        <v>5</v>
      </c>
      <c r="AF261" s="364">
        <f t="shared" si="66"/>
        <v>0</v>
      </c>
      <c r="AG261" s="364">
        <f t="shared" si="67"/>
        <v>0</v>
      </c>
      <c r="AH261" s="364">
        <f t="shared" si="68"/>
        <v>0</v>
      </c>
      <c r="AI261" s="364">
        <f t="shared" si="69"/>
        <v>0</v>
      </c>
      <c r="AJ261" s="364">
        <f t="shared" si="70"/>
        <v>0</v>
      </c>
      <c r="AK261" s="364">
        <f t="shared" si="71"/>
        <v>0</v>
      </c>
      <c r="AL261" s="348">
        <f t="shared" si="72"/>
        <v>5</v>
      </c>
      <c r="AN261" s="322">
        <v>0</v>
      </c>
      <c r="AO261" s="231">
        <v>0</v>
      </c>
      <c r="AP261" s="228">
        <v>0</v>
      </c>
      <c r="AQ261" s="231">
        <v>0</v>
      </c>
      <c r="AR261" s="231">
        <v>2.5</v>
      </c>
      <c r="AS261" s="231">
        <v>2.5</v>
      </c>
      <c r="AT261" s="231">
        <v>0</v>
      </c>
      <c r="AU261" s="323" t="s">
        <v>39</v>
      </c>
      <c r="AV261" s="231">
        <v>0</v>
      </c>
      <c r="AW261" s="231">
        <v>0</v>
      </c>
      <c r="AX261" s="231">
        <v>0</v>
      </c>
      <c r="AY261" s="231">
        <v>0</v>
      </c>
      <c r="AZ261" s="230">
        <v>0</v>
      </c>
      <c r="BA261" s="2" t="s">
        <v>1219</v>
      </c>
    </row>
    <row r="262" spans="1:58" ht="15" customHeight="1" x14ac:dyDescent="0.25">
      <c r="A262" s="241" t="s">
        <v>926</v>
      </c>
      <c r="B262" s="2" t="s">
        <v>9</v>
      </c>
      <c r="D262" s="241" t="s">
        <v>927</v>
      </c>
      <c r="E262" s="241" t="s">
        <v>928</v>
      </c>
      <c r="H262" s="349" t="s">
        <v>1057</v>
      </c>
      <c r="I262" s="350" t="s">
        <v>1047</v>
      </c>
      <c r="J262" s="2">
        <v>513257</v>
      </c>
      <c r="K262" s="2">
        <v>174057</v>
      </c>
      <c r="L262" s="293"/>
      <c r="M262" s="364">
        <v>0</v>
      </c>
      <c r="N262" s="364">
        <v>0</v>
      </c>
      <c r="O262" s="364">
        <v>0</v>
      </c>
      <c r="P262" s="364">
        <v>0</v>
      </c>
      <c r="Q262" s="364"/>
      <c r="R262" s="364"/>
      <c r="S262" s="364"/>
      <c r="T262" s="365">
        <v>0</v>
      </c>
      <c r="U262" s="364"/>
      <c r="V262" s="364">
        <v>19</v>
      </c>
      <c r="W262" s="364">
        <v>0</v>
      </c>
      <c r="X262" s="364">
        <v>0</v>
      </c>
      <c r="Y262" s="364">
        <v>0</v>
      </c>
      <c r="Z262" s="364"/>
      <c r="AA262" s="364"/>
      <c r="AB262" s="364"/>
      <c r="AC262" s="365">
        <v>19</v>
      </c>
      <c r="AD262" s="364"/>
      <c r="AE262" s="364">
        <f t="shared" si="65"/>
        <v>19</v>
      </c>
      <c r="AF262" s="364">
        <f t="shared" si="66"/>
        <v>0</v>
      </c>
      <c r="AG262" s="364">
        <f t="shared" si="67"/>
        <v>0</v>
      </c>
      <c r="AH262" s="364">
        <f t="shared" si="68"/>
        <v>0</v>
      </c>
      <c r="AI262" s="364">
        <f t="shared" si="69"/>
        <v>0</v>
      </c>
      <c r="AJ262" s="364">
        <f t="shared" si="70"/>
        <v>0</v>
      </c>
      <c r="AK262" s="364">
        <f t="shared" si="71"/>
        <v>0</v>
      </c>
      <c r="AL262" s="348">
        <f t="shared" si="72"/>
        <v>19</v>
      </c>
      <c r="AN262" s="322">
        <v>0</v>
      </c>
      <c r="AO262" s="231">
        <v>0</v>
      </c>
      <c r="AP262" s="228">
        <v>0</v>
      </c>
      <c r="AQ262" s="231">
        <v>0</v>
      </c>
      <c r="AR262" s="231">
        <v>9.5</v>
      </c>
      <c r="AS262" s="231">
        <v>9.5</v>
      </c>
      <c r="AT262" s="231">
        <v>0</v>
      </c>
      <c r="AU262" s="323" t="s">
        <v>39</v>
      </c>
      <c r="AV262" s="231">
        <v>0</v>
      </c>
      <c r="AW262" s="231">
        <v>0</v>
      </c>
      <c r="AX262" s="231">
        <v>0</v>
      </c>
      <c r="AY262" s="231">
        <v>0</v>
      </c>
      <c r="AZ262" s="230">
        <v>0</v>
      </c>
      <c r="BA262" s="2" t="s">
        <v>1219</v>
      </c>
    </row>
    <row r="263" spans="1:58" ht="15" customHeight="1" x14ac:dyDescent="0.25">
      <c r="A263" s="241" t="s">
        <v>534</v>
      </c>
      <c r="B263" s="2" t="s">
        <v>5</v>
      </c>
      <c r="D263" s="241" t="s">
        <v>535</v>
      </c>
      <c r="E263" s="241" t="s">
        <v>536</v>
      </c>
      <c r="H263" s="349" t="s">
        <v>1057</v>
      </c>
      <c r="I263" s="367" t="s">
        <v>1048</v>
      </c>
      <c r="J263" s="2">
        <v>518104</v>
      </c>
      <c r="K263" s="2">
        <v>174404</v>
      </c>
      <c r="L263" s="293"/>
      <c r="M263" s="364">
        <v>6</v>
      </c>
      <c r="N263" s="364">
        <v>0</v>
      </c>
      <c r="O263" s="364">
        <v>0</v>
      </c>
      <c r="P263" s="364">
        <v>0</v>
      </c>
      <c r="Q263" s="364"/>
      <c r="R263" s="364"/>
      <c r="S263" s="364"/>
      <c r="T263" s="365">
        <v>6</v>
      </c>
      <c r="U263" s="364"/>
      <c r="V263" s="364">
        <v>0</v>
      </c>
      <c r="W263" s="364">
        <v>0</v>
      </c>
      <c r="X263" s="364">
        <v>0</v>
      </c>
      <c r="Y263" s="364">
        <v>1</v>
      </c>
      <c r="Z263" s="364"/>
      <c r="AA263" s="364"/>
      <c r="AB263" s="364"/>
      <c r="AC263" s="365">
        <v>1</v>
      </c>
      <c r="AD263" s="364"/>
      <c r="AE263" s="364">
        <f t="shared" si="65"/>
        <v>-6</v>
      </c>
      <c r="AF263" s="364">
        <f t="shared" si="66"/>
        <v>0</v>
      </c>
      <c r="AG263" s="364">
        <f t="shared" si="67"/>
        <v>0</v>
      </c>
      <c r="AH263" s="364">
        <f t="shared" si="68"/>
        <v>1</v>
      </c>
      <c r="AI263" s="364">
        <f t="shared" si="69"/>
        <v>0</v>
      </c>
      <c r="AJ263" s="364">
        <f t="shared" si="70"/>
        <v>0</v>
      </c>
      <c r="AK263" s="364">
        <f t="shared" si="71"/>
        <v>0</v>
      </c>
      <c r="AL263" s="348">
        <f t="shared" si="72"/>
        <v>-5</v>
      </c>
      <c r="AM263" s="232"/>
      <c r="AN263" s="322">
        <v>0</v>
      </c>
      <c r="AO263" s="231">
        <v>-1.25</v>
      </c>
      <c r="AP263" s="228">
        <v>-1.25</v>
      </c>
      <c r="AQ263" s="231">
        <v>-1.25</v>
      </c>
      <c r="AR263" s="231">
        <v>-1.25</v>
      </c>
      <c r="AS263" s="231">
        <v>0</v>
      </c>
      <c r="AT263" s="231">
        <v>0</v>
      </c>
      <c r="AU263" s="323" t="s">
        <v>39</v>
      </c>
      <c r="AV263" s="231">
        <v>0</v>
      </c>
      <c r="AW263" s="231">
        <v>0</v>
      </c>
      <c r="AX263" s="231">
        <v>0</v>
      </c>
      <c r="AY263" s="231">
        <v>0</v>
      </c>
      <c r="AZ263" s="230">
        <v>0</v>
      </c>
      <c r="BA263" s="2" t="s">
        <v>1235</v>
      </c>
    </row>
    <row r="264" spans="1:58" ht="15" customHeight="1" x14ac:dyDescent="0.25">
      <c r="A264" s="241" t="s">
        <v>610</v>
      </c>
      <c r="B264" s="2" t="s">
        <v>5</v>
      </c>
      <c r="D264" s="241" t="s">
        <v>611</v>
      </c>
      <c r="E264" s="241" t="s">
        <v>612</v>
      </c>
      <c r="H264" s="349" t="s">
        <v>1057</v>
      </c>
      <c r="I264" s="367" t="s">
        <v>1048</v>
      </c>
      <c r="J264" s="2">
        <v>516719</v>
      </c>
      <c r="K264" s="2">
        <v>171329</v>
      </c>
      <c r="L264" s="293"/>
      <c r="M264" s="364">
        <v>0</v>
      </c>
      <c r="N264" s="364">
        <v>0</v>
      </c>
      <c r="O264" s="364">
        <v>0</v>
      </c>
      <c r="P264" s="364">
        <v>0</v>
      </c>
      <c r="Q264" s="372">
        <v>1</v>
      </c>
      <c r="R264" s="364"/>
      <c r="S264" s="364"/>
      <c r="T264" s="365">
        <v>1</v>
      </c>
      <c r="U264" s="364"/>
      <c r="V264" s="364">
        <v>0</v>
      </c>
      <c r="W264" s="364">
        <v>1</v>
      </c>
      <c r="X264" s="364">
        <v>1</v>
      </c>
      <c r="Y264" s="364">
        <v>0</v>
      </c>
      <c r="Z264" s="364"/>
      <c r="AA264" s="364"/>
      <c r="AB264" s="364"/>
      <c r="AC264" s="365">
        <v>2</v>
      </c>
      <c r="AD264" s="364"/>
      <c r="AE264" s="364">
        <f t="shared" si="65"/>
        <v>0</v>
      </c>
      <c r="AF264" s="364">
        <f t="shared" si="66"/>
        <v>1</v>
      </c>
      <c r="AG264" s="364">
        <f t="shared" si="67"/>
        <v>1</v>
      </c>
      <c r="AH264" s="364">
        <f t="shared" si="68"/>
        <v>0</v>
      </c>
      <c r="AI264" s="364">
        <f t="shared" si="69"/>
        <v>-1</v>
      </c>
      <c r="AJ264" s="364">
        <f t="shared" si="70"/>
        <v>0</v>
      </c>
      <c r="AK264" s="364">
        <f t="shared" si="71"/>
        <v>0</v>
      </c>
      <c r="AL264" s="348">
        <f t="shared" si="72"/>
        <v>1</v>
      </c>
      <c r="AM264" s="232"/>
      <c r="AN264" s="322">
        <v>0</v>
      </c>
      <c r="AO264" s="231">
        <v>0.25</v>
      </c>
      <c r="AP264" s="228">
        <v>0.25</v>
      </c>
      <c r="AQ264" s="231">
        <v>0.25</v>
      </c>
      <c r="AR264" s="231">
        <v>0.25</v>
      </c>
      <c r="AS264" s="231">
        <v>0</v>
      </c>
      <c r="AT264" s="231">
        <v>0</v>
      </c>
      <c r="AU264" s="323" t="s">
        <v>39</v>
      </c>
      <c r="AV264" s="231">
        <v>0</v>
      </c>
      <c r="AW264" s="231">
        <v>0</v>
      </c>
      <c r="AX264" s="231">
        <v>0</v>
      </c>
      <c r="AY264" s="231">
        <v>0</v>
      </c>
      <c r="AZ264" s="230">
        <v>0</v>
      </c>
      <c r="BA264" s="2" t="s">
        <v>1215</v>
      </c>
      <c r="BE264" s="2" t="s">
        <v>1214</v>
      </c>
    </row>
    <row r="265" spans="1:58" ht="15" customHeight="1" x14ac:dyDescent="0.25">
      <c r="A265" s="241" t="s">
        <v>1068</v>
      </c>
      <c r="B265" s="2" t="s">
        <v>26</v>
      </c>
      <c r="D265" s="241" t="s">
        <v>1077</v>
      </c>
      <c r="E265" s="241" t="s">
        <v>1086</v>
      </c>
      <c r="H265" s="349" t="s">
        <v>1057</v>
      </c>
      <c r="I265" s="367" t="s">
        <v>1048</v>
      </c>
      <c r="J265" s="2">
        <v>514166</v>
      </c>
      <c r="K265" s="2">
        <v>173881</v>
      </c>
      <c r="L265" s="293"/>
      <c r="M265" s="364">
        <v>0</v>
      </c>
      <c r="N265" s="364">
        <v>0</v>
      </c>
      <c r="O265" s="364">
        <v>0</v>
      </c>
      <c r="P265" s="364">
        <v>0</v>
      </c>
      <c r="Q265" s="364"/>
      <c r="R265" s="364"/>
      <c r="S265" s="364"/>
      <c r="T265" s="365">
        <v>0</v>
      </c>
      <c r="U265" s="364"/>
      <c r="V265" s="364">
        <v>1</v>
      </c>
      <c r="W265" s="364">
        <v>0</v>
      </c>
      <c r="X265" s="364">
        <v>0</v>
      </c>
      <c r="Y265" s="364">
        <v>0</v>
      </c>
      <c r="Z265" s="364"/>
      <c r="AA265" s="364"/>
      <c r="AB265" s="364"/>
      <c r="AC265" s="365">
        <v>1</v>
      </c>
      <c r="AD265" s="364"/>
      <c r="AE265" s="364">
        <f t="shared" si="65"/>
        <v>1</v>
      </c>
      <c r="AF265" s="364">
        <f t="shared" si="66"/>
        <v>0</v>
      </c>
      <c r="AG265" s="364">
        <f t="shared" si="67"/>
        <v>0</v>
      </c>
      <c r="AH265" s="364">
        <f t="shared" si="68"/>
        <v>0</v>
      </c>
      <c r="AI265" s="364">
        <f t="shared" si="69"/>
        <v>0</v>
      </c>
      <c r="AJ265" s="364">
        <f t="shared" si="70"/>
        <v>0</v>
      </c>
      <c r="AK265" s="364">
        <f t="shared" si="71"/>
        <v>0</v>
      </c>
      <c r="AL265" s="348">
        <f t="shared" si="72"/>
        <v>1</v>
      </c>
      <c r="AN265" s="322">
        <v>0</v>
      </c>
      <c r="AO265" s="231">
        <v>0.25</v>
      </c>
      <c r="AP265" s="228">
        <v>0.25</v>
      </c>
      <c r="AQ265" s="231">
        <v>0.25</v>
      </c>
      <c r="AR265" s="231">
        <v>0.25</v>
      </c>
      <c r="AS265" s="231">
        <v>0</v>
      </c>
      <c r="AT265" s="231">
        <v>0</v>
      </c>
      <c r="AU265" s="323" t="s">
        <v>39</v>
      </c>
      <c r="AV265" s="231">
        <v>0</v>
      </c>
      <c r="AW265" s="231">
        <v>0</v>
      </c>
      <c r="AX265" s="231">
        <v>0</v>
      </c>
      <c r="AY265" s="231">
        <v>0</v>
      </c>
      <c r="AZ265" s="230">
        <v>0</v>
      </c>
      <c r="BA265" s="2" t="s">
        <v>1219</v>
      </c>
      <c r="BD265" s="2" t="s">
        <v>1219</v>
      </c>
    </row>
    <row r="266" spans="1:58" ht="15" customHeight="1" x14ac:dyDescent="0.25">
      <c r="A266" s="241" t="s">
        <v>334</v>
      </c>
      <c r="B266" s="2" t="s">
        <v>9</v>
      </c>
      <c r="D266" s="241" t="s">
        <v>335</v>
      </c>
      <c r="E266" s="241" t="s">
        <v>336</v>
      </c>
      <c r="H266" s="349" t="s">
        <v>1057</v>
      </c>
      <c r="I266" s="367" t="s">
        <v>1048</v>
      </c>
      <c r="J266" s="2">
        <v>520624</v>
      </c>
      <c r="K266" s="2">
        <v>175780</v>
      </c>
      <c r="L266" s="293"/>
      <c r="M266" s="364">
        <v>0</v>
      </c>
      <c r="N266" s="364">
        <v>0</v>
      </c>
      <c r="O266" s="364">
        <v>0</v>
      </c>
      <c r="P266" s="364">
        <v>0</v>
      </c>
      <c r="Q266" s="364"/>
      <c r="R266" s="364"/>
      <c r="S266" s="364"/>
      <c r="T266" s="365">
        <v>0</v>
      </c>
      <c r="U266" s="364"/>
      <c r="V266" s="364">
        <v>1</v>
      </c>
      <c r="W266" s="364">
        <v>0</v>
      </c>
      <c r="X266" s="364">
        <v>0</v>
      </c>
      <c r="Y266" s="364">
        <v>0</v>
      </c>
      <c r="Z266" s="364"/>
      <c r="AA266" s="364"/>
      <c r="AB266" s="364"/>
      <c r="AC266" s="365">
        <v>1</v>
      </c>
      <c r="AD266" s="364"/>
      <c r="AE266" s="364">
        <f t="shared" si="65"/>
        <v>1</v>
      </c>
      <c r="AF266" s="364">
        <f t="shared" si="66"/>
        <v>0</v>
      </c>
      <c r="AG266" s="364">
        <f t="shared" si="67"/>
        <v>0</v>
      </c>
      <c r="AH266" s="364">
        <f t="shared" si="68"/>
        <v>0</v>
      </c>
      <c r="AI266" s="364">
        <f t="shared" si="69"/>
        <v>0</v>
      </c>
      <c r="AJ266" s="364">
        <f t="shared" si="70"/>
        <v>0</v>
      </c>
      <c r="AK266" s="364">
        <f t="shared" si="71"/>
        <v>0</v>
      </c>
      <c r="AL266" s="348">
        <f t="shared" si="72"/>
        <v>1</v>
      </c>
      <c r="AM266" s="232"/>
      <c r="AN266" s="322">
        <v>0</v>
      </c>
      <c r="AO266" s="231">
        <v>0</v>
      </c>
      <c r="AP266" s="228">
        <v>0.33333333333333331</v>
      </c>
      <c r="AQ266" s="231">
        <v>0.33333333333333331</v>
      </c>
      <c r="AR266" s="231">
        <v>0.33333333333333331</v>
      </c>
      <c r="AS266" s="231">
        <v>0</v>
      </c>
      <c r="AT266" s="231">
        <v>0</v>
      </c>
      <c r="AU266" s="323" t="s">
        <v>39</v>
      </c>
      <c r="AV266" s="231">
        <v>0</v>
      </c>
      <c r="AW266" s="231">
        <v>0</v>
      </c>
      <c r="AX266" s="231">
        <v>0</v>
      </c>
      <c r="AY266" s="231">
        <v>0</v>
      </c>
      <c r="AZ266" s="230">
        <v>0</v>
      </c>
      <c r="BA266" s="2" t="s">
        <v>1267</v>
      </c>
      <c r="BF266" s="232" t="s">
        <v>39</v>
      </c>
    </row>
    <row r="267" spans="1:58" ht="15" customHeight="1" x14ac:dyDescent="0.25">
      <c r="A267" s="241" t="s">
        <v>723</v>
      </c>
      <c r="B267" s="2" t="s">
        <v>9</v>
      </c>
      <c r="D267" s="241" t="s">
        <v>1494</v>
      </c>
      <c r="E267" s="241" t="s">
        <v>724</v>
      </c>
      <c r="H267" s="349" t="s">
        <v>1057</v>
      </c>
      <c r="I267" s="367" t="s">
        <v>1048</v>
      </c>
      <c r="J267" s="2">
        <v>514240</v>
      </c>
      <c r="K267" s="2">
        <v>170830</v>
      </c>
      <c r="L267" s="293"/>
      <c r="M267" s="364">
        <v>2</v>
      </c>
      <c r="N267" s="364">
        <v>1</v>
      </c>
      <c r="O267" s="364">
        <v>0</v>
      </c>
      <c r="P267" s="364">
        <v>0</v>
      </c>
      <c r="Q267" s="364"/>
      <c r="R267" s="364"/>
      <c r="S267" s="364"/>
      <c r="T267" s="365">
        <v>3</v>
      </c>
      <c r="U267" s="364">
        <v>1</v>
      </c>
      <c r="V267" s="364">
        <v>17</v>
      </c>
      <c r="W267" s="364">
        <v>17</v>
      </c>
      <c r="X267" s="364">
        <v>5</v>
      </c>
      <c r="Y267" s="364">
        <v>0</v>
      </c>
      <c r="Z267" s="364"/>
      <c r="AA267" s="364"/>
      <c r="AB267" s="364"/>
      <c r="AC267" s="365">
        <v>41</v>
      </c>
      <c r="AD267" s="364">
        <f>U267-L267</f>
        <v>1</v>
      </c>
      <c r="AE267" s="364">
        <f t="shared" si="65"/>
        <v>15</v>
      </c>
      <c r="AF267" s="364">
        <f t="shared" si="66"/>
        <v>16</v>
      </c>
      <c r="AG267" s="364">
        <f t="shared" si="67"/>
        <v>5</v>
      </c>
      <c r="AH267" s="364">
        <f t="shared" si="68"/>
        <v>0</v>
      </c>
      <c r="AI267" s="364">
        <f t="shared" si="69"/>
        <v>0</v>
      </c>
      <c r="AJ267" s="364">
        <f t="shared" si="70"/>
        <v>0</v>
      </c>
      <c r="AK267" s="364">
        <f t="shared" si="71"/>
        <v>0</v>
      </c>
      <c r="AL267" s="348">
        <f t="shared" si="72"/>
        <v>38</v>
      </c>
      <c r="AM267" s="232"/>
      <c r="AN267" s="322">
        <v>0</v>
      </c>
      <c r="AO267" s="231">
        <v>0</v>
      </c>
      <c r="AP267" s="228">
        <v>12.666666666666666</v>
      </c>
      <c r="AQ267" s="231">
        <v>12.666666666666666</v>
      </c>
      <c r="AR267" s="231">
        <v>12.666666666666666</v>
      </c>
      <c r="AS267" s="231">
        <v>0</v>
      </c>
      <c r="AT267" s="231">
        <v>0</v>
      </c>
      <c r="AU267" s="323" t="s">
        <v>39</v>
      </c>
      <c r="AV267" s="231">
        <v>0</v>
      </c>
      <c r="AW267" s="231">
        <v>0</v>
      </c>
      <c r="AX267" s="231">
        <v>0</v>
      </c>
      <c r="AY267" s="231">
        <v>0</v>
      </c>
      <c r="AZ267" s="230">
        <v>0</v>
      </c>
      <c r="BA267" s="2" t="s">
        <v>1265</v>
      </c>
      <c r="BC267" s="2" t="s">
        <v>1432</v>
      </c>
    </row>
    <row r="268" spans="1:58" ht="15" customHeight="1" x14ac:dyDescent="0.25">
      <c r="A268" s="241" t="s">
        <v>399</v>
      </c>
      <c r="B268" s="2" t="s">
        <v>26</v>
      </c>
      <c r="D268" s="241" t="s">
        <v>400</v>
      </c>
      <c r="E268" s="241" t="s">
        <v>401</v>
      </c>
      <c r="H268" s="349" t="s">
        <v>1057</v>
      </c>
      <c r="I268" s="367" t="s">
        <v>1048</v>
      </c>
      <c r="J268" s="2">
        <v>520283</v>
      </c>
      <c r="K268" s="2">
        <v>175017</v>
      </c>
      <c r="L268" s="293"/>
      <c r="M268" s="364">
        <v>0</v>
      </c>
      <c r="N268" s="364">
        <v>0</v>
      </c>
      <c r="O268" s="364">
        <v>0</v>
      </c>
      <c r="P268" s="364">
        <v>0</v>
      </c>
      <c r="Q268" s="364"/>
      <c r="R268" s="364"/>
      <c r="S268" s="364"/>
      <c r="T268" s="365">
        <v>0</v>
      </c>
      <c r="U268" s="364">
        <v>1</v>
      </c>
      <c r="V268" s="364">
        <v>0</v>
      </c>
      <c r="W268" s="364">
        <v>0</v>
      </c>
      <c r="X268" s="364">
        <v>0</v>
      </c>
      <c r="Y268" s="364">
        <v>0</v>
      </c>
      <c r="Z268" s="364"/>
      <c r="AA268" s="364"/>
      <c r="AB268" s="364"/>
      <c r="AC268" s="365">
        <v>1</v>
      </c>
      <c r="AD268" s="364">
        <f>U268-L268</f>
        <v>1</v>
      </c>
      <c r="AE268" s="364">
        <f t="shared" si="65"/>
        <v>0</v>
      </c>
      <c r="AF268" s="364">
        <f t="shared" si="66"/>
        <v>0</v>
      </c>
      <c r="AG268" s="364">
        <f t="shared" si="67"/>
        <v>0</v>
      </c>
      <c r="AH268" s="364">
        <f t="shared" si="68"/>
        <v>0</v>
      </c>
      <c r="AI268" s="364">
        <f t="shared" si="69"/>
        <v>0</v>
      </c>
      <c r="AJ268" s="364">
        <f t="shared" si="70"/>
        <v>0</v>
      </c>
      <c r="AK268" s="364">
        <f t="shared" si="71"/>
        <v>0</v>
      </c>
      <c r="AL268" s="348">
        <f t="shared" si="72"/>
        <v>1</v>
      </c>
      <c r="AM268" s="232"/>
      <c r="AN268" s="322">
        <v>0</v>
      </c>
      <c r="AO268" s="231">
        <v>0.25</v>
      </c>
      <c r="AP268" s="228">
        <v>0.25</v>
      </c>
      <c r="AQ268" s="231">
        <v>0.25</v>
      </c>
      <c r="AR268" s="231">
        <v>0.25</v>
      </c>
      <c r="AS268" s="231">
        <v>0</v>
      </c>
      <c r="AT268" s="231">
        <v>0</v>
      </c>
      <c r="AU268" s="323" t="s">
        <v>39</v>
      </c>
      <c r="AV268" s="231">
        <v>0</v>
      </c>
      <c r="AW268" s="231">
        <v>0</v>
      </c>
      <c r="AX268" s="231">
        <v>0</v>
      </c>
      <c r="AY268" s="231">
        <v>0</v>
      </c>
      <c r="AZ268" s="230">
        <v>0</v>
      </c>
      <c r="BA268" s="2" t="s">
        <v>1212</v>
      </c>
    </row>
    <row r="269" spans="1:58" ht="15" customHeight="1" x14ac:dyDescent="0.25">
      <c r="A269" s="241" t="s">
        <v>932</v>
      </c>
      <c r="B269" s="2" t="s">
        <v>9</v>
      </c>
      <c r="D269" s="241" t="s">
        <v>933</v>
      </c>
      <c r="E269" s="241" t="s">
        <v>934</v>
      </c>
      <c r="H269" s="349" t="s">
        <v>1057</v>
      </c>
      <c r="I269" s="367" t="s">
        <v>1048</v>
      </c>
      <c r="J269" s="2">
        <v>513432</v>
      </c>
      <c r="K269" s="2">
        <v>173849</v>
      </c>
      <c r="L269" s="293"/>
      <c r="M269" s="364">
        <v>0</v>
      </c>
      <c r="N269" s="364">
        <v>0</v>
      </c>
      <c r="O269" s="364">
        <v>0</v>
      </c>
      <c r="P269" s="364">
        <v>0</v>
      </c>
      <c r="Q269" s="364"/>
      <c r="R269" s="364"/>
      <c r="S269" s="364"/>
      <c r="T269" s="365">
        <v>0</v>
      </c>
      <c r="U269" s="364"/>
      <c r="V269" s="364">
        <v>0</v>
      </c>
      <c r="W269" s="364">
        <v>0</v>
      </c>
      <c r="X269" s="364">
        <v>1</v>
      </c>
      <c r="Y269" s="364">
        <v>0</v>
      </c>
      <c r="Z269" s="364"/>
      <c r="AA269" s="364"/>
      <c r="AB269" s="364"/>
      <c r="AC269" s="365">
        <v>1</v>
      </c>
      <c r="AD269" s="364"/>
      <c r="AE269" s="364">
        <f t="shared" si="65"/>
        <v>0</v>
      </c>
      <c r="AF269" s="364">
        <f t="shared" si="66"/>
        <v>0</v>
      </c>
      <c r="AG269" s="364">
        <f t="shared" si="67"/>
        <v>1</v>
      </c>
      <c r="AH269" s="364">
        <f t="shared" si="68"/>
        <v>0</v>
      </c>
      <c r="AI269" s="364">
        <f t="shared" si="69"/>
        <v>0</v>
      </c>
      <c r="AJ269" s="364">
        <f t="shared" si="70"/>
        <v>0</v>
      </c>
      <c r="AK269" s="364">
        <f t="shared" si="71"/>
        <v>0</v>
      </c>
      <c r="AL269" s="348">
        <f t="shared" si="72"/>
        <v>1</v>
      </c>
      <c r="AN269" s="322">
        <v>0</v>
      </c>
      <c r="AO269" s="231">
        <v>0</v>
      </c>
      <c r="AP269" s="228">
        <v>0.33333333333333331</v>
      </c>
      <c r="AQ269" s="231">
        <v>0.33333333333333331</v>
      </c>
      <c r="AR269" s="231">
        <v>0.33333333333333331</v>
      </c>
      <c r="AS269" s="231">
        <v>0</v>
      </c>
      <c r="AT269" s="231">
        <v>0</v>
      </c>
      <c r="AU269" s="323" t="s">
        <v>39</v>
      </c>
      <c r="AV269" s="231">
        <v>0</v>
      </c>
      <c r="AW269" s="231">
        <v>0</v>
      </c>
      <c r="AX269" s="231">
        <v>0</v>
      </c>
      <c r="AY269" s="231">
        <v>0</v>
      </c>
      <c r="AZ269" s="230">
        <v>0</v>
      </c>
      <c r="BA269" s="2" t="s">
        <v>1219</v>
      </c>
    </row>
    <row r="270" spans="1:58" ht="15" customHeight="1" x14ac:dyDescent="0.25">
      <c r="A270" s="241" t="s">
        <v>960</v>
      </c>
      <c r="B270" s="2" t="s">
        <v>26</v>
      </c>
      <c r="C270" s="2" t="s">
        <v>1037</v>
      </c>
      <c r="D270" s="241" t="s">
        <v>961</v>
      </c>
      <c r="E270" s="241" t="s">
        <v>962</v>
      </c>
      <c r="H270" s="349" t="s">
        <v>1057</v>
      </c>
      <c r="I270" s="367" t="s">
        <v>1048</v>
      </c>
      <c r="J270" s="2">
        <v>515974</v>
      </c>
      <c r="K270" s="2">
        <v>173142</v>
      </c>
      <c r="L270" s="293"/>
      <c r="M270" s="364">
        <v>0</v>
      </c>
      <c r="N270" s="364">
        <v>0</v>
      </c>
      <c r="O270" s="364">
        <v>0</v>
      </c>
      <c r="P270" s="364">
        <v>0</v>
      </c>
      <c r="Q270" s="364"/>
      <c r="R270" s="364"/>
      <c r="S270" s="364"/>
      <c r="T270" s="365">
        <v>0</v>
      </c>
      <c r="U270" s="364"/>
      <c r="V270" s="364">
        <v>8</v>
      </c>
      <c r="W270" s="364">
        <v>1</v>
      </c>
      <c r="X270" s="364">
        <v>0</v>
      </c>
      <c r="Y270" s="364">
        <v>0</v>
      </c>
      <c r="Z270" s="364"/>
      <c r="AA270" s="364"/>
      <c r="AB270" s="364"/>
      <c r="AC270" s="365">
        <v>9</v>
      </c>
      <c r="AD270" s="364"/>
      <c r="AE270" s="364">
        <f t="shared" si="65"/>
        <v>8</v>
      </c>
      <c r="AF270" s="364">
        <f t="shared" si="66"/>
        <v>1</v>
      </c>
      <c r="AG270" s="364">
        <f t="shared" si="67"/>
        <v>0</v>
      </c>
      <c r="AH270" s="364">
        <f t="shared" si="68"/>
        <v>0</v>
      </c>
      <c r="AI270" s="364">
        <f t="shared" si="69"/>
        <v>0</v>
      </c>
      <c r="AJ270" s="364">
        <f t="shared" si="70"/>
        <v>0</v>
      </c>
      <c r="AK270" s="364">
        <f t="shared" si="71"/>
        <v>0</v>
      </c>
      <c r="AL270" s="348">
        <f t="shared" si="72"/>
        <v>9</v>
      </c>
      <c r="AN270" s="322">
        <v>0</v>
      </c>
      <c r="AO270" s="231">
        <v>2.25</v>
      </c>
      <c r="AP270" s="228">
        <v>2.25</v>
      </c>
      <c r="AQ270" s="231">
        <v>2.25</v>
      </c>
      <c r="AR270" s="231">
        <v>2.25</v>
      </c>
      <c r="AS270" s="231">
        <v>0</v>
      </c>
      <c r="AT270" s="231">
        <v>0</v>
      </c>
      <c r="AU270" s="323" t="s">
        <v>39</v>
      </c>
      <c r="AV270" s="231">
        <v>0</v>
      </c>
      <c r="AW270" s="231">
        <v>0</v>
      </c>
      <c r="AX270" s="231">
        <v>0</v>
      </c>
      <c r="AY270" s="231">
        <v>0</v>
      </c>
      <c r="AZ270" s="230">
        <v>0</v>
      </c>
      <c r="BA270" s="2" t="s">
        <v>1238</v>
      </c>
      <c r="BD270" s="2" t="s">
        <v>1217</v>
      </c>
    </row>
    <row r="271" spans="1:58" ht="15" customHeight="1" x14ac:dyDescent="0.25">
      <c r="A271" s="241" t="s">
        <v>513</v>
      </c>
      <c r="B271" s="2" t="s">
        <v>9</v>
      </c>
      <c r="D271" s="241" t="s">
        <v>514</v>
      </c>
      <c r="E271" s="241" t="s">
        <v>515</v>
      </c>
      <c r="H271" s="349" t="s">
        <v>1057</v>
      </c>
      <c r="I271" s="367" t="s">
        <v>1048</v>
      </c>
      <c r="J271" s="2">
        <v>518494</v>
      </c>
      <c r="K271" s="2">
        <v>175035</v>
      </c>
      <c r="L271" s="293"/>
      <c r="M271" s="364">
        <v>0</v>
      </c>
      <c r="N271" s="364">
        <v>0</v>
      </c>
      <c r="O271" s="364">
        <v>0</v>
      </c>
      <c r="P271" s="364">
        <v>0</v>
      </c>
      <c r="Q271" s="364"/>
      <c r="R271" s="364"/>
      <c r="S271" s="364"/>
      <c r="T271" s="365">
        <v>0</v>
      </c>
      <c r="U271" s="364"/>
      <c r="V271" s="364">
        <v>1</v>
      </c>
      <c r="W271" s="364">
        <v>0</v>
      </c>
      <c r="X271" s="364">
        <v>0</v>
      </c>
      <c r="Y271" s="364">
        <v>0</v>
      </c>
      <c r="Z271" s="364"/>
      <c r="AA271" s="364"/>
      <c r="AB271" s="364"/>
      <c r="AC271" s="365">
        <v>1</v>
      </c>
      <c r="AD271" s="364"/>
      <c r="AE271" s="364">
        <f t="shared" si="65"/>
        <v>1</v>
      </c>
      <c r="AF271" s="364">
        <f t="shared" si="66"/>
        <v>0</v>
      </c>
      <c r="AG271" s="364">
        <f t="shared" si="67"/>
        <v>0</v>
      </c>
      <c r="AH271" s="364">
        <f t="shared" si="68"/>
        <v>0</v>
      </c>
      <c r="AI271" s="364">
        <f t="shared" si="69"/>
        <v>0</v>
      </c>
      <c r="AJ271" s="364">
        <f t="shared" si="70"/>
        <v>0</v>
      </c>
      <c r="AK271" s="364">
        <f t="shared" si="71"/>
        <v>0</v>
      </c>
      <c r="AL271" s="348">
        <f t="shared" si="72"/>
        <v>1</v>
      </c>
      <c r="AM271" s="232"/>
      <c r="AN271" s="322">
        <v>0</v>
      </c>
      <c r="AO271" s="231">
        <v>0</v>
      </c>
      <c r="AP271" s="228">
        <v>0.33333333333333331</v>
      </c>
      <c r="AQ271" s="231">
        <v>0.33333333333333331</v>
      </c>
      <c r="AR271" s="231">
        <v>0.33333333333333331</v>
      </c>
      <c r="AS271" s="231">
        <v>0</v>
      </c>
      <c r="AT271" s="231">
        <v>0</v>
      </c>
      <c r="AU271" s="323" t="s">
        <v>39</v>
      </c>
      <c r="AV271" s="231">
        <v>0</v>
      </c>
      <c r="AW271" s="231">
        <v>0</v>
      </c>
      <c r="AX271" s="231">
        <v>0</v>
      </c>
      <c r="AY271" s="231">
        <v>0</v>
      </c>
      <c r="AZ271" s="230">
        <v>0</v>
      </c>
      <c r="BA271" s="2" t="s">
        <v>1235</v>
      </c>
    </row>
    <row r="272" spans="1:58" ht="15" customHeight="1" x14ac:dyDescent="0.25">
      <c r="A272" s="241" t="s">
        <v>778</v>
      </c>
      <c r="B272" s="2" t="s">
        <v>26</v>
      </c>
      <c r="C272" s="2" t="s">
        <v>1037</v>
      </c>
      <c r="D272" s="241" t="s">
        <v>779</v>
      </c>
      <c r="E272" s="241" t="s">
        <v>780</v>
      </c>
      <c r="H272" s="349" t="s">
        <v>1057</v>
      </c>
      <c r="I272" s="367" t="s">
        <v>1048</v>
      </c>
      <c r="J272" s="2">
        <v>513973</v>
      </c>
      <c r="K272" s="2">
        <v>169575</v>
      </c>
      <c r="L272" s="293"/>
      <c r="M272" s="364">
        <v>0</v>
      </c>
      <c r="N272" s="364">
        <v>0</v>
      </c>
      <c r="O272" s="364">
        <v>0</v>
      </c>
      <c r="P272" s="364">
        <v>0</v>
      </c>
      <c r="Q272" s="364"/>
      <c r="R272" s="364"/>
      <c r="S272" s="364"/>
      <c r="T272" s="365">
        <v>0</v>
      </c>
      <c r="U272" s="364"/>
      <c r="V272" s="364">
        <v>0</v>
      </c>
      <c r="W272" s="364">
        <v>2</v>
      </c>
      <c r="X272" s="364">
        <v>0</v>
      </c>
      <c r="Y272" s="364">
        <v>0</v>
      </c>
      <c r="Z272" s="364"/>
      <c r="AA272" s="364"/>
      <c r="AB272" s="364"/>
      <c r="AC272" s="365">
        <v>2</v>
      </c>
      <c r="AD272" s="364"/>
      <c r="AE272" s="364">
        <f t="shared" si="65"/>
        <v>0</v>
      </c>
      <c r="AF272" s="364">
        <f t="shared" si="66"/>
        <v>2</v>
      </c>
      <c r="AG272" s="364">
        <f t="shared" si="67"/>
        <v>0</v>
      </c>
      <c r="AH272" s="364">
        <f t="shared" si="68"/>
        <v>0</v>
      </c>
      <c r="AI272" s="364">
        <f t="shared" si="69"/>
        <v>0</v>
      </c>
      <c r="AJ272" s="364">
        <f t="shared" si="70"/>
        <v>0</v>
      </c>
      <c r="AK272" s="364">
        <f t="shared" si="71"/>
        <v>0</v>
      </c>
      <c r="AL272" s="348">
        <f t="shared" si="72"/>
        <v>2</v>
      </c>
      <c r="AM272" s="232"/>
      <c r="AN272" s="322">
        <v>0</v>
      </c>
      <c r="AO272" s="231">
        <v>0.5</v>
      </c>
      <c r="AP272" s="228">
        <v>0.5</v>
      </c>
      <c r="AQ272" s="231">
        <v>0.5</v>
      </c>
      <c r="AR272" s="231">
        <v>0.5</v>
      </c>
      <c r="AS272" s="231">
        <v>0</v>
      </c>
      <c r="AT272" s="231">
        <v>0</v>
      </c>
      <c r="AU272" s="323" t="s">
        <v>39</v>
      </c>
      <c r="AV272" s="231">
        <v>0</v>
      </c>
      <c r="AW272" s="231">
        <v>0</v>
      </c>
      <c r="AX272" s="231">
        <v>0</v>
      </c>
      <c r="AY272" s="231">
        <v>0</v>
      </c>
      <c r="AZ272" s="230">
        <v>0</v>
      </c>
      <c r="BA272" s="2" t="s">
        <v>1229</v>
      </c>
      <c r="BC272" s="2" t="s">
        <v>1451</v>
      </c>
    </row>
    <row r="273" spans="1:58" ht="15" customHeight="1" x14ac:dyDescent="0.25">
      <c r="A273" s="241" t="s">
        <v>823</v>
      </c>
      <c r="B273" s="2" t="s">
        <v>60</v>
      </c>
      <c r="D273" s="241" t="s">
        <v>824</v>
      </c>
      <c r="E273" s="241" t="s">
        <v>825</v>
      </c>
      <c r="H273" s="349" t="s">
        <v>1057</v>
      </c>
      <c r="I273" s="367" t="s">
        <v>1048</v>
      </c>
      <c r="J273" s="2">
        <v>517591</v>
      </c>
      <c r="K273" s="2">
        <v>174434</v>
      </c>
      <c r="L273" s="293"/>
      <c r="M273" s="364">
        <v>0</v>
      </c>
      <c r="N273" s="364">
        <v>0</v>
      </c>
      <c r="O273" s="364">
        <v>0</v>
      </c>
      <c r="P273" s="364">
        <v>0</v>
      </c>
      <c r="Q273" s="364"/>
      <c r="R273" s="364"/>
      <c r="S273" s="364"/>
      <c r="T273" s="365">
        <v>0</v>
      </c>
      <c r="U273" s="364"/>
      <c r="V273" s="364">
        <v>3</v>
      </c>
      <c r="W273" s="364">
        <v>1</v>
      </c>
      <c r="X273" s="364">
        <v>0</v>
      </c>
      <c r="Y273" s="364">
        <v>0</v>
      </c>
      <c r="Z273" s="364"/>
      <c r="AA273" s="364"/>
      <c r="AB273" s="364"/>
      <c r="AC273" s="365">
        <v>4</v>
      </c>
      <c r="AD273" s="364"/>
      <c r="AE273" s="364">
        <f t="shared" si="65"/>
        <v>3</v>
      </c>
      <c r="AF273" s="364">
        <f t="shared" si="66"/>
        <v>1</v>
      </c>
      <c r="AG273" s="364">
        <f t="shared" si="67"/>
        <v>0</v>
      </c>
      <c r="AH273" s="364">
        <f t="shared" si="68"/>
        <v>0</v>
      </c>
      <c r="AI273" s="364">
        <f t="shared" si="69"/>
        <v>0</v>
      </c>
      <c r="AJ273" s="364">
        <f t="shared" si="70"/>
        <v>0</v>
      </c>
      <c r="AK273" s="364">
        <f t="shared" si="71"/>
        <v>0</v>
      </c>
      <c r="AL273" s="348">
        <f t="shared" si="72"/>
        <v>4</v>
      </c>
      <c r="AN273" s="322">
        <v>0</v>
      </c>
      <c r="AO273" s="231">
        <v>0</v>
      </c>
      <c r="AP273" s="228">
        <v>1.3333333333333333</v>
      </c>
      <c r="AQ273" s="231">
        <v>1.3333333333333333</v>
      </c>
      <c r="AR273" s="231">
        <v>1.3333333333333333</v>
      </c>
      <c r="AS273" s="231">
        <v>0</v>
      </c>
      <c r="AT273" s="231">
        <v>0</v>
      </c>
      <c r="AU273" s="323" t="s">
        <v>39</v>
      </c>
      <c r="AV273" s="231">
        <v>0</v>
      </c>
      <c r="AW273" s="231">
        <v>0</v>
      </c>
      <c r="AX273" s="231">
        <v>0</v>
      </c>
      <c r="AY273" s="231">
        <v>0</v>
      </c>
      <c r="AZ273" s="230">
        <v>0</v>
      </c>
      <c r="BA273" s="2" t="s">
        <v>1238</v>
      </c>
      <c r="BC273" s="2" t="s">
        <v>1449</v>
      </c>
    </row>
    <row r="274" spans="1:58" ht="15" customHeight="1" x14ac:dyDescent="0.25">
      <c r="A274" s="241" t="s">
        <v>743</v>
      </c>
      <c r="B274" s="2" t="s">
        <v>9</v>
      </c>
      <c r="D274" s="241" t="s">
        <v>744</v>
      </c>
      <c r="E274" s="241" t="s">
        <v>745</v>
      </c>
      <c r="H274" s="349" t="s">
        <v>1057</v>
      </c>
      <c r="I274" s="367" t="s">
        <v>1048</v>
      </c>
      <c r="J274" s="2">
        <v>514687</v>
      </c>
      <c r="K274" s="2">
        <v>171290</v>
      </c>
      <c r="L274" s="293"/>
      <c r="M274" s="364">
        <v>0</v>
      </c>
      <c r="N274" s="364">
        <v>0</v>
      </c>
      <c r="O274" s="364">
        <v>0</v>
      </c>
      <c r="P274" s="364">
        <v>0</v>
      </c>
      <c r="Q274" s="364"/>
      <c r="R274" s="364"/>
      <c r="S274" s="364"/>
      <c r="T274" s="365">
        <v>0</v>
      </c>
      <c r="U274" s="364"/>
      <c r="V274" s="364">
        <v>0</v>
      </c>
      <c r="W274" s="364">
        <v>4</v>
      </c>
      <c r="X274" s="364">
        <v>0</v>
      </c>
      <c r="Y274" s="364">
        <v>0</v>
      </c>
      <c r="Z274" s="364"/>
      <c r="AA274" s="364"/>
      <c r="AB274" s="364"/>
      <c r="AC274" s="365">
        <v>4</v>
      </c>
      <c r="AD274" s="364"/>
      <c r="AE274" s="364">
        <f t="shared" si="65"/>
        <v>0</v>
      </c>
      <c r="AF274" s="364">
        <f t="shared" si="66"/>
        <v>4</v>
      </c>
      <c r="AG274" s="364">
        <f t="shared" si="67"/>
        <v>0</v>
      </c>
      <c r="AH274" s="364">
        <f t="shared" si="68"/>
        <v>0</v>
      </c>
      <c r="AI274" s="364">
        <f t="shared" si="69"/>
        <v>0</v>
      </c>
      <c r="AJ274" s="364">
        <f t="shared" si="70"/>
        <v>0</v>
      </c>
      <c r="AK274" s="364">
        <f t="shared" si="71"/>
        <v>0</v>
      </c>
      <c r="AL274" s="348">
        <f t="shared" si="72"/>
        <v>4</v>
      </c>
      <c r="AM274" s="232"/>
      <c r="AN274" s="322">
        <v>0</v>
      </c>
      <c r="AO274" s="231">
        <v>0</v>
      </c>
      <c r="AP274" s="228">
        <v>1.3333333333333333</v>
      </c>
      <c r="AQ274" s="231">
        <v>1.3333333333333333</v>
      </c>
      <c r="AR274" s="231">
        <v>1.3333333333333333</v>
      </c>
      <c r="AS274" s="231">
        <v>0</v>
      </c>
      <c r="AT274" s="231">
        <v>0</v>
      </c>
      <c r="AU274" s="323" t="s">
        <v>39</v>
      </c>
      <c r="AV274" s="231">
        <v>0</v>
      </c>
      <c r="AW274" s="231">
        <v>0</v>
      </c>
      <c r="AX274" s="231">
        <v>0</v>
      </c>
      <c r="AY274" s="231">
        <v>0</v>
      </c>
      <c r="AZ274" s="230">
        <v>0</v>
      </c>
      <c r="BA274" s="2" t="s">
        <v>1265</v>
      </c>
    </row>
    <row r="275" spans="1:58" ht="15" customHeight="1" x14ac:dyDescent="0.25">
      <c r="A275" s="241" t="s">
        <v>601</v>
      </c>
      <c r="B275" s="2" t="s">
        <v>9</v>
      </c>
      <c r="D275" s="241" t="s">
        <v>602</v>
      </c>
      <c r="E275" s="241" t="s">
        <v>603</v>
      </c>
      <c r="H275" s="349" t="s">
        <v>1057</v>
      </c>
      <c r="I275" s="367" t="s">
        <v>1048</v>
      </c>
      <c r="J275" s="2">
        <v>517123</v>
      </c>
      <c r="K275" s="2">
        <v>170663</v>
      </c>
      <c r="L275" s="293"/>
      <c r="M275" s="364">
        <v>0</v>
      </c>
      <c r="N275" s="364">
        <v>0</v>
      </c>
      <c r="O275" s="364">
        <v>0</v>
      </c>
      <c r="P275" s="364">
        <v>1</v>
      </c>
      <c r="Q275" s="364"/>
      <c r="R275" s="364"/>
      <c r="S275" s="364"/>
      <c r="T275" s="365">
        <v>1</v>
      </c>
      <c r="U275" s="364"/>
      <c r="V275" s="364">
        <v>0</v>
      </c>
      <c r="W275" s="364">
        <v>0</v>
      </c>
      <c r="X275" s="364">
        <v>0</v>
      </c>
      <c r="Y275" s="364">
        <v>0</v>
      </c>
      <c r="Z275" s="372">
        <v>1</v>
      </c>
      <c r="AA275" s="372">
        <v>1</v>
      </c>
      <c r="AB275" s="364"/>
      <c r="AC275" s="365">
        <v>2</v>
      </c>
      <c r="AD275" s="364"/>
      <c r="AE275" s="364">
        <f t="shared" si="65"/>
        <v>0</v>
      </c>
      <c r="AF275" s="364">
        <f t="shared" si="66"/>
        <v>0</v>
      </c>
      <c r="AG275" s="364">
        <f t="shared" si="67"/>
        <v>0</v>
      </c>
      <c r="AH275" s="364">
        <f t="shared" si="68"/>
        <v>-1</v>
      </c>
      <c r="AI275" s="364">
        <f t="shared" si="69"/>
        <v>1</v>
      </c>
      <c r="AJ275" s="364">
        <f t="shared" si="70"/>
        <v>1</v>
      </c>
      <c r="AK275" s="364">
        <f t="shared" si="71"/>
        <v>0</v>
      </c>
      <c r="AL275" s="348">
        <f t="shared" si="72"/>
        <v>1</v>
      </c>
      <c r="AM275" s="232"/>
      <c r="AN275" s="322">
        <v>0</v>
      </c>
      <c r="AO275" s="231">
        <v>0</v>
      </c>
      <c r="AP275" s="228">
        <v>0.33333333333333331</v>
      </c>
      <c r="AQ275" s="231">
        <v>0.33333333333333331</v>
      </c>
      <c r="AR275" s="231">
        <v>0.33333333333333331</v>
      </c>
      <c r="AS275" s="231">
        <v>0</v>
      </c>
      <c r="AT275" s="231">
        <v>0</v>
      </c>
      <c r="AU275" s="323" t="s">
        <v>39</v>
      </c>
      <c r="AV275" s="231">
        <v>0</v>
      </c>
      <c r="AW275" s="231">
        <v>0</v>
      </c>
      <c r="AX275" s="231">
        <v>0</v>
      </c>
      <c r="AY275" s="231">
        <v>0</v>
      </c>
      <c r="AZ275" s="230">
        <v>0</v>
      </c>
      <c r="BA275" s="2" t="s">
        <v>1230</v>
      </c>
      <c r="BF275" s="232" t="s">
        <v>39</v>
      </c>
    </row>
    <row r="276" spans="1:58" ht="15" customHeight="1" x14ac:dyDescent="0.25">
      <c r="A276" s="241" t="s">
        <v>648</v>
      </c>
      <c r="B276" s="2" t="s">
        <v>26</v>
      </c>
      <c r="C276" s="2" t="s">
        <v>1037</v>
      </c>
      <c r="D276" s="241" t="s">
        <v>649</v>
      </c>
      <c r="E276" s="241" t="s">
        <v>650</v>
      </c>
      <c r="H276" s="349" t="s">
        <v>1057</v>
      </c>
      <c r="I276" s="367" t="s">
        <v>1048</v>
      </c>
      <c r="J276" s="2">
        <v>516015</v>
      </c>
      <c r="K276" s="2">
        <v>170858</v>
      </c>
      <c r="L276" s="293"/>
      <c r="M276" s="364">
        <v>0</v>
      </c>
      <c r="N276" s="364">
        <v>0</v>
      </c>
      <c r="O276" s="364">
        <v>0</v>
      </c>
      <c r="P276" s="364">
        <v>0</v>
      </c>
      <c r="Q276" s="364"/>
      <c r="R276" s="364"/>
      <c r="S276" s="364"/>
      <c r="T276" s="365">
        <v>0</v>
      </c>
      <c r="U276" s="364"/>
      <c r="V276" s="364">
        <v>0</v>
      </c>
      <c r="W276" s="364">
        <v>0</v>
      </c>
      <c r="X276" s="364">
        <v>1</v>
      </c>
      <c r="Y276" s="364">
        <v>0</v>
      </c>
      <c r="Z276" s="364"/>
      <c r="AA276" s="364"/>
      <c r="AB276" s="364"/>
      <c r="AC276" s="365">
        <v>1</v>
      </c>
      <c r="AD276" s="364"/>
      <c r="AE276" s="364">
        <f t="shared" si="65"/>
        <v>0</v>
      </c>
      <c r="AF276" s="364">
        <f t="shared" si="66"/>
        <v>0</v>
      </c>
      <c r="AG276" s="364">
        <f t="shared" si="67"/>
        <v>1</v>
      </c>
      <c r="AH276" s="364">
        <f t="shared" si="68"/>
        <v>0</v>
      </c>
      <c r="AI276" s="364">
        <f t="shared" si="69"/>
        <v>0</v>
      </c>
      <c r="AJ276" s="364">
        <f t="shared" si="70"/>
        <v>0</v>
      </c>
      <c r="AK276" s="364">
        <f t="shared" si="71"/>
        <v>0</v>
      </c>
      <c r="AL276" s="348">
        <f t="shared" si="72"/>
        <v>1</v>
      </c>
      <c r="AM276" s="232"/>
      <c r="AN276" s="322">
        <v>0</v>
      </c>
      <c r="AO276" s="231">
        <v>0.25</v>
      </c>
      <c r="AP276" s="228">
        <v>0.25</v>
      </c>
      <c r="AQ276" s="231">
        <v>0.25</v>
      </c>
      <c r="AR276" s="231">
        <v>0.25</v>
      </c>
      <c r="AS276" s="231">
        <v>0</v>
      </c>
      <c r="AT276" s="231">
        <v>0</v>
      </c>
      <c r="AU276" s="323" t="s">
        <v>39</v>
      </c>
      <c r="AV276" s="231">
        <v>0</v>
      </c>
      <c r="AW276" s="231">
        <v>0</v>
      </c>
      <c r="AX276" s="231">
        <v>0</v>
      </c>
      <c r="AY276" s="231">
        <v>0</v>
      </c>
      <c r="AZ276" s="230">
        <v>0</v>
      </c>
      <c r="BA276" s="2" t="s">
        <v>1215</v>
      </c>
      <c r="BD276" s="2" t="s">
        <v>1215</v>
      </c>
    </row>
    <row r="277" spans="1:58" ht="15" customHeight="1" x14ac:dyDescent="0.25">
      <c r="A277" s="241" t="s">
        <v>507</v>
      </c>
      <c r="B277" s="374" t="s">
        <v>5</v>
      </c>
      <c r="C277" s="374"/>
      <c r="D277" s="241" t="s">
        <v>508</v>
      </c>
      <c r="E277" s="241" t="s">
        <v>509</v>
      </c>
      <c r="F277" s="371">
        <v>43040</v>
      </c>
      <c r="G277" s="374"/>
      <c r="H277" s="241" t="s">
        <v>1057</v>
      </c>
      <c r="I277" s="367" t="s">
        <v>1048</v>
      </c>
      <c r="J277" s="374">
        <v>519014</v>
      </c>
      <c r="K277" s="374">
        <v>175279</v>
      </c>
      <c r="L277" s="379"/>
      <c r="M277" s="380">
        <v>0</v>
      </c>
      <c r="N277" s="380">
        <v>0</v>
      </c>
      <c r="O277" s="380">
        <v>0</v>
      </c>
      <c r="P277" s="380">
        <v>1</v>
      </c>
      <c r="Q277" s="380"/>
      <c r="R277" s="380"/>
      <c r="S277" s="380"/>
      <c r="T277" s="365">
        <v>1</v>
      </c>
      <c r="U277" s="380"/>
      <c r="V277" s="380">
        <v>0</v>
      </c>
      <c r="W277" s="380">
        <v>2</v>
      </c>
      <c r="X277" s="380">
        <v>0</v>
      </c>
      <c r="Y277" s="380">
        <v>0</v>
      </c>
      <c r="Z277" s="380"/>
      <c r="AA277" s="379"/>
      <c r="AB277" s="379"/>
      <c r="AC277" s="381">
        <v>2</v>
      </c>
      <c r="AD277" s="379"/>
      <c r="AE277" s="293">
        <f t="shared" si="65"/>
        <v>0</v>
      </c>
      <c r="AF277" s="293">
        <f t="shared" si="66"/>
        <v>2</v>
      </c>
      <c r="AG277" s="293">
        <f t="shared" si="67"/>
        <v>0</v>
      </c>
      <c r="AH277" s="293">
        <f t="shared" si="68"/>
        <v>-1</v>
      </c>
      <c r="AI277" s="293">
        <f t="shared" si="69"/>
        <v>0</v>
      </c>
      <c r="AJ277" s="293">
        <f t="shared" si="70"/>
        <v>0</v>
      </c>
      <c r="AK277" s="293">
        <f t="shared" si="71"/>
        <v>0</v>
      </c>
      <c r="AL277" s="348">
        <v>1</v>
      </c>
      <c r="AM277" s="227"/>
      <c r="AN277" s="322">
        <v>0</v>
      </c>
      <c r="AO277" s="231">
        <v>1</v>
      </c>
      <c r="AP277" s="228">
        <v>0</v>
      </c>
      <c r="AQ277" s="231">
        <v>0</v>
      </c>
      <c r="AR277" s="231">
        <v>0</v>
      </c>
      <c r="AS277" s="231">
        <v>0</v>
      </c>
      <c r="AT277" s="231">
        <v>0</v>
      </c>
      <c r="AU277" s="242">
        <v>0</v>
      </c>
      <c r="AV277" s="231">
        <v>0</v>
      </c>
      <c r="AW277" s="229">
        <v>0</v>
      </c>
      <c r="AX277" s="229">
        <v>0</v>
      </c>
      <c r="AY277" s="229">
        <v>0</v>
      </c>
      <c r="AZ277" s="230">
        <v>0</v>
      </c>
      <c r="BA277" s="2" t="s">
        <v>1234</v>
      </c>
      <c r="BF277" s="227"/>
    </row>
    <row r="278" spans="1:58" ht="15" customHeight="1" x14ac:dyDescent="0.25">
      <c r="A278" s="241" t="s">
        <v>248</v>
      </c>
      <c r="B278" s="2" t="s">
        <v>5</v>
      </c>
      <c r="D278" s="241" t="s">
        <v>249</v>
      </c>
      <c r="E278" s="241" t="s">
        <v>250</v>
      </c>
      <c r="H278" s="349" t="s">
        <v>1057</v>
      </c>
      <c r="I278" s="367" t="s">
        <v>1048</v>
      </c>
      <c r="J278" s="2">
        <v>522418</v>
      </c>
      <c r="K278" s="2">
        <v>176934</v>
      </c>
      <c r="L278" s="293"/>
      <c r="M278" s="364">
        <v>3</v>
      </c>
      <c r="N278" s="364">
        <v>0</v>
      </c>
      <c r="O278" s="364">
        <v>0</v>
      </c>
      <c r="P278" s="364">
        <v>0</v>
      </c>
      <c r="Q278" s="372">
        <v>1</v>
      </c>
      <c r="R278" s="364"/>
      <c r="S278" s="364"/>
      <c r="T278" s="365">
        <v>4</v>
      </c>
      <c r="U278" s="364"/>
      <c r="V278" s="364">
        <v>0</v>
      </c>
      <c r="W278" s="364">
        <v>0</v>
      </c>
      <c r="X278" s="364">
        <v>0</v>
      </c>
      <c r="Y278" s="364">
        <v>0</v>
      </c>
      <c r="Z278" s="364"/>
      <c r="AA278" s="364"/>
      <c r="AB278" s="372">
        <v>1</v>
      </c>
      <c r="AC278" s="365">
        <v>1</v>
      </c>
      <c r="AD278" s="364"/>
      <c r="AE278" s="364">
        <f t="shared" si="65"/>
        <v>-3</v>
      </c>
      <c r="AF278" s="364">
        <f t="shared" si="66"/>
        <v>0</v>
      </c>
      <c r="AG278" s="364">
        <f t="shared" si="67"/>
        <v>0</v>
      </c>
      <c r="AH278" s="364">
        <f t="shared" si="68"/>
        <v>0</v>
      </c>
      <c r="AI278" s="364">
        <f t="shared" si="69"/>
        <v>-1</v>
      </c>
      <c r="AJ278" s="364">
        <f t="shared" si="70"/>
        <v>0</v>
      </c>
      <c r="AK278" s="364">
        <f t="shared" si="71"/>
        <v>1</v>
      </c>
      <c r="AL278" s="348">
        <f t="shared" ref="AL278:AL309" si="73">AC278-T278</f>
        <v>-3</v>
      </c>
      <c r="AM278" s="232"/>
      <c r="AN278" s="322">
        <v>0</v>
      </c>
      <c r="AO278" s="231">
        <v>-0.75</v>
      </c>
      <c r="AP278" s="228">
        <v>-0.75</v>
      </c>
      <c r="AQ278" s="231">
        <v>-0.75</v>
      </c>
      <c r="AR278" s="231">
        <v>-0.75</v>
      </c>
      <c r="AS278" s="231">
        <v>0</v>
      </c>
      <c r="AT278" s="231">
        <v>0</v>
      </c>
      <c r="AU278" s="323" t="s">
        <v>39</v>
      </c>
      <c r="AV278" s="231">
        <v>0</v>
      </c>
      <c r="AW278" s="231">
        <v>0</v>
      </c>
      <c r="AX278" s="231">
        <v>0</v>
      </c>
      <c r="AY278" s="231">
        <v>0</v>
      </c>
      <c r="AZ278" s="230">
        <v>0</v>
      </c>
      <c r="BA278" s="2" t="s">
        <v>1225</v>
      </c>
    </row>
    <row r="279" spans="1:58" ht="15" customHeight="1" x14ac:dyDescent="0.25">
      <c r="A279" s="241" t="s">
        <v>966</v>
      </c>
      <c r="B279" s="2" t="s">
        <v>26</v>
      </c>
      <c r="D279" s="241" t="s">
        <v>967</v>
      </c>
      <c r="E279" s="241" t="s">
        <v>968</v>
      </c>
      <c r="H279" s="349" t="s">
        <v>1057</v>
      </c>
      <c r="I279" s="367" t="s">
        <v>1048</v>
      </c>
      <c r="J279" s="2">
        <v>516126</v>
      </c>
      <c r="K279" s="2">
        <v>173185</v>
      </c>
      <c r="L279" s="293"/>
      <c r="M279" s="364">
        <v>0</v>
      </c>
      <c r="N279" s="364">
        <v>0</v>
      </c>
      <c r="O279" s="364">
        <v>0</v>
      </c>
      <c r="P279" s="364">
        <v>0</v>
      </c>
      <c r="Q279" s="364"/>
      <c r="R279" s="364"/>
      <c r="S279" s="364"/>
      <c r="T279" s="365">
        <v>0</v>
      </c>
      <c r="U279" s="364"/>
      <c r="V279" s="364">
        <v>2</v>
      </c>
      <c r="W279" s="364">
        <v>0</v>
      </c>
      <c r="X279" s="364">
        <v>0</v>
      </c>
      <c r="Y279" s="364">
        <v>0</v>
      </c>
      <c r="Z279" s="364"/>
      <c r="AA279" s="364"/>
      <c r="AB279" s="364"/>
      <c r="AC279" s="365">
        <v>2</v>
      </c>
      <c r="AD279" s="364"/>
      <c r="AE279" s="364">
        <f t="shared" si="65"/>
        <v>2</v>
      </c>
      <c r="AF279" s="364">
        <f t="shared" si="66"/>
        <v>0</v>
      </c>
      <c r="AG279" s="364">
        <f t="shared" si="67"/>
        <v>0</v>
      </c>
      <c r="AH279" s="364">
        <f t="shared" si="68"/>
        <v>0</v>
      </c>
      <c r="AI279" s="364">
        <f t="shared" si="69"/>
        <v>0</v>
      </c>
      <c r="AJ279" s="364">
        <f t="shared" si="70"/>
        <v>0</v>
      </c>
      <c r="AK279" s="364">
        <f t="shared" si="71"/>
        <v>0</v>
      </c>
      <c r="AL279" s="348">
        <f t="shared" si="73"/>
        <v>2</v>
      </c>
      <c r="AN279" s="322">
        <v>0</v>
      </c>
      <c r="AO279" s="231">
        <v>0.5</v>
      </c>
      <c r="AP279" s="228">
        <v>0.5</v>
      </c>
      <c r="AQ279" s="231">
        <v>0.5</v>
      </c>
      <c r="AR279" s="231">
        <v>0.5</v>
      </c>
      <c r="AS279" s="231">
        <v>0</v>
      </c>
      <c r="AT279" s="231">
        <v>0</v>
      </c>
      <c r="AU279" s="323" t="s">
        <v>39</v>
      </c>
      <c r="AV279" s="231">
        <v>0</v>
      </c>
      <c r="AW279" s="231">
        <v>0</v>
      </c>
      <c r="AX279" s="231">
        <v>0</v>
      </c>
      <c r="AY279" s="231">
        <v>0</v>
      </c>
      <c r="AZ279" s="230">
        <v>0</v>
      </c>
      <c r="BA279" s="2" t="s">
        <v>1238</v>
      </c>
      <c r="BD279" s="2" t="s">
        <v>1217</v>
      </c>
    </row>
    <row r="280" spans="1:58" ht="15" customHeight="1" x14ac:dyDescent="0.25">
      <c r="A280" s="241" t="s">
        <v>390</v>
      </c>
      <c r="B280" s="2" t="s">
        <v>5</v>
      </c>
      <c r="D280" s="241" t="s">
        <v>391</v>
      </c>
      <c r="E280" s="241" t="s">
        <v>392</v>
      </c>
      <c r="H280" s="349" t="s">
        <v>1057</v>
      </c>
      <c r="I280" s="367" t="s">
        <v>1048</v>
      </c>
      <c r="J280" s="2">
        <v>520325</v>
      </c>
      <c r="K280" s="2">
        <v>175316</v>
      </c>
      <c r="L280" s="293"/>
      <c r="M280" s="364">
        <v>0</v>
      </c>
      <c r="N280" s="364">
        <v>0</v>
      </c>
      <c r="O280" s="364">
        <v>1</v>
      </c>
      <c r="P280" s="364">
        <v>0</v>
      </c>
      <c r="Q280" s="364"/>
      <c r="R280" s="364"/>
      <c r="S280" s="364"/>
      <c r="T280" s="365">
        <v>1</v>
      </c>
      <c r="U280" s="364"/>
      <c r="V280" s="364">
        <v>1</v>
      </c>
      <c r="W280" s="364">
        <v>1</v>
      </c>
      <c r="X280" s="364">
        <v>0</v>
      </c>
      <c r="Y280" s="364">
        <v>0</v>
      </c>
      <c r="Z280" s="364"/>
      <c r="AA280" s="364"/>
      <c r="AB280" s="364"/>
      <c r="AC280" s="365">
        <v>2</v>
      </c>
      <c r="AD280" s="364"/>
      <c r="AE280" s="364">
        <f t="shared" si="65"/>
        <v>1</v>
      </c>
      <c r="AF280" s="364">
        <f t="shared" si="66"/>
        <v>1</v>
      </c>
      <c r="AG280" s="364">
        <f t="shared" si="67"/>
        <v>-1</v>
      </c>
      <c r="AH280" s="364">
        <f t="shared" si="68"/>
        <v>0</v>
      </c>
      <c r="AI280" s="364">
        <f t="shared" si="69"/>
        <v>0</v>
      </c>
      <c r="AJ280" s="364">
        <f t="shared" si="70"/>
        <v>0</v>
      </c>
      <c r="AK280" s="364">
        <f t="shared" si="71"/>
        <v>0</v>
      </c>
      <c r="AL280" s="348">
        <f t="shared" si="73"/>
        <v>1</v>
      </c>
      <c r="AM280" s="232"/>
      <c r="AN280" s="322">
        <v>0</v>
      </c>
      <c r="AO280" s="231">
        <v>0.25</v>
      </c>
      <c r="AP280" s="228">
        <v>0.25</v>
      </c>
      <c r="AQ280" s="231">
        <v>0.25</v>
      </c>
      <c r="AR280" s="231">
        <v>0.25</v>
      </c>
      <c r="AS280" s="231">
        <v>0</v>
      </c>
      <c r="AT280" s="231">
        <v>0</v>
      </c>
      <c r="AU280" s="323" t="s">
        <v>39</v>
      </c>
      <c r="AV280" s="231">
        <v>0</v>
      </c>
      <c r="AW280" s="231">
        <v>0</v>
      </c>
      <c r="AX280" s="231">
        <v>0</v>
      </c>
      <c r="AY280" s="231">
        <v>0</v>
      </c>
      <c r="AZ280" s="230">
        <v>0</v>
      </c>
      <c r="BA280" s="2" t="s">
        <v>1212</v>
      </c>
      <c r="BD280" s="2" t="s">
        <v>1212</v>
      </c>
    </row>
    <row r="281" spans="1:58" ht="15" customHeight="1" x14ac:dyDescent="0.25">
      <c r="A281" s="241" t="s">
        <v>700</v>
      </c>
      <c r="B281" s="2" t="s">
        <v>9</v>
      </c>
      <c r="D281" s="241" t="s">
        <v>701</v>
      </c>
      <c r="E281" s="241" t="s">
        <v>702</v>
      </c>
      <c r="H281" s="349" t="s">
        <v>1057</v>
      </c>
      <c r="I281" s="367" t="s">
        <v>1048</v>
      </c>
      <c r="J281" s="2">
        <v>516399</v>
      </c>
      <c r="K281" s="2">
        <v>171470</v>
      </c>
      <c r="L281" s="293"/>
      <c r="M281" s="364">
        <v>0</v>
      </c>
      <c r="N281" s="364">
        <v>0</v>
      </c>
      <c r="O281" s="364">
        <v>0</v>
      </c>
      <c r="P281" s="364">
        <v>0</v>
      </c>
      <c r="Q281" s="364"/>
      <c r="R281" s="364"/>
      <c r="S281" s="364"/>
      <c r="T281" s="365">
        <v>0</v>
      </c>
      <c r="U281" s="364"/>
      <c r="V281" s="364">
        <v>0</v>
      </c>
      <c r="W281" s="364">
        <v>0</v>
      </c>
      <c r="X281" s="364">
        <v>0</v>
      </c>
      <c r="Y281" s="364">
        <v>1</v>
      </c>
      <c r="Z281" s="364"/>
      <c r="AA281" s="364"/>
      <c r="AB281" s="364"/>
      <c r="AC281" s="365">
        <v>1</v>
      </c>
      <c r="AD281" s="364"/>
      <c r="AE281" s="364">
        <f t="shared" si="65"/>
        <v>0</v>
      </c>
      <c r="AF281" s="364">
        <f t="shared" si="66"/>
        <v>0</v>
      </c>
      <c r="AG281" s="364">
        <f t="shared" si="67"/>
        <v>0</v>
      </c>
      <c r="AH281" s="364">
        <f t="shared" si="68"/>
        <v>1</v>
      </c>
      <c r="AI281" s="364">
        <f t="shared" si="69"/>
        <v>0</v>
      </c>
      <c r="AJ281" s="364">
        <f t="shared" si="70"/>
        <v>0</v>
      </c>
      <c r="AK281" s="364">
        <f t="shared" si="71"/>
        <v>0</v>
      </c>
      <c r="AL281" s="348">
        <f t="shared" si="73"/>
        <v>1</v>
      </c>
      <c r="AM281" s="232"/>
      <c r="AN281" s="322">
        <v>0</v>
      </c>
      <c r="AO281" s="231">
        <v>0</v>
      </c>
      <c r="AP281" s="228">
        <v>0.33333333333333331</v>
      </c>
      <c r="AQ281" s="231">
        <v>0.33333333333333331</v>
      </c>
      <c r="AR281" s="231">
        <v>0.33333333333333331</v>
      </c>
      <c r="AS281" s="231">
        <v>0</v>
      </c>
      <c r="AT281" s="231">
        <v>0</v>
      </c>
      <c r="AU281" s="323" t="s">
        <v>39</v>
      </c>
      <c r="AV281" s="231">
        <v>0</v>
      </c>
      <c r="AW281" s="231">
        <v>0</v>
      </c>
      <c r="AX281" s="231">
        <v>0</v>
      </c>
      <c r="AY281" s="231">
        <v>0</v>
      </c>
      <c r="AZ281" s="230">
        <v>0</v>
      </c>
      <c r="BA281" s="2" t="s">
        <v>1215</v>
      </c>
    </row>
    <row r="282" spans="1:58" ht="15" customHeight="1" x14ac:dyDescent="0.25">
      <c r="A282" s="241" t="s">
        <v>935</v>
      </c>
      <c r="B282" s="2" t="s">
        <v>9</v>
      </c>
      <c r="D282" s="241" t="s">
        <v>936</v>
      </c>
      <c r="E282" s="241" t="s">
        <v>937</v>
      </c>
      <c r="H282" s="349" t="s">
        <v>1057</v>
      </c>
      <c r="I282" s="367" t="s">
        <v>1048</v>
      </c>
      <c r="J282" s="2">
        <v>514058</v>
      </c>
      <c r="K282" s="2">
        <v>174409</v>
      </c>
      <c r="L282" s="293"/>
      <c r="M282" s="364">
        <v>0</v>
      </c>
      <c r="N282" s="364">
        <v>0</v>
      </c>
      <c r="O282" s="364">
        <v>0</v>
      </c>
      <c r="P282" s="364">
        <v>1</v>
      </c>
      <c r="Q282" s="364"/>
      <c r="R282" s="364"/>
      <c r="S282" s="364"/>
      <c r="T282" s="365">
        <v>1</v>
      </c>
      <c r="U282" s="364"/>
      <c r="V282" s="364">
        <v>0</v>
      </c>
      <c r="W282" s="364">
        <v>0</v>
      </c>
      <c r="X282" s="364">
        <v>0</v>
      </c>
      <c r="Y282" s="364">
        <v>2</v>
      </c>
      <c r="Z282" s="364"/>
      <c r="AA282" s="364"/>
      <c r="AB282" s="364"/>
      <c r="AC282" s="365">
        <v>2</v>
      </c>
      <c r="AD282" s="364"/>
      <c r="AE282" s="364">
        <f t="shared" si="65"/>
        <v>0</v>
      </c>
      <c r="AF282" s="364">
        <f t="shared" si="66"/>
        <v>0</v>
      </c>
      <c r="AG282" s="364">
        <f t="shared" si="67"/>
        <v>0</v>
      </c>
      <c r="AH282" s="364">
        <f t="shared" si="68"/>
        <v>1</v>
      </c>
      <c r="AI282" s="364">
        <f t="shared" si="69"/>
        <v>0</v>
      </c>
      <c r="AJ282" s="364">
        <f t="shared" si="70"/>
        <v>0</v>
      </c>
      <c r="AK282" s="364">
        <f t="shared" si="71"/>
        <v>0</v>
      </c>
      <c r="AL282" s="348">
        <f t="shared" si="73"/>
        <v>1</v>
      </c>
      <c r="AN282" s="322">
        <v>0</v>
      </c>
      <c r="AO282" s="231">
        <v>0</v>
      </c>
      <c r="AP282" s="228">
        <v>0.33333333333333331</v>
      </c>
      <c r="AQ282" s="231">
        <v>0.33333333333333331</v>
      </c>
      <c r="AR282" s="231">
        <v>0.33333333333333331</v>
      </c>
      <c r="AS282" s="231">
        <v>0</v>
      </c>
      <c r="AT282" s="231">
        <v>0</v>
      </c>
      <c r="AU282" s="323" t="s">
        <v>39</v>
      </c>
      <c r="AV282" s="231">
        <v>0</v>
      </c>
      <c r="AW282" s="231">
        <v>0</v>
      </c>
      <c r="AX282" s="231">
        <v>0</v>
      </c>
      <c r="AY282" s="231">
        <v>0</v>
      </c>
      <c r="AZ282" s="230">
        <v>0</v>
      </c>
      <c r="BA282" s="2" t="s">
        <v>1219</v>
      </c>
      <c r="BF282" s="232" t="s">
        <v>39</v>
      </c>
    </row>
    <row r="283" spans="1:58" ht="15" customHeight="1" x14ac:dyDescent="0.25">
      <c r="A283" s="241" t="s">
        <v>900</v>
      </c>
      <c r="B283" s="2" t="s">
        <v>9</v>
      </c>
      <c r="D283" s="241" t="s">
        <v>901</v>
      </c>
      <c r="E283" s="241" t="s">
        <v>902</v>
      </c>
      <c r="H283" s="349" t="s">
        <v>1057</v>
      </c>
      <c r="I283" s="367" t="s">
        <v>1048</v>
      </c>
      <c r="J283" s="2">
        <v>515337</v>
      </c>
      <c r="K283" s="2">
        <v>173383</v>
      </c>
      <c r="L283" s="293"/>
      <c r="M283" s="364">
        <v>0</v>
      </c>
      <c r="N283" s="364">
        <v>0</v>
      </c>
      <c r="O283" s="364">
        <v>0</v>
      </c>
      <c r="P283" s="364">
        <v>0</v>
      </c>
      <c r="Q283" s="364"/>
      <c r="R283" s="364"/>
      <c r="S283" s="364"/>
      <c r="T283" s="365">
        <v>0</v>
      </c>
      <c r="U283" s="364"/>
      <c r="V283" s="364">
        <v>0</v>
      </c>
      <c r="W283" s="364">
        <v>0</v>
      </c>
      <c r="X283" s="364">
        <v>0</v>
      </c>
      <c r="Y283" s="364">
        <v>1</v>
      </c>
      <c r="Z283" s="372">
        <v>3</v>
      </c>
      <c r="AA283" s="372">
        <v>5</v>
      </c>
      <c r="AB283" s="364"/>
      <c r="AC283" s="365">
        <v>9</v>
      </c>
      <c r="AD283" s="364"/>
      <c r="AE283" s="364">
        <f t="shared" si="65"/>
        <v>0</v>
      </c>
      <c r="AF283" s="364">
        <f t="shared" si="66"/>
        <v>0</v>
      </c>
      <c r="AG283" s="364">
        <f t="shared" si="67"/>
        <v>0</v>
      </c>
      <c r="AH283" s="364">
        <f t="shared" si="68"/>
        <v>1</v>
      </c>
      <c r="AI283" s="364">
        <f t="shared" si="69"/>
        <v>3</v>
      </c>
      <c r="AJ283" s="364">
        <f t="shared" si="70"/>
        <v>5</v>
      </c>
      <c r="AK283" s="364">
        <f t="shared" si="71"/>
        <v>0</v>
      </c>
      <c r="AL283" s="348">
        <f t="shared" si="73"/>
        <v>9</v>
      </c>
      <c r="AN283" s="322">
        <v>0</v>
      </c>
      <c r="AO283" s="231">
        <v>4.5</v>
      </c>
      <c r="AP283" s="228">
        <v>4.5</v>
      </c>
      <c r="AQ283" s="231">
        <v>0</v>
      </c>
      <c r="AR283" s="231">
        <v>0</v>
      </c>
      <c r="AS283" s="231">
        <v>0</v>
      </c>
      <c r="AT283" s="231">
        <v>0</v>
      </c>
      <c r="AU283" s="323" t="s">
        <v>39</v>
      </c>
      <c r="AV283" s="231">
        <v>0</v>
      </c>
      <c r="AW283" s="231">
        <v>0</v>
      </c>
      <c r="AX283" s="231">
        <v>0</v>
      </c>
      <c r="AY283" s="231">
        <v>0</v>
      </c>
      <c r="AZ283" s="230">
        <v>0</v>
      </c>
      <c r="BA283" s="2" t="s">
        <v>1236</v>
      </c>
    </row>
    <row r="284" spans="1:58" ht="15" customHeight="1" x14ac:dyDescent="0.25">
      <c r="A284" s="241" t="s">
        <v>1070</v>
      </c>
      <c r="B284" s="2" t="s">
        <v>26</v>
      </c>
      <c r="D284" s="241" t="s">
        <v>1079</v>
      </c>
      <c r="E284" s="241" t="s">
        <v>1087</v>
      </c>
      <c r="H284" s="349" t="s">
        <v>1057</v>
      </c>
      <c r="I284" s="367" t="s">
        <v>1048</v>
      </c>
      <c r="J284" s="2">
        <v>516024</v>
      </c>
      <c r="K284" s="2">
        <v>173277</v>
      </c>
      <c r="L284" s="293"/>
      <c r="M284" s="364">
        <v>0</v>
      </c>
      <c r="N284" s="364">
        <v>0</v>
      </c>
      <c r="O284" s="364">
        <v>0</v>
      </c>
      <c r="P284" s="364">
        <v>0</v>
      </c>
      <c r="Q284" s="364"/>
      <c r="R284" s="364"/>
      <c r="S284" s="364"/>
      <c r="T284" s="365">
        <v>0</v>
      </c>
      <c r="U284" s="364"/>
      <c r="V284" s="364">
        <v>0</v>
      </c>
      <c r="W284" s="364">
        <v>0</v>
      </c>
      <c r="X284" s="364">
        <v>0</v>
      </c>
      <c r="Y284" s="364">
        <v>1</v>
      </c>
      <c r="Z284" s="364"/>
      <c r="AA284" s="364"/>
      <c r="AB284" s="364"/>
      <c r="AC284" s="365">
        <v>1</v>
      </c>
      <c r="AD284" s="364"/>
      <c r="AE284" s="364">
        <f t="shared" ref="AE284:AE312" si="74">V284-M284</f>
        <v>0</v>
      </c>
      <c r="AF284" s="364">
        <f t="shared" ref="AF284:AF312" si="75">W284-N284</f>
        <v>0</v>
      </c>
      <c r="AG284" s="364">
        <f t="shared" ref="AG284:AG312" si="76">X284-O284</f>
        <v>0</v>
      </c>
      <c r="AH284" s="364">
        <f t="shared" ref="AH284:AH312" si="77">Y284-P284</f>
        <v>1</v>
      </c>
      <c r="AI284" s="364">
        <f t="shared" ref="AI284:AI312" si="78">Z284-Q284</f>
        <v>0</v>
      </c>
      <c r="AJ284" s="364">
        <f t="shared" ref="AJ284:AJ312" si="79">AA284-R284</f>
        <v>0</v>
      </c>
      <c r="AK284" s="364">
        <f t="shared" ref="AK284:AK312" si="80">AB284-S284</f>
        <v>0</v>
      </c>
      <c r="AL284" s="348">
        <f t="shared" si="73"/>
        <v>1</v>
      </c>
      <c r="AN284" s="322">
        <v>0</v>
      </c>
      <c r="AO284" s="231">
        <v>0.25</v>
      </c>
      <c r="AP284" s="228">
        <v>0.25</v>
      </c>
      <c r="AQ284" s="231">
        <v>0.25</v>
      </c>
      <c r="AR284" s="231">
        <v>0.25</v>
      </c>
      <c r="AS284" s="231">
        <v>0</v>
      </c>
      <c r="AT284" s="231">
        <v>0</v>
      </c>
      <c r="AU284" s="323" t="s">
        <v>39</v>
      </c>
      <c r="AV284" s="231">
        <v>0</v>
      </c>
      <c r="AW284" s="231">
        <v>0</v>
      </c>
      <c r="AX284" s="231">
        <v>0</v>
      </c>
      <c r="AY284" s="231">
        <v>0</v>
      </c>
      <c r="AZ284" s="230">
        <v>0</v>
      </c>
      <c r="BA284" s="2" t="s">
        <v>1238</v>
      </c>
    </row>
    <row r="285" spans="1:58" ht="15" customHeight="1" x14ac:dyDescent="0.25">
      <c r="A285" s="241" t="s">
        <v>559</v>
      </c>
      <c r="B285" s="2" t="s">
        <v>26</v>
      </c>
      <c r="C285" s="2" t="s">
        <v>1037</v>
      </c>
      <c r="D285" s="241" t="s">
        <v>560</v>
      </c>
      <c r="E285" s="241" t="s">
        <v>561</v>
      </c>
      <c r="H285" s="349" t="s">
        <v>1057</v>
      </c>
      <c r="I285" s="367" t="s">
        <v>1048</v>
      </c>
      <c r="J285" s="2">
        <v>519061</v>
      </c>
      <c r="K285" s="2">
        <v>176662</v>
      </c>
      <c r="L285" s="293"/>
      <c r="M285" s="364">
        <v>0</v>
      </c>
      <c r="N285" s="364">
        <v>0</v>
      </c>
      <c r="O285" s="364">
        <v>0</v>
      </c>
      <c r="P285" s="364">
        <v>0</v>
      </c>
      <c r="Q285" s="364"/>
      <c r="R285" s="364"/>
      <c r="S285" s="364"/>
      <c r="T285" s="365">
        <v>0</v>
      </c>
      <c r="U285" s="364"/>
      <c r="V285" s="364">
        <v>0</v>
      </c>
      <c r="W285" s="364">
        <v>2</v>
      </c>
      <c r="X285" s="364">
        <v>0</v>
      </c>
      <c r="Y285" s="364">
        <v>0</v>
      </c>
      <c r="Z285" s="364"/>
      <c r="AA285" s="364"/>
      <c r="AB285" s="364"/>
      <c r="AC285" s="365">
        <v>2</v>
      </c>
      <c r="AD285" s="364"/>
      <c r="AE285" s="364">
        <f t="shared" si="74"/>
        <v>0</v>
      </c>
      <c r="AF285" s="364">
        <f t="shared" si="75"/>
        <v>2</v>
      </c>
      <c r="AG285" s="364">
        <f t="shared" si="76"/>
        <v>0</v>
      </c>
      <c r="AH285" s="364">
        <f t="shared" si="77"/>
        <v>0</v>
      </c>
      <c r="AI285" s="364">
        <f t="shared" si="78"/>
        <v>0</v>
      </c>
      <c r="AJ285" s="364">
        <f t="shared" si="79"/>
        <v>0</v>
      </c>
      <c r="AK285" s="364">
        <f t="shared" si="80"/>
        <v>0</v>
      </c>
      <c r="AL285" s="348">
        <f t="shared" si="73"/>
        <v>2</v>
      </c>
      <c r="AM285" s="232"/>
      <c r="AN285" s="322">
        <v>0</v>
      </c>
      <c r="AO285" s="231">
        <v>0.5</v>
      </c>
      <c r="AP285" s="228">
        <v>0.5</v>
      </c>
      <c r="AQ285" s="231">
        <v>0.5</v>
      </c>
      <c r="AR285" s="231">
        <v>0.5</v>
      </c>
      <c r="AS285" s="231">
        <v>0</v>
      </c>
      <c r="AT285" s="231">
        <v>0</v>
      </c>
      <c r="AU285" s="323" t="s">
        <v>39</v>
      </c>
      <c r="AV285" s="231">
        <v>0</v>
      </c>
      <c r="AW285" s="231">
        <v>0</v>
      </c>
      <c r="AX285" s="231">
        <v>0</v>
      </c>
      <c r="AY285" s="231">
        <v>0</v>
      </c>
      <c r="AZ285" s="230">
        <v>0</v>
      </c>
      <c r="BA285" s="2" t="s">
        <v>1232</v>
      </c>
    </row>
    <row r="286" spans="1:58" ht="15" customHeight="1" x14ac:dyDescent="0.25">
      <c r="A286" s="241" t="s">
        <v>838</v>
      </c>
      <c r="B286" s="2" t="s">
        <v>26</v>
      </c>
      <c r="D286" s="241" t="s">
        <v>837</v>
      </c>
      <c r="E286" s="241" t="s">
        <v>839</v>
      </c>
      <c r="H286" s="349" t="s">
        <v>1057</v>
      </c>
      <c r="I286" s="367" t="s">
        <v>1048</v>
      </c>
      <c r="J286" s="2">
        <v>516541</v>
      </c>
      <c r="K286" s="2">
        <v>175254</v>
      </c>
      <c r="L286" s="293"/>
      <c r="M286" s="364">
        <v>0</v>
      </c>
      <c r="N286" s="364">
        <v>0</v>
      </c>
      <c r="O286" s="364">
        <v>0</v>
      </c>
      <c r="P286" s="364">
        <v>0</v>
      </c>
      <c r="Q286" s="364"/>
      <c r="R286" s="364"/>
      <c r="S286" s="364"/>
      <c r="T286" s="365">
        <v>0</v>
      </c>
      <c r="U286" s="364"/>
      <c r="V286" s="364">
        <v>1</v>
      </c>
      <c r="W286" s="364">
        <v>0</v>
      </c>
      <c r="X286" s="364">
        <v>0</v>
      </c>
      <c r="Y286" s="364">
        <v>0</v>
      </c>
      <c r="Z286" s="364"/>
      <c r="AA286" s="364"/>
      <c r="AB286" s="364"/>
      <c r="AC286" s="365">
        <v>1</v>
      </c>
      <c r="AD286" s="364"/>
      <c r="AE286" s="364">
        <f t="shared" si="74"/>
        <v>1</v>
      </c>
      <c r="AF286" s="364">
        <f t="shared" si="75"/>
        <v>0</v>
      </c>
      <c r="AG286" s="364">
        <f t="shared" si="76"/>
        <v>0</v>
      </c>
      <c r="AH286" s="364">
        <f t="shared" si="77"/>
        <v>0</v>
      </c>
      <c r="AI286" s="364">
        <f t="shared" si="78"/>
        <v>0</v>
      </c>
      <c r="AJ286" s="364">
        <f t="shared" si="79"/>
        <v>0</v>
      </c>
      <c r="AK286" s="364">
        <f t="shared" si="80"/>
        <v>0</v>
      </c>
      <c r="AL286" s="348">
        <f t="shared" si="73"/>
        <v>1</v>
      </c>
      <c r="AN286" s="322">
        <v>0</v>
      </c>
      <c r="AO286" s="231">
        <v>0.25</v>
      </c>
      <c r="AP286" s="228">
        <v>0.25</v>
      </c>
      <c r="AQ286" s="231">
        <v>0.25</v>
      </c>
      <c r="AR286" s="231">
        <v>0.25</v>
      </c>
      <c r="AS286" s="231">
        <v>0</v>
      </c>
      <c r="AT286" s="231">
        <v>0</v>
      </c>
      <c r="AU286" s="323" t="s">
        <v>39</v>
      </c>
      <c r="AV286" s="231">
        <v>0</v>
      </c>
      <c r="AW286" s="231">
        <v>0</v>
      </c>
      <c r="AX286" s="231">
        <v>0</v>
      </c>
      <c r="AY286" s="231">
        <v>0</v>
      </c>
      <c r="AZ286" s="230">
        <v>0</v>
      </c>
      <c r="BA286" s="2" t="s">
        <v>1442</v>
      </c>
    </row>
    <row r="287" spans="1:58" ht="15" customHeight="1" x14ac:dyDescent="0.25">
      <c r="A287" s="241" t="s">
        <v>897</v>
      </c>
      <c r="B287" s="2" t="s">
        <v>26</v>
      </c>
      <c r="D287" s="241" t="s">
        <v>898</v>
      </c>
      <c r="E287" s="241" t="s">
        <v>899</v>
      </c>
      <c r="H287" s="349" t="s">
        <v>1057</v>
      </c>
      <c r="I287" s="367" t="s">
        <v>1048</v>
      </c>
      <c r="J287" s="2">
        <v>515313</v>
      </c>
      <c r="K287" s="2">
        <v>173179</v>
      </c>
      <c r="L287" s="293"/>
      <c r="M287" s="364">
        <v>0</v>
      </c>
      <c r="N287" s="364">
        <v>0</v>
      </c>
      <c r="O287" s="364">
        <v>0</v>
      </c>
      <c r="P287" s="364">
        <v>0</v>
      </c>
      <c r="Q287" s="364"/>
      <c r="R287" s="364"/>
      <c r="S287" s="364"/>
      <c r="T287" s="365">
        <v>0</v>
      </c>
      <c r="U287" s="364"/>
      <c r="V287" s="364">
        <v>1</v>
      </c>
      <c r="W287" s="364">
        <v>0</v>
      </c>
      <c r="X287" s="364">
        <v>0</v>
      </c>
      <c r="Y287" s="364">
        <v>0</v>
      </c>
      <c r="Z287" s="364"/>
      <c r="AA287" s="364"/>
      <c r="AB287" s="364"/>
      <c r="AC287" s="365">
        <v>1</v>
      </c>
      <c r="AD287" s="364"/>
      <c r="AE287" s="364">
        <f t="shared" si="74"/>
        <v>1</v>
      </c>
      <c r="AF287" s="364">
        <f t="shared" si="75"/>
        <v>0</v>
      </c>
      <c r="AG287" s="364">
        <f t="shared" si="76"/>
        <v>0</v>
      </c>
      <c r="AH287" s="364">
        <f t="shared" si="77"/>
        <v>0</v>
      </c>
      <c r="AI287" s="364">
        <f t="shared" si="78"/>
        <v>0</v>
      </c>
      <c r="AJ287" s="364">
        <f t="shared" si="79"/>
        <v>0</v>
      </c>
      <c r="AK287" s="364">
        <f t="shared" si="80"/>
        <v>0</v>
      </c>
      <c r="AL287" s="348">
        <f t="shared" si="73"/>
        <v>1</v>
      </c>
      <c r="AN287" s="322">
        <v>0</v>
      </c>
      <c r="AO287" s="231">
        <v>0.25</v>
      </c>
      <c r="AP287" s="228">
        <v>0.25</v>
      </c>
      <c r="AQ287" s="231">
        <v>0.25</v>
      </c>
      <c r="AR287" s="231">
        <v>0.25</v>
      </c>
      <c r="AS287" s="231">
        <v>0</v>
      </c>
      <c r="AT287" s="231">
        <v>0</v>
      </c>
      <c r="AU287" s="323" t="s">
        <v>39</v>
      </c>
      <c r="AV287" s="231">
        <v>0</v>
      </c>
      <c r="AW287" s="231">
        <v>0</v>
      </c>
      <c r="AX287" s="231">
        <v>0</v>
      </c>
      <c r="AY287" s="231">
        <v>0</v>
      </c>
      <c r="AZ287" s="230">
        <v>0</v>
      </c>
      <c r="BA287" s="2" t="s">
        <v>1236</v>
      </c>
    </row>
    <row r="288" spans="1:58" ht="15" customHeight="1" x14ac:dyDescent="0.25">
      <c r="A288" s="241" t="s">
        <v>583</v>
      </c>
      <c r="B288" s="2" t="s">
        <v>9</v>
      </c>
      <c r="D288" s="241" t="s">
        <v>584</v>
      </c>
      <c r="E288" s="241" t="s">
        <v>585</v>
      </c>
      <c r="H288" s="349" t="s">
        <v>1057</v>
      </c>
      <c r="I288" s="367" t="s">
        <v>1048</v>
      </c>
      <c r="J288" s="2">
        <v>517393</v>
      </c>
      <c r="K288" s="2">
        <v>169491</v>
      </c>
      <c r="L288" s="293"/>
      <c r="M288" s="364">
        <v>0</v>
      </c>
      <c r="N288" s="364">
        <v>0</v>
      </c>
      <c r="O288" s="364">
        <v>1</v>
      </c>
      <c r="P288" s="364">
        <v>0</v>
      </c>
      <c r="Q288" s="364"/>
      <c r="R288" s="364"/>
      <c r="S288" s="364"/>
      <c r="T288" s="365">
        <v>1</v>
      </c>
      <c r="U288" s="364"/>
      <c r="V288" s="364">
        <v>6</v>
      </c>
      <c r="W288" s="364">
        <v>3</v>
      </c>
      <c r="X288" s="364">
        <v>0</v>
      </c>
      <c r="Y288" s="364">
        <v>0</v>
      </c>
      <c r="Z288" s="364"/>
      <c r="AA288" s="364"/>
      <c r="AB288" s="364"/>
      <c r="AC288" s="365">
        <v>9</v>
      </c>
      <c r="AD288" s="364"/>
      <c r="AE288" s="364">
        <f t="shared" si="74"/>
        <v>6</v>
      </c>
      <c r="AF288" s="364">
        <f t="shared" si="75"/>
        <v>3</v>
      </c>
      <c r="AG288" s="364">
        <f t="shared" si="76"/>
        <v>-1</v>
      </c>
      <c r="AH288" s="364">
        <f t="shared" si="77"/>
        <v>0</v>
      </c>
      <c r="AI288" s="364">
        <f t="shared" si="78"/>
        <v>0</v>
      </c>
      <c r="AJ288" s="364">
        <f t="shared" si="79"/>
        <v>0</v>
      </c>
      <c r="AK288" s="364">
        <f t="shared" si="80"/>
        <v>0</v>
      </c>
      <c r="AL288" s="348">
        <f t="shared" si="73"/>
        <v>8</v>
      </c>
      <c r="AM288" s="232"/>
      <c r="AN288" s="322">
        <v>0</v>
      </c>
      <c r="AO288" s="231">
        <v>0</v>
      </c>
      <c r="AP288" s="228">
        <v>2.6666666666666665</v>
      </c>
      <c r="AQ288" s="231">
        <v>2.6666666666666665</v>
      </c>
      <c r="AR288" s="231">
        <v>2.6666666666666665</v>
      </c>
      <c r="AS288" s="231">
        <v>0</v>
      </c>
      <c r="AT288" s="231">
        <v>0</v>
      </c>
      <c r="AU288" s="323" t="s">
        <v>39</v>
      </c>
      <c r="AV288" s="231">
        <v>0</v>
      </c>
      <c r="AW288" s="231">
        <v>0</v>
      </c>
      <c r="AX288" s="231">
        <v>0</v>
      </c>
      <c r="AY288" s="231">
        <v>0</v>
      </c>
      <c r="AZ288" s="230">
        <v>0</v>
      </c>
      <c r="BA288" s="2" t="s">
        <v>1230</v>
      </c>
    </row>
    <row r="289" spans="1:58" ht="15" customHeight="1" x14ac:dyDescent="0.25">
      <c r="A289" s="241" t="s">
        <v>1002</v>
      </c>
      <c r="B289" s="2" t="s">
        <v>26</v>
      </c>
      <c r="D289" s="241" t="s">
        <v>1003</v>
      </c>
      <c r="E289" s="241" t="s">
        <v>1004</v>
      </c>
      <c r="H289" s="349" t="s">
        <v>1057</v>
      </c>
      <c r="I289" s="367" t="s">
        <v>1048</v>
      </c>
      <c r="J289" s="2">
        <v>518053</v>
      </c>
      <c r="K289" s="2">
        <v>174903</v>
      </c>
      <c r="L289" s="293"/>
      <c r="M289" s="364">
        <v>0</v>
      </c>
      <c r="N289" s="364">
        <v>0</v>
      </c>
      <c r="O289" s="364">
        <v>0</v>
      </c>
      <c r="P289" s="364">
        <v>0</v>
      </c>
      <c r="Q289" s="364"/>
      <c r="R289" s="364"/>
      <c r="S289" s="364"/>
      <c r="T289" s="365">
        <v>0</v>
      </c>
      <c r="U289" s="364"/>
      <c r="V289" s="364">
        <v>1</v>
      </c>
      <c r="W289" s="364">
        <v>0</v>
      </c>
      <c r="X289" s="364">
        <v>0</v>
      </c>
      <c r="Y289" s="364">
        <v>0</v>
      </c>
      <c r="Z289" s="364"/>
      <c r="AA289" s="364"/>
      <c r="AB289" s="364"/>
      <c r="AC289" s="365">
        <v>1</v>
      </c>
      <c r="AD289" s="364"/>
      <c r="AE289" s="364">
        <f t="shared" si="74"/>
        <v>1</v>
      </c>
      <c r="AF289" s="364">
        <f t="shared" si="75"/>
        <v>0</v>
      </c>
      <c r="AG289" s="364">
        <f t="shared" si="76"/>
        <v>0</v>
      </c>
      <c r="AH289" s="364">
        <f t="shared" si="77"/>
        <v>0</v>
      </c>
      <c r="AI289" s="364">
        <f t="shared" si="78"/>
        <v>0</v>
      </c>
      <c r="AJ289" s="364">
        <f t="shared" si="79"/>
        <v>0</v>
      </c>
      <c r="AK289" s="364">
        <f t="shared" si="80"/>
        <v>0</v>
      </c>
      <c r="AL289" s="348">
        <f t="shared" si="73"/>
        <v>1</v>
      </c>
      <c r="AN289" s="322">
        <v>0</v>
      </c>
      <c r="AO289" s="231">
        <v>0.25</v>
      </c>
      <c r="AP289" s="228">
        <v>0.25</v>
      </c>
      <c r="AQ289" s="231">
        <v>0.25</v>
      </c>
      <c r="AR289" s="231">
        <v>0.25</v>
      </c>
      <c r="AS289" s="231">
        <v>0</v>
      </c>
      <c r="AT289" s="231">
        <v>0</v>
      </c>
      <c r="AU289" s="323" t="s">
        <v>39</v>
      </c>
      <c r="AV289" s="231">
        <v>0</v>
      </c>
      <c r="AW289" s="231">
        <v>0</v>
      </c>
      <c r="AX289" s="231">
        <v>0</v>
      </c>
      <c r="AY289" s="231">
        <v>0</v>
      </c>
      <c r="AZ289" s="230">
        <v>0</v>
      </c>
      <c r="BA289" s="2" t="s">
        <v>1235</v>
      </c>
      <c r="BD289" s="2" t="s">
        <v>1213</v>
      </c>
    </row>
    <row r="290" spans="1:58" ht="15" customHeight="1" x14ac:dyDescent="0.25">
      <c r="A290" s="241" t="s">
        <v>607</v>
      </c>
      <c r="B290" s="2" t="s">
        <v>9</v>
      </c>
      <c r="D290" s="241" t="s">
        <v>608</v>
      </c>
      <c r="E290" s="241" t="s">
        <v>609</v>
      </c>
      <c r="H290" s="349" t="s">
        <v>1057</v>
      </c>
      <c r="I290" s="367" t="s">
        <v>1048</v>
      </c>
      <c r="J290" s="2">
        <v>516874</v>
      </c>
      <c r="K290" s="2">
        <v>170756</v>
      </c>
      <c r="L290" s="293"/>
      <c r="M290" s="364">
        <v>0</v>
      </c>
      <c r="N290" s="364">
        <v>1</v>
      </c>
      <c r="O290" s="364">
        <v>0</v>
      </c>
      <c r="P290" s="364">
        <v>0</v>
      </c>
      <c r="Q290" s="364"/>
      <c r="R290" s="364"/>
      <c r="S290" s="364"/>
      <c r="T290" s="365">
        <v>1</v>
      </c>
      <c r="U290" s="364"/>
      <c r="V290" s="364">
        <v>0</v>
      </c>
      <c r="W290" s="364">
        <v>0</v>
      </c>
      <c r="X290" s="364">
        <v>0</v>
      </c>
      <c r="Y290" s="364">
        <v>0</v>
      </c>
      <c r="Z290" s="372">
        <v>1</v>
      </c>
      <c r="AA290" s="364"/>
      <c r="AB290" s="364"/>
      <c r="AC290" s="365">
        <v>1</v>
      </c>
      <c r="AD290" s="364"/>
      <c r="AE290" s="364">
        <f t="shared" si="74"/>
        <v>0</v>
      </c>
      <c r="AF290" s="364">
        <f t="shared" si="75"/>
        <v>-1</v>
      </c>
      <c r="AG290" s="364">
        <f t="shared" si="76"/>
        <v>0</v>
      </c>
      <c r="AH290" s="364">
        <f t="shared" si="77"/>
        <v>0</v>
      </c>
      <c r="AI290" s="364">
        <f t="shared" si="78"/>
        <v>1</v>
      </c>
      <c r="AJ290" s="364">
        <f t="shared" si="79"/>
        <v>0</v>
      </c>
      <c r="AK290" s="364">
        <f t="shared" si="80"/>
        <v>0</v>
      </c>
      <c r="AL290" s="348">
        <f t="shared" si="73"/>
        <v>0</v>
      </c>
      <c r="AM290" s="232"/>
      <c r="AN290" s="322">
        <v>0</v>
      </c>
      <c r="AO290" s="231">
        <v>0</v>
      </c>
      <c r="AP290" s="228">
        <v>0</v>
      </c>
      <c r="AQ290" s="231">
        <v>0</v>
      </c>
      <c r="AR290" s="231">
        <v>0</v>
      </c>
      <c r="AS290" s="231">
        <v>0</v>
      </c>
      <c r="AT290" s="231">
        <v>0</v>
      </c>
      <c r="AU290" s="323">
        <v>0</v>
      </c>
      <c r="AV290" s="231">
        <v>0</v>
      </c>
      <c r="AW290" s="231">
        <v>0</v>
      </c>
      <c r="AX290" s="231">
        <v>0</v>
      </c>
      <c r="AY290" s="231">
        <v>0</v>
      </c>
      <c r="AZ290" s="230">
        <v>0</v>
      </c>
      <c r="BA290" s="2" t="s">
        <v>1230</v>
      </c>
    </row>
    <row r="291" spans="1:58" ht="15" customHeight="1" x14ac:dyDescent="0.25">
      <c r="A291" s="241" t="s">
        <v>954</v>
      </c>
      <c r="B291" s="2" t="s">
        <v>26</v>
      </c>
      <c r="D291" s="241" t="s">
        <v>955</v>
      </c>
      <c r="E291" s="241" t="s">
        <v>956</v>
      </c>
      <c r="H291" s="349" t="s">
        <v>1057</v>
      </c>
      <c r="I291" s="367" t="s">
        <v>1048</v>
      </c>
      <c r="J291" s="2">
        <v>515790</v>
      </c>
      <c r="K291" s="2">
        <v>173166</v>
      </c>
      <c r="L291" s="293"/>
      <c r="M291" s="364">
        <v>0</v>
      </c>
      <c r="N291" s="364">
        <v>0</v>
      </c>
      <c r="O291" s="364">
        <v>0</v>
      </c>
      <c r="P291" s="364">
        <v>0</v>
      </c>
      <c r="Q291" s="364"/>
      <c r="R291" s="364"/>
      <c r="S291" s="364"/>
      <c r="T291" s="365">
        <v>0</v>
      </c>
      <c r="U291" s="364"/>
      <c r="V291" s="364">
        <v>0</v>
      </c>
      <c r="W291" s="364">
        <v>2</v>
      </c>
      <c r="X291" s="364">
        <v>0</v>
      </c>
      <c r="Y291" s="364">
        <v>0</v>
      </c>
      <c r="Z291" s="364"/>
      <c r="AA291" s="364"/>
      <c r="AB291" s="364"/>
      <c r="AC291" s="365">
        <v>2</v>
      </c>
      <c r="AD291" s="364"/>
      <c r="AE291" s="364">
        <f t="shared" si="74"/>
        <v>0</v>
      </c>
      <c r="AF291" s="364">
        <f t="shared" si="75"/>
        <v>2</v>
      </c>
      <c r="AG291" s="364">
        <f t="shared" si="76"/>
        <v>0</v>
      </c>
      <c r="AH291" s="364">
        <f t="shared" si="77"/>
        <v>0</v>
      </c>
      <c r="AI291" s="364">
        <f t="shared" si="78"/>
        <v>0</v>
      </c>
      <c r="AJ291" s="364">
        <f t="shared" si="79"/>
        <v>0</v>
      </c>
      <c r="AK291" s="364">
        <f t="shared" si="80"/>
        <v>0</v>
      </c>
      <c r="AL291" s="348">
        <f t="shared" si="73"/>
        <v>2</v>
      </c>
      <c r="AN291" s="322">
        <v>0</v>
      </c>
      <c r="AO291" s="231">
        <v>0.5</v>
      </c>
      <c r="AP291" s="228">
        <v>0.5</v>
      </c>
      <c r="AQ291" s="231">
        <v>0.5</v>
      </c>
      <c r="AR291" s="231">
        <v>0.5</v>
      </c>
      <c r="AS291" s="231">
        <v>0</v>
      </c>
      <c r="AT291" s="231">
        <v>0</v>
      </c>
      <c r="AU291" s="323" t="s">
        <v>39</v>
      </c>
      <c r="AV291" s="231">
        <v>0</v>
      </c>
      <c r="AW291" s="231">
        <v>0</v>
      </c>
      <c r="AX291" s="231">
        <v>0</v>
      </c>
      <c r="AY291" s="231">
        <v>0</v>
      </c>
      <c r="AZ291" s="230">
        <v>0</v>
      </c>
      <c r="BA291" s="2" t="s">
        <v>1236</v>
      </c>
      <c r="BD291" s="2" t="s">
        <v>1217</v>
      </c>
    </row>
    <row r="292" spans="1:58" ht="15" customHeight="1" x14ac:dyDescent="0.25">
      <c r="A292" s="241" t="s">
        <v>801</v>
      </c>
      <c r="B292" s="2" t="s">
        <v>9</v>
      </c>
      <c r="D292" s="241" t="s">
        <v>802</v>
      </c>
      <c r="E292" s="241" t="s">
        <v>803</v>
      </c>
      <c r="H292" s="349" t="s">
        <v>1057</v>
      </c>
      <c r="I292" s="367" t="s">
        <v>1048</v>
      </c>
      <c r="J292" s="2">
        <v>512725</v>
      </c>
      <c r="K292" s="2">
        <v>170606</v>
      </c>
      <c r="L292" s="293"/>
      <c r="M292" s="364">
        <v>0</v>
      </c>
      <c r="N292" s="364">
        <v>0</v>
      </c>
      <c r="O292" s="364">
        <v>0</v>
      </c>
      <c r="P292" s="364">
        <v>1</v>
      </c>
      <c r="Q292" s="364"/>
      <c r="R292" s="364"/>
      <c r="S292" s="364"/>
      <c r="T292" s="365">
        <v>1</v>
      </c>
      <c r="U292" s="364"/>
      <c r="V292" s="364">
        <v>0</v>
      </c>
      <c r="W292" s="364">
        <v>0</v>
      </c>
      <c r="X292" s="364">
        <v>0</v>
      </c>
      <c r="Y292" s="364">
        <v>0</v>
      </c>
      <c r="Z292" s="372">
        <v>1</v>
      </c>
      <c r="AA292" s="364"/>
      <c r="AB292" s="364"/>
      <c r="AC292" s="365">
        <v>1</v>
      </c>
      <c r="AD292" s="364"/>
      <c r="AE292" s="364">
        <f t="shared" si="74"/>
        <v>0</v>
      </c>
      <c r="AF292" s="364">
        <f t="shared" si="75"/>
        <v>0</v>
      </c>
      <c r="AG292" s="364">
        <f t="shared" si="76"/>
        <v>0</v>
      </c>
      <c r="AH292" s="364">
        <f t="shared" si="77"/>
        <v>-1</v>
      </c>
      <c r="AI292" s="364">
        <f t="shared" si="78"/>
        <v>1</v>
      </c>
      <c r="AJ292" s="364">
        <f t="shared" si="79"/>
        <v>0</v>
      </c>
      <c r="AK292" s="364">
        <f t="shared" si="80"/>
        <v>0</v>
      </c>
      <c r="AL292" s="348">
        <f t="shared" si="73"/>
        <v>0</v>
      </c>
      <c r="AM292" s="232"/>
      <c r="AN292" s="322">
        <v>0</v>
      </c>
      <c r="AO292" s="231">
        <v>0</v>
      </c>
      <c r="AP292" s="228">
        <v>0</v>
      </c>
      <c r="AQ292" s="231">
        <v>0</v>
      </c>
      <c r="AR292" s="231">
        <v>0</v>
      </c>
      <c r="AS292" s="231">
        <v>0</v>
      </c>
      <c r="AT292" s="231">
        <v>0</v>
      </c>
      <c r="AU292" s="242">
        <v>0</v>
      </c>
      <c r="AV292" s="231">
        <v>0</v>
      </c>
      <c r="AW292" s="231">
        <v>0</v>
      </c>
      <c r="AX292" s="231">
        <v>0</v>
      </c>
      <c r="AY292" s="231">
        <v>0</v>
      </c>
      <c r="AZ292" s="230">
        <v>0</v>
      </c>
      <c r="BA292" s="2" t="s">
        <v>1228</v>
      </c>
    </row>
    <row r="293" spans="1:58" ht="15" customHeight="1" x14ac:dyDescent="0.25">
      <c r="A293" s="241" t="s">
        <v>1071</v>
      </c>
      <c r="B293" s="2" t="s">
        <v>26</v>
      </c>
      <c r="D293" s="241" t="s">
        <v>1080</v>
      </c>
      <c r="E293" s="241" t="s">
        <v>1088</v>
      </c>
      <c r="H293" s="349" t="s">
        <v>1057</v>
      </c>
      <c r="I293" s="367" t="s">
        <v>1048</v>
      </c>
      <c r="J293" s="2">
        <v>519113</v>
      </c>
      <c r="K293" s="2">
        <v>176411</v>
      </c>
      <c r="L293" s="293"/>
      <c r="M293" s="364">
        <v>0</v>
      </c>
      <c r="N293" s="364">
        <v>0</v>
      </c>
      <c r="O293" s="364">
        <v>0</v>
      </c>
      <c r="P293" s="364">
        <v>0</v>
      </c>
      <c r="Q293" s="364"/>
      <c r="R293" s="364"/>
      <c r="S293" s="364"/>
      <c r="T293" s="365">
        <v>0</v>
      </c>
      <c r="U293" s="364">
        <v>4</v>
      </c>
      <c r="V293" s="364">
        <v>1</v>
      </c>
      <c r="W293" s="364">
        <v>0</v>
      </c>
      <c r="X293" s="364">
        <v>0</v>
      </c>
      <c r="Y293" s="364">
        <v>0</v>
      </c>
      <c r="Z293" s="364"/>
      <c r="AA293" s="364"/>
      <c r="AB293" s="364"/>
      <c r="AC293" s="365">
        <v>5</v>
      </c>
      <c r="AD293" s="364">
        <f>U293-L293</f>
        <v>4</v>
      </c>
      <c r="AE293" s="364">
        <f t="shared" si="74"/>
        <v>1</v>
      </c>
      <c r="AF293" s="364">
        <f t="shared" si="75"/>
        <v>0</v>
      </c>
      <c r="AG293" s="364">
        <f t="shared" si="76"/>
        <v>0</v>
      </c>
      <c r="AH293" s="364">
        <f t="shared" si="77"/>
        <v>0</v>
      </c>
      <c r="AI293" s="364">
        <f t="shared" si="78"/>
        <v>0</v>
      </c>
      <c r="AJ293" s="364">
        <f t="shared" si="79"/>
        <v>0</v>
      </c>
      <c r="AK293" s="364">
        <f t="shared" si="80"/>
        <v>0</v>
      </c>
      <c r="AL293" s="348">
        <f t="shared" si="73"/>
        <v>5</v>
      </c>
      <c r="AN293" s="322">
        <v>0</v>
      </c>
      <c r="AO293" s="231">
        <v>1.25</v>
      </c>
      <c r="AP293" s="228">
        <v>1.25</v>
      </c>
      <c r="AQ293" s="231">
        <v>1.25</v>
      </c>
      <c r="AR293" s="231">
        <v>1.25</v>
      </c>
      <c r="AS293" s="231">
        <v>0</v>
      </c>
      <c r="AT293" s="231">
        <v>0</v>
      </c>
      <c r="AU293" s="323" t="s">
        <v>39</v>
      </c>
      <c r="AV293" s="231">
        <v>0</v>
      </c>
      <c r="AW293" s="231">
        <v>0</v>
      </c>
      <c r="AX293" s="231">
        <v>0</v>
      </c>
      <c r="AY293" s="231">
        <v>0</v>
      </c>
      <c r="AZ293" s="230">
        <v>0</v>
      </c>
      <c r="BA293" s="2" t="s">
        <v>1232</v>
      </c>
    </row>
    <row r="294" spans="1:58" ht="15" customHeight="1" x14ac:dyDescent="0.25">
      <c r="A294" s="241" t="s">
        <v>402</v>
      </c>
      <c r="B294" s="2" t="s">
        <v>5</v>
      </c>
      <c r="D294" s="241" t="s">
        <v>403</v>
      </c>
      <c r="E294" s="241" t="s">
        <v>404</v>
      </c>
      <c r="H294" s="349" t="s">
        <v>1057</v>
      </c>
      <c r="I294" s="367" t="s">
        <v>1048</v>
      </c>
      <c r="J294" s="2">
        <v>520088</v>
      </c>
      <c r="K294" s="2">
        <v>175029</v>
      </c>
      <c r="L294" s="293"/>
      <c r="M294" s="364">
        <v>2</v>
      </c>
      <c r="N294" s="364">
        <v>0</v>
      </c>
      <c r="O294" s="364">
        <v>0</v>
      </c>
      <c r="P294" s="364">
        <v>0</v>
      </c>
      <c r="Q294" s="364"/>
      <c r="R294" s="364"/>
      <c r="S294" s="364"/>
      <c r="T294" s="365">
        <v>2</v>
      </c>
      <c r="U294" s="364"/>
      <c r="V294" s="364">
        <v>0</v>
      </c>
      <c r="W294" s="364">
        <v>0</v>
      </c>
      <c r="X294" s="364">
        <v>1</v>
      </c>
      <c r="Y294" s="364">
        <v>0</v>
      </c>
      <c r="Z294" s="364"/>
      <c r="AA294" s="364"/>
      <c r="AB294" s="364"/>
      <c r="AC294" s="365">
        <v>1</v>
      </c>
      <c r="AD294" s="364"/>
      <c r="AE294" s="364">
        <f t="shared" si="74"/>
        <v>-2</v>
      </c>
      <c r="AF294" s="364">
        <f t="shared" si="75"/>
        <v>0</v>
      </c>
      <c r="AG294" s="364">
        <f t="shared" si="76"/>
        <v>1</v>
      </c>
      <c r="AH294" s="364">
        <f t="shared" si="77"/>
        <v>0</v>
      </c>
      <c r="AI294" s="364">
        <f t="shared" si="78"/>
        <v>0</v>
      </c>
      <c r="AJ294" s="364">
        <f t="shared" si="79"/>
        <v>0</v>
      </c>
      <c r="AK294" s="364">
        <f t="shared" si="80"/>
        <v>0</v>
      </c>
      <c r="AL294" s="348">
        <f t="shared" si="73"/>
        <v>-1</v>
      </c>
      <c r="AM294" s="232"/>
      <c r="AN294" s="322">
        <v>0</v>
      </c>
      <c r="AO294" s="231">
        <v>-0.25</v>
      </c>
      <c r="AP294" s="228">
        <v>-0.25</v>
      </c>
      <c r="AQ294" s="231">
        <v>-0.25</v>
      </c>
      <c r="AR294" s="231">
        <v>-0.25</v>
      </c>
      <c r="AS294" s="231">
        <v>0</v>
      </c>
      <c r="AT294" s="231">
        <v>0</v>
      </c>
      <c r="AU294" s="323" t="s">
        <v>39</v>
      </c>
      <c r="AV294" s="231">
        <v>0</v>
      </c>
      <c r="AW294" s="231">
        <v>0</v>
      </c>
      <c r="AX294" s="231">
        <v>0</v>
      </c>
      <c r="AY294" s="231">
        <v>0</v>
      </c>
      <c r="AZ294" s="230">
        <v>0</v>
      </c>
      <c r="BA294" s="2" t="s">
        <v>1212</v>
      </c>
    </row>
    <row r="295" spans="1:58" ht="15" customHeight="1" x14ac:dyDescent="0.25">
      <c r="A295" s="241" t="s">
        <v>355</v>
      </c>
      <c r="B295" s="2" t="s">
        <v>26</v>
      </c>
      <c r="C295" s="2" t="s">
        <v>1037</v>
      </c>
      <c r="D295" s="241" t="s">
        <v>356</v>
      </c>
      <c r="E295" s="241" t="s">
        <v>357</v>
      </c>
      <c r="H295" s="349" t="s">
        <v>1057</v>
      </c>
      <c r="I295" s="367" t="s">
        <v>1048</v>
      </c>
      <c r="J295" s="2">
        <v>520541</v>
      </c>
      <c r="K295" s="2">
        <v>175760</v>
      </c>
      <c r="L295" s="293"/>
      <c r="M295" s="364">
        <v>0</v>
      </c>
      <c r="N295" s="364">
        <v>0</v>
      </c>
      <c r="O295" s="364">
        <v>0</v>
      </c>
      <c r="P295" s="364">
        <v>0</v>
      </c>
      <c r="Q295" s="364"/>
      <c r="R295" s="364"/>
      <c r="S295" s="364"/>
      <c r="T295" s="365">
        <v>0</v>
      </c>
      <c r="U295" s="364"/>
      <c r="V295" s="364">
        <v>0</v>
      </c>
      <c r="W295" s="364">
        <v>3</v>
      </c>
      <c r="X295" s="364">
        <v>0</v>
      </c>
      <c r="Y295" s="364">
        <v>0</v>
      </c>
      <c r="Z295" s="364"/>
      <c r="AA295" s="364"/>
      <c r="AB295" s="364"/>
      <c r="AC295" s="365">
        <v>3</v>
      </c>
      <c r="AD295" s="364"/>
      <c r="AE295" s="364">
        <f t="shared" si="74"/>
        <v>0</v>
      </c>
      <c r="AF295" s="364">
        <f t="shared" si="75"/>
        <v>3</v>
      </c>
      <c r="AG295" s="364">
        <f t="shared" si="76"/>
        <v>0</v>
      </c>
      <c r="AH295" s="364">
        <f t="shared" si="77"/>
        <v>0</v>
      </c>
      <c r="AI295" s="364">
        <f t="shared" si="78"/>
        <v>0</v>
      </c>
      <c r="AJ295" s="364">
        <f t="shared" si="79"/>
        <v>0</v>
      </c>
      <c r="AK295" s="364">
        <f t="shared" si="80"/>
        <v>0</v>
      </c>
      <c r="AL295" s="348">
        <f t="shared" si="73"/>
        <v>3</v>
      </c>
      <c r="AM295" s="232"/>
      <c r="AN295" s="322">
        <v>0</v>
      </c>
      <c r="AO295" s="231">
        <v>0.75</v>
      </c>
      <c r="AP295" s="228">
        <v>0.75</v>
      </c>
      <c r="AQ295" s="231">
        <v>0.75</v>
      </c>
      <c r="AR295" s="231">
        <v>0.75</v>
      </c>
      <c r="AS295" s="231">
        <v>0</v>
      </c>
      <c r="AT295" s="231">
        <v>0</v>
      </c>
      <c r="AU295" s="323" t="s">
        <v>39</v>
      </c>
      <c r="AV295" s="231">
        <v>0</v>
      </c>
      <c r="AW295" s="231">
        <v>0</v>
      </c>
      <c r="AX295" s="231">
        <v>0</v>
      </c>
      <c r="AY295" s="231">
        <v>0</v>
      </c>
      <c r="AZ295" s="230">
        <v>0</v>
      </c>
      <c r="BA295" s="2" t="s">
        <v>1212</v>
      </c>
      <c r="BD295" s="2" t="s">
        <v>1212</v>
      </c>
    </row>
    <row r="296" spans="1:58" ht="15" customHeight="1" x14ac:dyDescent="0.25">
      <c r="A296" s="241" t="s">
        <v>760</v>
      </c>
      <c r="B296" s="2" t="s">
        <v>9</v>
      </c>
      <c r="D296" s="241" t="s">
        <v>761</v>
      </c>
      <c r="E296" s="241" t="s">
        <v>762</v>
      </c>
      <c r="H296" s="349" t="s">
        <v>1057</v>
      </c>
      <c r="I296" s="367" t="s">
        <v>1048</v>
      </c>
      <c r="J296" s="2">
        <v>514169</v>
      </c>
      <c r="K296" s="2">
        <v>170167</v>
      </c>
      <c r="L296" s="293"/>
      <c r="M296" s="364">
        <v>0</v>
      </c>
      <c r="N296" s="364">
        <v>0</v>
      </c>
      <c r="O296" s="364">
        <v>0</v>
      </c>
      <c r="P296" s="364">
        <v>1</v>
      </c>
      <c r="Q296" s="364"/>
      <c r="R296" s="364"/>
      <c r="S296" s="364"/>
      <c r="T296" s="365">
        <v>1</v>
      </c>
      <c r="U296" s="364"/>
      <c r="V296" s="364">
        <v>0</v>
      </c>
      <c r="W296" s="364">
        <v>0</v>
      </c>
      <c r="X296" s="364">
        <v>0</v>
      </c>
      <c r="Y296" s="364">
        <v>2</v>
      </c>
      <c r="Z296" s="372">
        <v>1</v>
      </c>
      <c r="AA296" s="364"/>
      <c r="AB296" s="364"/>
      <c r="AC296" s="365">
        <v>3</v>
      </c>
      <c r="AD296" s="364"/>
      <c r="AE296" s="364">
        <f t="shared" si="74"/>
        <v>0</v>
      </c>
      <c r="AF296" s="364">
        <f t="shared" si="75"/>
        <v>0</v>
      </c>
      <c r="AG296" s="364">
        <f t="shared" si="76"/>
        <v>0</v>
      </c>
      <c r="AH296" s="364">
        <f t="shared" si="77"/>
        <v>1</v>
      </c>
      <c r="AI296" s="364">
        <f t="shared" si="78"/>
        <v>1</v>
      </c>
      <c r="AJ296" s="364">
        <f t="shared" si="79"/>
        <v>0</v>
      </c>
      <c r="AK296" s="364">
        <f t="shared" si="80"/>
        <v>0</v>
      </c>
      <c r="AL296" s="348">
        <f t="shared" si="73"/>
        <v>2</v>
      </c>
      <c r="AM296" s="232"/>
      <c r="AN296" s="322">
        <v>0</v>
      </c>
      <c r="AO296" s="231">
        <v>0</v>
      </c>
      <c r="AP296" s="228">
        <v>0.66666666666666663</v>
      </c>
      <c r="AQ296" s="231">
        <v>0.66666666666666663</v>
      </c>
      <c r="AR296" s="231">
        <v>0.66666666666666663</v>
      </c>
      <c r="AS296" s="231">
        <v>0</v>
      </c>
      <c r="AT296" s="231">
        <v>0</v>
      </c>
      <c r="AU296" s="323" t="s">
        <v>39</v>
      </c>
      <c r="AV296" s="231">
        <v>0</v>
      </c>
      <c r="AW296" s="231">
        <v>0</v>
      </c>
      <c r="AX296" s="231">
        <v>0</v>
      </c>
      <c r="AY296" s="231">
        <v>0</v>
      </c>
      <c r="AZ296" s="230">
        <v>0</v>
      </c>
      <c r="BA296" s="2" t="s">
        <v>1229</v>
      </c>
      <c r="BF296" s="232" t="s">
        <v>39</v>
      </c>
    </row>
    <row r="297" spans="1:58" ht="15" customHeight="1" x14ac:dyDescent="0.25">
      <c r="A297" s="241" t="s">
        <v>381</v>
      </c>
      <c r="B297" s="2" t="s">
        <v>26</v>
      </c>
      <c r="C297" s="2" t="s">
        <v>1037</v>
      </c>
      <c r="D297" s="241" t="s">
        <v>382</v>
      </c>
      <c r="E297" s="241" t="s">
        <v>383</v>
      </c>
      <c r="H297" s="349" t="s">
        <v>1057</v>
      </c>
      <c r="I297" s="367" t="s">
        <v>1048</v>
      </c>
      <c r="J297" s="2">
        <v>520531</v>
      </c>
      <c r="K297" s="2">
        <v>175416</v>
      </c>
      <c r="L297" s="293"/>
      <c r="M297" s="364">
        <v>0</v>
      </c>
      <c r="N297" s="364">
        <v>0</v>
      </c>
      <c r="O297" s="364">
        <v>0</v>
      </c>
      <c r="P297" s="364">
        <v>0</v>
      </c>
      <c r="Q297" s="364"/>
      <c r="R297" s="364"/>
      <c r="S297" s="364"/>
      <c r="T297" s="365">
        <v>0</v>
      </c>
      <c r="U297" s="364"/>
      <c r="V297" s="364">
        <v>1</v>
      </c>
      <c r="W297" s="364">
        <v>0</v>
      </c>
      <c r="X297" s="364">
        <v>0</v>
      </c>
      <c r="Y297" s="364">
        <v>0</v>
      </c>
      <c r="Z297" s="364"/>
      <c r="AA297" s="364"/>
      <c r="AB297" s="364"/>
      <c r="AC297" s="365">
        <v>1</v>
      </c>
      <c r="AD297" s="364"/>
      <c r="AE297" s="364">
        <f t="shared" si="74"/>
        <v>1</v>
      </c>
      <c r="AF297" s="364">
        <f t="shared" si="75"/>
        <v>0</v>
      </c>
      <c r="AG297" s="364">
        <f t="shared" si="76"/>
        <v>0</v>
      </c>
      <c r="AH297" s="364">
        <f t="shared" si="77"/>
        <v>0</v>
      </c>
      <c r="AI297" s="364">
        <f t="shared" si="78"/>
        <v>0</v>
      </c>
      <c r="AJ297" s="364">
        <f t="shared" si="79"/>
        <v>0</v>
      </c>
      <c r="AK297" s="364">
        <f t="shared" si="80"/>
        <v>0</v>
      </c>
      <c r="AL297" s="348">
        <f t="shared" si="73"/>
        <v>1</v>
      </c>
      <c r="AM297" s="232"/>
      <c r="AN297" s="322">
        <v>0</v>
      </c>
      <c r="AO297" s="231">
        <v>0.25</v>
      </c>
      <c r="AP297" s="228">
        <v>0.25</v>
      </c>
      <c r="AQ297" s="231">
        <v>0.25</v>
      </c>
      <c r="AR297" s="231">
        <v>0.25</v>
      </c>
      <c r="AS297" s="231">
        <v>0</v>
      </c>
      <c r="AT297" s="231">
        <v>0</v>
      </c>
      <c r="AU297" s="323" t="s">
        <v>39</v>
      </c>
      <c r="AV297" s="231">
        <v>0</v>
      </c>
      <c r="AW297" s="231">
        <v>0</v>
      </c>
      <c r="AX297" s="231">
        <v>0</v>
      </c>
      <c r="AY297" s="231">
        <v>0</v>
      </c>
      <c r="AZ297" s="230">
        <v>0</v>
      </c>
      <c r="BA297" s="2" t="s">
        <v>1212</v>
      </c>
      <c r="BD297" s="2" t="s">
        <v>1212</v>
      </c>
    </row>
    <row r="298" spans="1:58" ht="15" customHeight="1" x14ac:dyDescent="0.25">
      <c r="A298" s="241" t="s">
        <v>740</v>
      </c>
      <c r="B298" s="2" t="s">
        <v>5</v>
      </c>
      <c r="D298" s="241" t="s">
        <v>741</v>
      </c>
      <c r="E298" s="241" t="s">
        <v>742</v>
      </c>
      <c r="H298" s="349" t="s">
        <v>1057</v>
      </c>
      <c r="I298" s="367" t="s">
        <v>1048</v>
      </c>
      <c r="J298" s="2">
        <v>514558</v>
      </c>
      <c r="K298" s="2">
        <v>171264</v>
      </c>
      <c r="L298" s="293"/>
      <c r="M298" s="364">
        <v>0</v>
      </c>
      <c r="N298" s="364">
        <v>0</v>
      </c>
      <c r="O298" s="364">
        <v>1</v>
      </c>
      <c r="P298" s="364">
        <v>0</v>
      </c>
      <c r="Q298" s="364"/>
      <c r="R298" s="364"/>
      <c r="S298" s="364"/>
      <c r="T298" s="365">
        <v>1</v>
      </c>
      <c r="U298" s="364"/>
      <c r="V298" s="364">
        <v>4</v>
      </c>
      <c r="W298" s="364">
        <v>0</v>
      </c>
      <c r="X298" s="364">
        <v>0</v>
      </c>
      <c r="Y298" s="364">
        <v>0</v>
      </c>
      <c r="Z298" s="364"/>
      <c r="AA298" s="364"/>
      <c r="AB298" s="364"/>
      <c r="AC298" s="365">
        <v>4</v>
      </c>
      <c r="AD298" s="364"/>
      <c r="AE298" s="364">
        <f t="shared" si="74"/>
        <v>4</v>
      </c>
      <c r="AF298" s="364">
        <f t="shared" si="75"/>
        <v>0</v>
      </c>
      <c r="AG298" s="364">
        <f t="shared" si="76"/>
        <v>-1</v>
      </c>
      <c r="AH298" s="364">
        <f t="shared" si="77"/>
        <v>0</v>
      </c>
      <c r="AI298" s="364">
        <f t="shared" si="78"/>
        <v>0</v>
      </c>
      <c r="AJ298" s="364">
        <f t="shared" si="79"/>
        <v>0</v>
      </c>
      <c r="AK298" s="364">
        <f t="shared" si="80"/>
        <v>0</v>
      </c>
      <c r="AL298" s="348">
        <f t="shared" si="73"/>
        <v>3</v>
      </c>
      <c r="AM298" s="232"/>
      <c r="AN298" s="322">
        <v>0</v>
      </c>
      <c r="AO298" s="231">
        <v>0.75</v>
      </c>
      <c r="AP298" s="228">
        <v>0.75</v>
      </c>
      <c r="AQ298" s="231">
        <v>0.75</v>
      </c>
      <c r="AR298" s="231">
        <v>0.75</v>
      </c>
      <c r="AS298" s="231">
        <v>0</v>
      </c>
      <c r="AT298" s="231">
        <v>0</v>
      </c>
      <c r="AU298" s="323" t="s">
        <v>39</v>
      </c>
      <c r="AV298" s="231">
        <v>0</v>
      </c>
      <c r="AW298" s="231">
        <v>0</v>
      </c>
      <c r="AX298" s="231">
        <v>0</v>
      </c>
      <c r="AY298" s="231">
        <v>0</v>
      </c>
      <c r="AZ298" s="230">
        <v>0</v>
      </c>
      <c r="BA298" s="2" t="s">
        <v>1265</v>
      </c>
      <c r="BC298" s="2" t="s">
        <v>1432</v>
      </c>
    </row>
    <row r="299" spans="1:58" ht="15" customHeight="1" x14ac:dyDescent="0.25">
      <c r="A299" s="241" t="s">
        <v>625</v>
      </c>
      <c r="B299" s="2" t="s">
        <v>26</v>
      </c>
      <c r="C299" s="2" t="s">
        <v>1037</v>
      </c>
      <c r="D299" s="241" t="s">
        <v>626</v>
      </c>
      <c r="E299" s="241" t="s">
        <v>627</v>
      </c>
      <c r="H299" s="349" t="s">
        <v>1057</v>
      </c>
      <c r="I299" s="367" t="s">
        <v>1048</v>
      </c>
      <c r="J299" s="2">
        <v>516215</v>
      </c>
      <c r="K299" s="2">
        <v>171077</v>
      </c>
      <c r="L299" s="293"/>
      <c r="M299" s="364">
        <v>0</v>
      </c>
      <c r="N299" s="364">
        <v>0</v>
      </c>
      <c r="O299" s="364">
        <v>0</v>
      </c>
      <c r="P299" s="364">
        <v>0</v>
      </c>
      <c r="Q299" s="364"/>
      <c r="R299" s="364"/>
      <c r="S299" s="364"/>
      <c r="T299" s="365">
        <v>0</v>
      </c>
      <c r="U299" s="364"/>
      <c r="V299" s="364">
        <v>1</v>
      </c>
      <c r="W299" s="364">
        <v>0</v>
      </c>
      <c r="X299" s="364">
        <v>0</v>
      </c>
      <c r="Y299" s="364">
        <v>0</v>
      </c>
      <c r="Z299" s="364"/>
      <c r="AA299" s="364"/>
      <c r="AB299" s="364"/>
      <c r="AC299" s="365">
        <v>1</v>
      </c>
      <c r="AD299" s="364"/>
      <c r="AE299" s="364">
        <f t="shared" si="74"/>
        <v>1</v>
      </c>
      <c r="AF299" s="364">
        <f t="shared" si="75"/>
        <v>0</v>
      </c>
      <c r="AG299" s="364">
        <f t="shared" si="76"/>
        <v>0</v>
      </c>
      <c r="AH299" s="364">
        <f t="shared" si="77"/>
        <v>0</v>
      </c>
      <c r="AI299" s="364">
        <f t="shared" si="78"/>
        <v>0</v>
      </c>
      <c r="AJ299" s="364">
        <f t="shared" si="79"/>
        <v>0</v>
      </c>
      <c r="AK299" s="364">
        <f t="shared" si="80"/>
        <v>0</v>
      </c>
      <c r="AL299" s="348">
        <f t="shared" si="73"/>
        <v>1</v>
      </c>
      <c r="AM299" s="232"/>
      <c r="AN299" s="322">
        <v>0</v>
      </c>
      <c r="AO299" s="231">
        <v>0.25</v>
      </c>
      <c r="AP299" s="228">
        <v>0.25</v>
      </c>
      <c r="AQ299" s="231">
        <v>0.25</v>
      </c>
      <c r="AR299" s="231">
        <v>0.25</v>
      </c>
      <c r="AS299" s="231">
        <v>0</v>
      </c>
      <c r="AT299" s="231">
        <v>0</v>
      </c>
      <c r="AU299" s="323" t="s">
        <v>39</v>
      </c>
      <c r="AV299" s="231">
        <v>0</v>
      </c>
      <c r="AW299" s="231">
        <v>0</v>
      </c>
      <c r="AX299" s="231">
        <v>0</v>
      </c>
      <c r="AY299" s="231">
        <v>0</v>
      </c>
      <c r="AZ299" s="230">
        <v>0</v>
      </c>
      <c r="BA299" s="2" t="s">
        <v>1215</v>
      </c>
      <c r="BD299" s="2" t="s">
        <v>1215</v>
      </c>
    </row>
    <row r="300" spans="1:58" ht="15" customHeight="1" x14ac:dyDescent="0.25">
      <c r="A300" s="241" t="s">
        <v>622</v>
      </c>
      <c r="B300" s="2" t="s">
        <v>26</v>
      </c>
      <c r="C300" s="2" t="s">
        <v>1037</v>
      </c>
      <c r="D300" s="241" t="s">
        <v>623</v>
      </c>
      <c r="E300" s="241" t="s">
        <v>624</v>
      </c>
      <c r="H300" s="349" t="s">
        <v>1057</v>
      </c>
      <c r="I300" s="367" t="s">
        <v>1048</v>
      </c>
      <c r="J300" s="2">
        <v>516224</v>
      </c>
      <c r="K300" s="2">
        <v>171078</v>
      </c>
      <c r="L300" s="293"/>
      <c r="M300" s="364">
        <v>0</v>
      </c>
      <c r="N300" s="364">
        <v>0</v>
      </c>
      <c r="O300" s="364">
        <v>0</v>
      </c>
      <c r="P300" s="364">
        <v>0</v>
      </c>
      <c r="Q300" s="364"/>
      <c r="R300" s="364"/>
      <c r="S300" s="364"/>
      <c r="T300" s="365">
        <v>0</v>
      </c>
      <c r="U300" s="364">
        <v>2</v>
      </c>
      <c r="V300" s="364">
        <v>0</v>
      </c>
      <c r="W300" s="364">
        <v>0</v>
      </c>
      <c r="X300" s="364">
        <v>0</v>
      </c>
      <c r="Y300" s="364">
        <v>0</v>
      </c>
      <c r="Z300" s="364"/>
      <c r="AA300" s="364"/>
      <c r="AB300" s="364"/>
      <c r="AC300" s="365">
        <v>2</v>
      </c>
      <c r="AD300" s="364">
        <f>U300-L300</f>
        <v>2</v>
      </c>
      <c r="AE300" s="364">
        <f t="shared" si="74"/>
        <v>0</v>
      </c>
      <c r="AF300" s="364">
        <f t="shared" si="75"/>
        <v>0</v>
      </c>
      <c r="AG300" s="364">
        <f t="shared" si="76"/>
        <v>0</v>
      </c>
      <c r="AH300" s="364">
        <f t="shared" si="77"/>
        <v>0</v>
      </c>
      <c r="AI300" s="364">
        <f t="shared" si="78"/>
        <v>0</v>
      </c>
      <c r="AJ300" s="364">
        <f t="shared" si="79"/>
        <v>0</v>
      </c>
      <c r="AK300" s="364">
        <f t="shared" si="80"/>
        <v>0</v>
      </c>
      <c r="AL300" s="348">
        <f t="shared" si="73"/>
        <v>2</v>
      </c>
      <c r="AM300" s="232"/>
      <c r="AN300" s="322">
        <v>0</v>
      </c>
      <c r="AO300" s="231">
        <v>0.5</v>
      </c>
      <c r="AP300" s="228">
        <v>0.5</v>
      </c>
      <c r="AQ300" s="231">
        <v>0.5</v>
      </c>
      <c r="AR300" s="231">
        <v>0.5</v>
      </c>
      <c r="AS300" s="231">
        <v>0</v>
      </c>
      <c r="AT300" s="231">
        <v>0</v>
      </c>
      <c r="AU300" s="323" t="s">
        <v>39</v>
      </c>
      <c r="AV300" s="231">
        <v>0</v>
      </c>
      <c r="AW300" s="231">
        <v>0</v>
      </c>
      <c r="AX300" s="231">
        <v>0</v>
      </c>
      <c r="AY300" s="231">
        <v>0</v>
      </c>
      <c r="AZ300" s="230">
        <v>0</v>
      </c>
      <c r="BA300" s="2" t="s">
        <v>1215</v>
      </c>
      <c r="BD300" s="2" t="s">
        <v>1215</v>
      </c>
    </row>
    <row r="301" spans="1:58" ht="15" customHeight="1" x14ac:dyDescent="0.25">
      <c r="A301" s="241" t="s">
        <v>978</v>
      </c>
      <c r="B301" s="2" t="s">
        <v>9</v>
      </c>
      <c r="D301" s="241" t="s">
        <v>979</v>
      </c>
      <c r="E301" s="241" t="s">
        <v>980</v>
      </c>
      <c r="H301" s="349" t="s">
        <v>1057</v>
      </c>
      <c r="I301" s="367" t="s">
        <v>1048</v>
      </c>
      <c r="J301" s="2">
        <v>516182</v>
      </c>
      <c r="K301" s="2">
        <v>173653</v>
      </c>
      <c r="L301" s="293"/>
      <c r="M301" s="364">
        <v>0</v>
      </c>
      <c r="N301" s="364">
        <v>0</v>
      </c>
      <c r="O301" s="364">
        <v>0</v>
      </c>
      <c r="P301" s="364">
        <v>0</v>
      </c>
      <c r="Q301" s="364"/>
      <c r="R301" s="364"/>
      <c r="S301" s="364"/>
      <c r="T301" s="365">
        <v>0</v>
      </c>
      <c r="U301" s="364"/>
      <c r="V301" s="364">
        <v>0</v>
      </c>
      <c r="W301" s="364">
        <v>0</v>
      </c>
      <c r="X301" s="364">
        <v>2</v>
      </c>
      <c r="Y301" s="364">
        <v>0</v>
      </c>
      <c r="Z301" s="364"/>
      <c r="AA301" s="364"/>
      <c r="AB301" s="364"/>
      <c r="AC301" s="365">
        <v>2</v>
      </c>
      <c r="AD301" s="364"/>
      <c r="AE301" s="364">
        <f t="shared" si="74"/>
        <v>0</v>
      </c>
      <c r="AF301" s="364">
        <f t="shared" si="75"/>
        <v>0</v>
      </c>
      <c r="AG301" s="364">
        <f t="shared" si="76"/>
        <v>2</v>
      </c>
      <c r="AH301" s="364">
        <f t="shared" si="77"/>
        <v>0</v>
      </c>
      <c r="AI301" s="364">
        <f t="shared" si="78"/>
        <v>0</v>
      </c>
      <c r="AJ301" s="364">
        <f t="shared" si="79"/>
        <v>0</v>
      </c>
      <c r="AK301" s="364">
        <f t="shared" si="80"/>
        <v>0</v>
      </c>
      <c r="AL301" s="348">
        <f t="shared" si="73"/>
        <v>2</v>
      </c>
      <c r="AN301" s="322">
        <v>0</v>
      </c>
      <c r="AO301" s="231">
        <v>0</v>
      </c>
      <c r="AP301" s="228">
        <v>0.66666666666666663</v>
      </c>
      <c r="AQ301" s="231">
        <v>0.66666666666666663</v>
      </c>
      <c r="AR301" s="231">
        <v>0.66666666666666663</v>
      </c>
      <c r="AS301" s="231">
        <v>0</v>
      </c>
      <c r="AT301" s="231">
        <v>0</v>
      </c>
      <c r="AU301" s="323" t="s">
        <v>39</v>
      </c>
      <c r="AV301" s="231">
        <v>0</v>
      </c>
      <c r="AW301" s="231">
        <v>0</v>
      </c>
      <c r="AX301" s="231">
        <v>0</v>
      </c>
      <c r="AY301" s="231">
        <v>0</v>
      </c>
      <c r="AZ301" s="230">
        <v>0</v>
      </c>
      <c r="BA301" s="2" t="s">
        <v>1238</v>
      </c>
      <c r="BD301" s="2" t="s">
        <v>1217</v>
      </c>
    </row>
    <row r="302" spans="1:58" ht="15" customHeight="1" x14ac:dyDescent="0.25">
      <c r="A302" s="241" t="s">
        <v>984</v>
      </c>
      <c r="B302" s="2" t="s">
        <v>9</v>
      </c>
      <c r="D302" s="241" t="s">
        <v>985</v>
      </c>
      <c r="E302" s="241" t="s">
        <v>986</v>
      </c>
      <c r="H302" s="349" t="s">
        <v>1057</v>
      </c>
      <c r="I302" s="367" t="s">
        <v>1048</v>
      </c>
      <c r="J302" s="2">
        <v>516426</v>
      </c>
      <c r="K302" s="2">
        <v>173349</v>
      </c>
      <c r="L302" s="293"/>
      <c r="M302" s="364">
        <v>0</v>
      </c>
      <c r="N302" s="364">
        <v>0</v>
      </c>
      <c r="O302" s="364">
        <v>0</v>
      </c>
      <c r="P302" s="364">
        <v>0</v>
      </c>
      <c r="Q302" s="364"/>
      <c r="R302" s="364"/>
      <c r="S302" s="364"/>
      <c r="T302" s="365">
        <v>0</v>
      </c>
      <c r="U302" s="364"/>
      <c r="V302" s="364">
        <v>0</v>
      </c>
      <c r="W302" s="364">
        <v>0</v>
      </c>
      <c r="X302" s="364">
        <v>0</v>
      </c>
      <c r="Y302" s="364">
        <v>1</v>
      </c>
      <c r="Z302" s="364"/>
      <c r="AA302" s="364"/>
      <c r="AB302" s="364"/>
      <c r="AC302" s="365">
        <v>1</v>
      </c>
      <c r="AD302" s="364"/>
      <c r="AE302" s="364">
        <f t="shared" si="74"/>
        <v>0</v>
      </c>
      <c r="AF302" s="364">
        <f t="shared" si="75"/>
        <v>0</v>
      </c>
      <c r="AG302" s="364">
        <f t="shared" si="76"/>
        <v>0</v>
      </c>
      <c r="AH302" s="364">
        <f t="shared" si="77"/>
        <v>1</v>
      </c>
      <c r="AI302" s="364">
        <f t="shared" si="78"/>
        <v>0</v>
      </c>
      <c r="AJ302" s="364">
        <f t="shared" si="79"/>
        <v>0</v>
      </c>
      <c r="AK302" s="364">
        <f t="shared" si="80"/>
        <v>0</v>
      </c>
      <c r="AL302" s="348">
        <f t="shared" si="73"/>
        <v>1</v>
      </c>
      <c r="AN302" s="322">
        <v>0</v>
      </c>
      <c r="AO302" s="231">
        <v>0</v>
      </c>
      <c r="AP302" s="228">
        <v>0.33333333333333331</v>
      </c>
      <c r="AQ302" s="231">
        <v>0.33333333333333331</v>
      </c>
      <c r="AR302" s="231">
        <v>0.33333333333333331</v>
      </c>
      <c r="AS302" s="231">
        <v>0</v>
      </c>
      <c r="AT302" s="231">
        <v>0</v>
      </c>
      <c r="AU302" s="323" t="s">
        <v>39</v>
      </c>
      <c r="AV302" s="231">
        <v>0</v>
      </c>
      <c r="AW302" s="231">
        <v>0</v>
      </c>
      <c r="AX302" s="231">
        <v>0</v>
      </c>
      <c r="AY302" s="231">
        <v>0</v>
      </c>
      <c r="AZ302" s="230">
        <v>0</v>
      </c>
      <c r="BA302" s="2" t="s">
        <v>1238</v>
      </c>
      <c r="BD302" s="2" t="s">
        <v>1217</v>
      </c>
    </row>
    <row r="303" spans="1:58" ht="15" customHeight="1" x14ac:dyDescent="0.25">
      <c r="A303" s="241" t="s">
        <v>251</v>
      </c>
      <c r="B303" s="2" t="s">
        <v>9</v>
      </c>
      <c r="D303" s="241" t="s">
        <v>252</v>
      </c>
      <c r="E303" s="241" t="s">
        <v>253</v>
      </c>
      <c r="H303" s="349" t="s">
        <v>1057</v>
      </c>
      <c r="I303" s="367" t="s">
        <v>1048</v>
      </c>
      <c r="J303" s="2">
        <v>522475</v>
      </c>
      <c r="K303" s="2">
        <v>177141</v>
      </c>
      <c r="L303" s="293"/>
      <c r="M303" s="364">
        <v>0</v>
      </c>
      <c r="N303" s="364">
        <v>0</v>
      </c>
      <c r="O303" s="364">
        <v>1</v>
      </c>
      <c r="P303" s="364">
        <v>0</v>
      </c>
      <c r="Q303" s="364"/>
      <c r="R303" s="364"/>
      <c r="S303" s="364"/>
      <c r="T303" s="365">
        <v>1</v>
      </c>
      <c r="U303" s="364"/>
      <c r="V303" s="364">
        <v>0</v>
      </c>
      <c r="W303" s="364">
        <v>0</v>
      </c>
      <c r="X303" s="364">
        <v>0</v>
      </c>
      <c r="Y303" s="364">
        <v>0</v>
      </c>
      <c r="Z303" s="372">
        <v>1</v>
      </c>
      <c r="AA303" s="364"/>
      <c r="AB303" s="364"/>
      <c r="AC303" s="365">
        <v>1</v>
      </c>
      <c r="AD303" s="364"/>
      <c r="AE303" s="364">
        <f t="shared" si="74"/>
        <v>0</v>
      </c>
      <c r="AF303" s="364">
        <f t="shared" si="75"/>
        <v>0</v>
      </c>
      <c r="AG303" s="364">
        <f t="shared" si="76"/>
        <v>-1</v>
      </c>
      <c r="AH303" s="364">
        <f t="shared" si="77"/>
        <v>0</v>
      </c>
      <c r="AI303" s="364">
        <f t="shared" si="78"/>
        <v>1</v>
      </c>
      <c r="AJ303" s="364">
        <f t="shared" si="79"/>
        <v>0</v>
      </c>
      <c r="AK303" s="364">
        <f t="shared" si="80"/>
        <v>0</v>
      </c>
      <c r="AL303" s="348">
        <f t="shared" si="73"/>
        <v>0</v>
      </c>
      <c r="AM303" s="232"/>
      <c r="AN303" s="322">
        <v>0</v>
      </c>
      <c r="AO303" s="231">
        <v>0</v>
      </c>
      <c r="AP303" s="228">
        <v>0</v>
      </c>
      <c r="AQ303" s="231">
        <v>0</v>
      </c>
      <c r="AR303" s="231">
        <v>0</v>
      </c>
      <c r="AS303" s="231">
        <v>0</v>
      </c>
      <c r="AT303" s="231">
        <v>0</v>
      </c>
      <c r="AU303" s="323">
        <v>0</v>
      </c>
      <c r="AV303" s="231">
        <v>0</v>
      </c>
      <c r="AW303" s="231">
        <v>0</v>
      </c>
      <c r="AX303" s="231">
        <v>0</v>
      </c>
      <c r="AY303" s="231">
        <v>0</v>
      </c>
      <c r="AZ303" s="230">
        <v>0</v>
      </c>
      <c r="BA303" s="2" t="s">
        <v>1225</v>
      </c>
    </row>
    <row r="304" spans="1:58" ht="15" customHeight="1" x14ac:dyDescent="0.25">
      <c r="A304" s="241" t="s">
        <v>628</v>
      </c>
      <c r="B304" s="2" t="s">
        <v>26</v>
      </c>
      <c r="C304" s="2" t="s">
        <v>1037</v>
      </c>
      <c r="D304" s="241" t="s">
        <v>1562</v>
      </c>
      <c r="E304" s="241" t="s">
        <v>629</v>
      </c>
      <c r="H304" s="349" t="s">
        <v>1057</v>
      </c>
      <c r="I304" s="367" t="s">
        <v>1048</v>
      </c>
      <c r="J304" s="2">
        <v>516208</v>
      </c>
      <c r="K304" s="2">
        <v>171077</v>
      </c>
      <c r="L304" s="293"/>
      <c r="M304" s="364">
        <v>0</v>
      </c>
      <c r="N304" s="364">
        <v>0</v>
      </c>
      <c r="O304" s="364">
        <v>0</v>
      </c>
      <c r="P304" s="364">
        <v>0</v>
      </c>
      <c r="Q304" s="364"/>
      <c r="R304" s="364"/>
      <c r="S304" s="364"/>
      <c r="T304" s="365">
        <v>0</v>
      </c>
      <c r="U304" s="364">
        <v>1</v>
      </c>
      <c r="V304" s="364">
        <v>0</v>
      </c>
      <c r="W304" s="364">
        <v>0</v>
      </c>
      <c r="X304" s="364">
        <v>0</v>
      </c>
      <c r="Y304" s="364">
        <v>0</v>
      </c>
      <c r="Z304" s="364"/>
      <c r="AA304" s="364"/>
      <c r="AB304" s="364"/>
      <c r="AC304" s="365">
        <v>1</v>
      </c>
      <c r="AD304" s="364">
        <f>U304-L304</f>
        <v>1</v>
      </c>
      <c r="AE304" s="364">
        <f t="shared" si="74"/>
        <v>0</v>
      </c>
      <c r="AF304" s="364">
        <f t="shared" si="75"/>
        <v>0</v>
      </c>
      <c r="AG304" s="364">
        <f t="shared" si="76"/>
        <v>0</v>
      </c>
      <c r="AH304" s="364">
        <f t="shared" si="77"/>
        <v>0</v>
      </c>
      <c r="AI304" s="364">
        <f t="shared" si="78"/>
        <v>0</v>
      </c>
      <c r="AJ304" s="364">
        <f t="shared" si="79"/>
        <v>0</v>
      </c>
      <c r="AK304" s="364">
        <f t="shared" si="80"/>
        <v>0</v>
      </c>
      <c r="AL304" s="348">
        <f t="shared" si="73"/>
        <v>1</v>
      </c>
      <c r="AM304" s="232"/>
      <c r="AN304" s="322">
        <v>0</v>
      </c>
      <c r="AO304" s="231">
        <v>0.25</v>
      </c>
      <c r="AP304" s="228">
        <v>0.25</v>
      </c>
      <c r="AQ304" s="231">
        <v>0.25</v>
      </c>
      <c r="AR304" s="231">
        <v>0.25</v>
      </c>
      <c r="AS304" s="231">
        <v>0</v>
      </c>
      <c r="AT304" s="231">
        <v>0</v>
      </c>
      <c r="AU304" s="323" t="s">
        <v>39</v>
      </c>
      <c r="AV304" s="231">
        <v>0</v>
      </c>
      <c r="AW304" s="231">
        <v>0</v>
      </c>
      <c r="AX304" s="231">
        <v>0</v>
      </c>
      <c r="AY304" s="231">
        <v>0</v>
      </c>
      <c r="AZ304" s="230">
        <v>0</v>
      </c>
      <c r="BA304" s="2" t="s">
        <v>1215</v>
      </c>
      <c r="BD304" s="2" t="s">
        <v>1215</v>
      </c>
    </row>
    <row r="305" spans="1:57" ht="15" customHeight="1" x14ac:dyDescent="0.25">
      <c r="A305" s="241" t="s">
        <v>660</v>
      </c>
      <c r="B305" s="2" t="s">
        <v>26</v>
      </c>
      <c r="D305" s="241" t="s">
        <v>661</v>
      </c>
      <c r="E305" s="241" t="s">
        <v>662</v>
      </c>
      <c r="H305" s="349" t="s">
        <v>1057</v>
      </c>
      <c r="I305" s="367" t="s">
        <v>1048</v>
      </c>
      <c r="J305" s="2">
        <v>515091</v>
      </c>
      <c r="K305" s="2">
        <v>171518</v>
      </c>
      <c r="L305" s="293"/>
      <c r="M305" s="364">
        <v>1</v>
      </c>
      <c r="N305" s="364">
        <v>0</v>
      </c>
      <c r="O305" s="364">
        <v>0</v>
      </c>
      <c r="P305" s="364">
        <v>0</v>
      </c>
      <c r="Q305" s="364"/>
      <c r="R305" s="364"/>
      <c r="S305" s="364"/>
      <c r="T305" s="365">
        <v>1</v>
      </c>
      <c r="U305" s="364"/>
      <c r="V305" s="364">
        <v>0</v>
      </c>
      <c r="W305" s="364">
        <v>0</v>
      </c>
      <c r="X305" s="364">
        <v>0</v>
      </c>
      <c r="Y305" s="364">
        <v>0</v>
      </c>
      <c r="Z305" s="364"/>
      <c r="AA305" s="364"/>
      <c r="AB305" s="364"/>
      <c r="AC305" s="365">
        <v>0</v>
      </c>
      <c r="AD305" s="364"/>
      <c r="AE305" s="364">
        <f t="shared" si="74"/>
        <v>-1</v>
      </c>
      <c r="AF305" s="364">
        <f t="shared" si="75"/>
        <v>0</v>
      </c>
      <c r="AG305" s="364">
        <f t="shared" si="76"/>
        <v>0</v>
      </c>
      <c r="AH305" s="364">
        <f t="shared" si="77"/>
        <v>0</v>
      </c>
      <c r="AI305" s="364">
        <f t="shared" si="78"/>
        <v>0</v>
      </c>
      <c r="AJ305" s="364">
        <f t="shared" si="79"/>
        <v>0</v>
      </c>
      <c r="AK305" s="364">
        <f t="shared" si="80"/>
        <v>0</v>
      </c>
      <c r="AL305" s="348">
        <f t="shared" si="73"/>
        <v>-1</v>
      </c>
      <c r="AM305" s="232"/>
      <c r="AN305" s="322">
        <v>0</v>
      </c>
      <c r="AO305" s="231">
        <v>-0.25</v>
      </c>
      <c r="AP305" s="228">
        <v>-0.25</v>
      </c>
      <c r="AQ305" s="231">
        <v>-0.25</v>
      </c>
      <c r="AR305" s="231">
        <v>-0.25</v>
      </c>
      <c r="AS305" s="231">
        <v>0</v>
      </c>
      <c r="AT305" s="231">
        <v>0</v>
      </c>
      <c r="AU305" s="323" t="s">
        <v>39</v>
      </c>
      <c r="AV305" s="231">
        <v>0</v>
      </c>
      <c r="AW305" s="231">
        <v>0</v>
      </c>
      <c r="AX305" s="231">
        <v>0</v>
      </c>
      <c r="AY305" s="231">
        <v>0</v>
      </c>
      <c r="AZ305" s="230">
        <v>0</v>
      </c>
      <c r="BA305" s="2" t="s">
        <v>1265</v>
      </c>
      <c r="BC305" s="2" t="s">
        <v>1435</v>
      </c>
    </row>
    <row r="306" spans="1:57" ht="15" customHeight="1" x14ac:dyDescent="0.25">
      <c r="A306" s="241" t="s">
        <v>751</v>
      </c>
      <c r="B306" s="2" t="s">
        <v>9</v>
      </c>
      <c r="D306" s="241" t="s">
        <v>752</v>
      </c>
      <c r="E306" s="241" t="s">
        <v>753</v>
      </c>
      <c r="H306" s="349" t="s">
        <v>1057</v>
      </c>
      <c r="I306" s="367" t="s">
        <v>1048</v>
      </c>
      <c r="J306" s="2">
        <v>514975</v>
      </c>
      <c r="K306" s="2">
        <v>171285</v>
      </c>
      <c r="L306" s="293"/>
      <c r="M306" s="364">
        <v>0</v>
      </c>
      <c r="N306" s="364">
        <v>0</v>
      </c>
      <c r="O306" s="364">
        <v>0</v>
      </c>
      <c r="P306" s="364">
        <v>0</v>
      </c>
      <c r="Q306" s="364"/>
      <c r="R306" s="364"/>
      <c r="S306" s="364"/>
      <c r="T306" s="365">
        <v>0</v>
      </c>
      <c r="U306" s="364"/>
      <c r="V306" s="364">
        <v>0</v>
      </c>
      <c r="W306" s="364">
        <v>1</v>
      </c>
      <c r="X306" s="364">
        <v>1</v>
      </c>
      <c r="Y306" s="364">
        <v>0</v>
      </c>
      <c r="Z306" s="364"/>
      <c r="AA306" s="364"/>
      <c r="AB306" s="364"/>
      <c r="AC306" s="365">
        <v>2</v>
      </c>
      <c r="AD306" s="364"/>
      <c r="AE306" s="364">
        <f t="shared" si="74"/>
        <v>0</v>
      </c>
      <c r="AF306" s="364">
        <f t="shared" si="75"/>
        <v>1</v>
      </c>
      <c r="AG306" s="364">
        <f t="shared" si="76"/>
        <v>1</v>
      </c>
      <c r="AH306" s="364">
        <f t="shared" si="77"/>
        <v>0</v>
      </c>
      <c r="AI306" s="364">
        <f t="shared" si="78"/>
        <v>0</v>
      </c>
      <c r="AJ306" s="364">
        <f t="shared" si="79"/>
        <v>0</v>
      </c>
      <c r="AK306" s="364">
        <f t="shared" si="80"/>
        <v>0</v>
      </c>
      <c r="AL306" s="348">
        <f t="shared" si="73"/>
        <v>2</v>
      </c>
      <c r="AM306" s="232"/>
      <c r="AN306" s="322">
        <v>0</v>
      </c>
      <c r="AO306" s="231">
        <v>0</v>
      </c>
      <c r="AP306" s="228">
        <v>0.66666666666666663</v>
      </c>
      <c r="AQ306" s="231">
        <v>0.66666666666666663</v>
      </c>
      <c r="AR306" s="231">
        <v>0.66666666666666663</v>
      </c>
      <c r="AS306" s="231">
        <v>0</v>
      </c>
      <c r="AT306" s="231">
        <v>0</v>
      </c>
      <c r="AU306" s="323" t="s">
        <v>39</v>
      </c>
      <c r="AV306" s="231">
        <v>0</v>
      </c>
      <c r="AW306" s="231">
        <v>0</v>
      </c>
      <c r="AX306" s="231">
        <v>0</v>
      </c>
      <c r="AY306" s="231">
        <v>0</v>
      </c>
      <c r="AZ306" s="230">
        <v>0</v>
      </c>
      <c r="BA306" s="2" t="s">
        <v>1265</v>
      </c>
    </row>
    <row r="307" spans="1:57" ht="15" customHeight="1" x14ac:dyDescent="0.25">
      <c r="A307" s="241" t="s">
        <v>941</v>
      </c>
      <c r="B307" s="2" t="s">
        <v>5</v>
      </c>
      <c r="D307" s="241" t="s">
        <v>942</v>
      </c>
      <c r="E307" s="241" t="s">
        <v>943</v>
      </c>
      <c r="H307" s="349" t="s">
        <v>1057</v>
      </c>
      <c r="I307" s="367" t="s">
        <v>1048</v>
      </c>
      <c r="J307" s="2">
        <v>514174</v>
      </c>
      <c r="K307" s="2">
        <v>173697</v>
      </c>
      <c r="L307" s="293"/>
      <c r="M307" s="364">
        <v>0</v>
      </c>
      <c r="N307" s="364">
        <v>0</v>
      </c>
      <c r="O307" s="364">
        <v>1</v>
      </c>
      <c r="P307" s="364">
        <v>0</v>
      </c>
      <c r="Q307" s="364"/>
      <c r="R307" s="364"/>
      <c r="S307" s="364"/>
      <c r="T307" s="365">
        <v>1</v>
      </c>
      <c r="U307" s="364"/>
      <c r="V307" s="364">
        <v>2</v>
      </c>
      <c r="W307" s="364">
        <v>0</v>
      </c>
      <c r="X307" s="364">
        <v>0</v>
      </c>
      <c r="Y307" s="364">
        <v>0</v>
      </c>
      <c r="Z307" s="364"/>
      <c r="AA307" s="364"/>
      <c r="AB307" s="364"/>
      <c r="AC307" s="365">
        <v>2</v>
      </c>
      <c r="AD307" s="364"/>
      <c r="AE307" s="364">
        <f t="shared" si="74"/>
        <v>2</v>
      </c>
      <c r="AF307" s="364">
        <f t="shared" si="75"/>
        <v>0</v>
      </c>
      <c r="AG307" s="364">
        <f t="shared" si="76"/>
        <v>-1</v>
      </c>
      <c r="AH307" s="364">
        <f t="shared" si="77"/>
        <v>0</v>
      </c>
      <c r="AI307" s="364">
        <f t="shared" si="78"/>
        <v>0</v>
      </c>
      <c r="AJ307" s="364">
        <f t="shared" si="79"/>
        <v>0</v>
      </c>
      <c r="AK307" s="364">
        <f t="shared" si="80"/>
        <v>0</v>
      </c>
      <c r="AL307" s="348">
        <f t="shared" si="73"/>
        <v>1</v>
      </c>
      <c r="AN307" s="322">
        <v>0</v>
      </c>
      <c r="AO307" s="231">
        <v>0.25</v>
      </c>
      <c r="AP307" s="228">
        <v>0.25</v>
      </c>
      <c r="AQ307" s="231">
        <v>0.25</v>
      </c>
      <c r="AR307" s="231">
        <v>0.25</v>
      </c>
      <c r="AS307" s="231">
        <v>0</v>
      </c>
      <c r="AT307" s="231">
        <v>0</v>
      </c>
      <c r="AU307" s="323" t="s">
        <v>39</v>
      </c>
      <c r="AV307" s="231">
        <v>0</v>
      </c>
      <c r="AW307" s="231">
        <v>0</v>
      </c>
      <c r="AX307" s="231">
        <v>0</v>
      </c>
      <c r="AY307" s="231">
        <v>0</v>
      </c>
      <c r="AZ307" s="230">
        <v>0</v>
      </c>
      <c r="BA307" s="2" t="s">
        <v>1219</v>
      </c>
      <c r="BD307" s="2" t="s">
        <v>1219</v>
      </c>
    </row>
    <row r="308" spans="1:57" ht="15" customHeight="1" x14ac:dyDescent="0.25">
      <c r="A308" s="241" t="s">
        <v>311</v>
      </c>
      <c r="B308" s="2" t="s">
        <v>60</v>
      </c>
      <c r="D308" s="241" t="s">
        <v>1563</v>
      </c>
      <c r="E308" s="241" t="s">
        <v>312</v>
      </c>
      <c r="H308" s="349" t="s">
        <v>1057</v>
      </c>
      <c r="I308" s="367" t="s">
        <v>1048</v>
      </c>
      <c r="J308" s="2">
        <v>521762</v>
      </c>
      <c r="K308" s="2">
        <v>176415</v>
      </c>
      <c r="L308" s="293"/>
      <c r="M308" s="364">
        <v>1</v>
      </c>
      <c r="N308" s="364">
        <v>2</v>
      </c>
      <c r="O308" s="364">
        <v>0</v>
      </c>
      <c r="P308" s="364">
        <v>0</v>
      </c>
      <c r="Q308" s="364"/>
      <c r="R308" s="364"/>
      <c r="S308" s="364"/>
      <c r="T308" s="365">
        <v>3</v>
      </c>
      <c r="U308" s="364">
        <v>3</v>
      </c>
      <c r="V308" s="364">
        <v>2</v>
      </c>
      <c r="W308" s="364">
        <v>2</v>
      </c>
      <c r="X308" s="364">
        <v>0</v>
      </c>
      <c r="Y308" s="364">
        <v>0</v>
      </c>
      <c r="Z308" s="364"/>
      <c r="AA308" s="364"/>
      <c r="AB308" s="364"/>
      <c r="AC308" s="365">
        <v>7</v>
      </c>
      <c r="AD308" s="364">
        <f>U308-L308</f>
        <v>3</v>
      </c>
      <c r="AE308" s="364">
        <f t="shared" si="74"/>
        <v>1</v>
      </c>
      <c r="AF308" s="364">
        <f t="shared" si="75"/>
        <v>0</v>
      </c>
      <c r="AG308" s="364">
        <f t="shared" si="76"/>
        <v>0</v>
      </c>
      <c r="AH308" s="364">
        <f t="shared" si="77"/>
        <v>0</v>
      </c>
      <c r="AI308" s="364">
        <f t="shared" si="78"/>
        <v>0</v>
      </c>
      <c r="AJ308" s="364">
        <f t="shared" si="79"/>
        <v>0</v>
      </c>
      <c r="AK308" s="364">
        <f t="shared" si="80"/>
        <v>0</v>
      </c>
      <c r="AL308" s="348">
        <f t="shared" si="73"/>
        <v>4</v>
      </c>
      <c r="AM308" s="232"/>
      <c r="AN308" s="322">
        <v>0</v>
      </c>
      <c r="AO308" s="231">
        <v>0</v>
      </c>
      <c r="AP308" s="228">
        <v>1.3333333333333333</v>
      </c>
      <c r="AQ308" s="231">
        <v>1.3333333333333333</v>
      </c>
      <c r="AR308" s="231">
        <v>1.3333333333333333</v>
      </c>
      <c r="AS308" s="231">
        <v>0</v>
      </c>
      <c r="AT308" s="231">
        <v>0</v>
      </c>
      <c r="AU308" s="323" t="s">
        <v>39</v>
      </c>
      <c r="AV308" s="231">
        <v>0</v>
      </c>
      <c r="AW308" s="231">
        <v>0</v>
      </c>
      <c r="AX308" s="231">
        <v>0</v>
      </c>
      <c r="AY308" s="231">
        <v>0</v>
      </c>
      <c r="AZ308" s="230">
        <v>0</v>
      </c>
      <c r="BA308" s="2" t="s">
        <v>1225</v>
      </c>
      <c r="BC308" s="2" t="s">
        <v>1432</v>
      </c>
    </row>
    <row r="309" spans="1:57" ht="15" customHeight="1" x14ac:dyDescent="0.25">
      <c r="A309" s="241" t="s">
        <v>477</v>
      </c>
      <c r="B309" s="2" t="s">
        <v>9</v>
      </c>
      <c r="D309" s="241" t="s">
        <v>478</v>
      </c>
      <c r="E309" s="241" t="s">
        <v>479</v>
      </c>
      <c r="H309" s="349" t="s">
        <v>1057</v>
      </c>
      <c r="I309" s="367" t="s">
        <v>1048</v>
      </c>
      <c r="J309" s="2">
        <v>517808</v>
      </c>
      <c r="K309" s="2">
        <v>173353</v>
      </c>
      <c r="L309" s="293"/>
      <c r="M309" s="364">
        <v>0</v>
      </c>
      <c r="N309" s="364">
        <v>0</v>
      </c>
      <c r="O309" s="364">
        <v>0</v>
      </c>
      <c r="P309" s="364">
        <v>0</v>
      </c>
      <c r="Q309" s="364"/>
      <c r="R309" s="364"/>
      <c r="S309" s="364"/>
      <c r="T309" s="365">
        <v>0</v>
      </c>
      <c r="U309" s="364"/>
      <c r="V309" s="364">
        <v>0</v>
      </c>
      <c r="W309" s="364">
        <v>0</v>
      </c>
      <c r="X309" s="364">
        <v>1</v>
      </c>
      <c r="Y309" s="364">
        <v>0</v>
      </c>
      <c r="Z309" s="364"/>
      <c r="AA309" s="364"/>
      <c r="AB309" s="364"/>
      <c r="AC309" s="365">
        <v>1</v>
      </c>
      <c r="AD309" s="364"/>
      <c r="AE309" s="364">
        <f t="shared" si="74"/>
        <v>0</v>
      </c>
      <c r="AF309" s="364">
        <f t="shared" si="75"/>
        <v>0</v>
      </c>
      <c r="AG309" s="364">
        <f t="shared" si="76"/>
        <v>1</v>
      </c>
      <c r="AH309" s="364">
        <f t="shared" si="77"/>
        <v>0</v>
      </c>
      <c r="AI309" s="364">
        <f t="shared" si="78"/>
        <v>0</v>
      </c>
      <c r="AJ309" s="364">
        <f t="shared" si="79"/>
        <v>0</v>
      </c>
      <c r="AK309" s="364">
        <f t="shared" si="80"/>
        <v>0</v>
      </c>
      <c r="AL309" s="348">
        <f t="shared" si="73"/>
        <v>1</v>
      </c>
      <c r="AM309" s="232"/>
      <c r="AN309" s="322">
        <v>0</v>
      </c>
      <c r="AO309" s="231">
        <v>0</v>
      </c>
      <c r="AP309" s="228">
        <v>0.33333333333333331</v>
      </c>
      <c r="AQ309" s="231">
        <v>0.33333333333333331</v>
      </c>
      <c r="AR309" s="231">
        <v>0.33333333333333331</v>
      </c>
      <c r="AS309" s="231">
        <v>0</v>
      </c>
      <c r="AT309" s="231">
        <v>0</v>
      </c>
      <c r="AU309" s="323" t="s">
        <v>39</v>
      </c>
      <c r="AV309" s="231">
        <v>0</v>
      </c>
      <c r="AW309" s="231">
        <v>0</v>
      </c>
      <c r="AX309" s="231">
        <v>0</v>
      </c>
      <c r="AY309" s="231">
        <v>0</v>
      </c>
      <c r="AZ309" s="230">
        <v>0</v>
      </c>
      <c r="BA309" s="2" t="s">
        <v>1443</v>
      </c>
      <c r="BE309" s="2" t="s">
        <v>1214</v>
      </c>
    </row>
    <row r="310" spans="1:57" ht="15" customHeight="1" x14ac:dyDescent="0.25">
      <c r="A310" s="241" t="s">
        <v>370</v>
      </c>
      <c r="B310" s="2" t="s">
        <v>26</v>
      </c>
      <c r="C310" s="2" t="s">
        <v>1037</v>
      </c>
      <c r="D310" s="241" t="s">
        <v>371</v>
      </c>
      <c r="E310" s="241" t="s">
        <v>372</v>
      </c>
      <c r="H310" s="349" t="s">
        <v>1057</v>
      </c>
      <c r="I310" s="367" t="s">
        <v>1048</v>
      </c>
      <c r="J310" s="2">
        <v>520442</v>
      </c>
      <c r="K310" s="2">
        <v>175588</v>
      </c>
      <c r="L310" s="293"/>
      <c r="M310" s="364">
        <v>0</v>
      </c>
      <c r="N310" s="364">
        <v>0</v>
      </c>
      <c r="O310" s="364">
        <v>0</v>
      </c>
      <c r="P310" s="364">
        <v>0</v>
      </c>
      <c r="Q310" s="364"/>
      <c r="R310" s="364"/>
      <c r="S310" s="364"/>
      <c r="T310" s="365">
        <v>0</v>
      </c>
      <c r="U310" s="364"/>
      <c r="V310" s="364">
        <v>6</v>
      </c>
      <c r="W310" s="364">
        <v>0</v>
      </c>
      <c r="X310" s="364">
        <v>0</v>
      </c>
      <c r="Y310" s="364">
        <v>0</v>
      </c>
      <c r="Z310" s="364"/>
      <c r="AA310" s="364"/>
      <c r="AB310" s="364"/>
      <c r="AC310" s="365">
        <v>6</v>
      </c>
      <c r="AD310" s="364"/>
      <c r="AE310" s="364">
        <f t="shared" si="74"/>
        <v>6</v>
      </c>
      <c r="AF310" s="364">
        <f t="shared" si="75"/>
        <v>0</v>
      </c>
      <c r="AG310" s="364">
        <f t="shared" si="76"/>
        <v>0</v>
      </c>
      <c r="AH310" s="364">
        <f t="shared" si="77"/>
        <v>0</v>
      </c>
      <c r="AI310" s="364">
        <f t="shared" si="78"/>
        <v>0</v>
      </c>
      <c r="AJ310" s="364">
        <f t="shared" si="79"/>
        <v>0</v>
      </c>
      <c r="AK310" s="364">
        <f t="shared" si="80"/>
        <v>0</v>
      </c>
      <c r="AL310" s="348">
        <f t="shared" ref="AL310:AL341" si="81">AC310-T310</f>
        <v>6</v>
      </c>
      <c r="AM310" s="232"/>
      <c r="AN310" s="322">
        <v>0</v>
      </c>
      <c r="AO310" s="231">
        <v>1.5</v>
      </c>
      <c r="AP310" s="228">
        <v>1.5</v>
      </c>
      <c r="AQ310" s="231">
        <v>1.5</v>
      </c>
      <c r="AR310" s="231">
        <v>1.5</v>
      </c>
      <c r="AS310" s="231">
        <v>0</v>
      </c>
      <c r="AT310" s="231">
        <v>0</v>
      </c>
      <c r="AU310" s="323" t="s">
        <v>39</v>
      </c>
      <c r="AV310" s="231">
        <v>0</v>
      </c>
      <c r="AW310" s="231">
        <v>0</v>
      </c>
      <c r="AX310" s="231">
        <v>0</v>
      </c>
      <c r="AY310" s="231">
        <v>0</v>
      </c>
      <c r="AZ310" s="230">
        <v>0</v>
      </c>
      <c r="BA310" s="2" t="s">
        <v>1212</v>
      </c>
    </row>
    <row r="311" spans="1:57" ht="15" customHeight="1" x14ac:dyDescent="0.25">
      <c r="A311" s="241" t="s">
        <v>284</v>
      </c>
      <c r="B311" s="2" t="s">
        <v>9</v>
      </c>
      <c r="D311" s="241" t="s">
        <v>285</v>
      </c>
      <c r="E311" s="241" t="s">
        <v>286</v>
      </c>
      <c r="H311" s="349" t="s">
        <v>1057</v>
      </c>
      <c r="I311" s="367" t="s">
        <v>1048</v>
      </c>
      <c r="J311" s="2">
        <v>521893</v>
      </c>
      <c r="K311" s="2">
        <v>177129</v>
      </c>
      <c r="L311" s="293"/>
      <c r="M311" s="364">
        <v>0</v>
      </c>
      <c r="N311" s="364">
        <v>0</v>
      </c>
      <c r="O311" s="364">
        <v>1</v>
      </c>
      <c r="P311" s="364">
        <v>0</v>
      </c>
      <c r="Q311" s="364"/>
      <c r="R311" s="364"/>
      <c r="S311" s="364"/>
      <c r="T311" s="365">
        <v>1</v>
      </c>
      <c r="U311" s="364"/>
      <c r="V311" s="364">
        <v>0</v>
      </c>
      <c r="W311" s="364">
        <v>0</v>
      </c>
      <c r="X311" s="364">
        <v>0</v>
      </c>
      <c r="Y311" s="364">
        <v>1</v>
      </c>
      <c r="Z311" s="364"/>
      <c r="AA311" s="364"/>
      <c r="AB311" s="364"/>
      <c r="AC311" s="365">
        <v>1</v>
      </c>
      <c r="AD311" s="364"/>
      <c r="AE311" s="364">
        <f t="shared" si="74"/>
        <v>0</v>
      </c>
      <c r="AF311" s="364">
        <f t="shared" si="75"/>
        <v>0</v>
      </c>
      <c r="AG311" s="364">
        <f t="shared" si="76"/>
        <v>-1</v>
      </c>
      <c r="AH311" s="364">
        <f t="shared" si="77"/>
        <v>1</v>
      </c>
      <c r="AI311" s="364">
        <f t="shared" si="78"/>
        <v>0</v>
      </c>
      <c r="AJ311" s="364">
        <f t="shared" si="79"/>
        <v>0</v>
      </c>
      <c r="AK311" s="364">
        <f t="shared" si="80"/>
        <v>0</v>
      </c>
      <c r="AL311" s="348">
        <f t="shared" si="81"/>
        <v>0</v>
      </c>
      <c r="AM311" s="232"/>
      <c r="AN311" s="322">
        <v>0</v>
      </c>
      <c r="AO311" s="231">
        <v>0</v>
      </c>
      <c r="AP311" s="228">
        <v>0</v>
      </c>
      <c r="AQ311" s="231">
        <v>0</v>
      </c>
      <c r="AR311" s="231">
        <v>0</v>
      </c>
      <c r="AS311" s="231">
        <v>0</v>
      </c>
      <c r="AT311" s="231">
        <v>0</v>
      </c>
      <c r="AU311" s="323">
        <v>0</v>
      </c>
      <c r="AV311" s="231">
        <v>0</v>
      </c>
      <c r="AW311" s="231">
        <v>0</v>
      </c>
      <c r="AX311" s="231">
        <v>0</v>
      </c>
      <c r="AY311" s="231">
        <v>0</v>
      </c>
      <c r="AZ311" s="230">
        <v>0</v>
      </c>
      <c r="BA311" s="2" t="s">
        <v>1225</v>
      </c>
    </row>
    <row r="312" spans="1:57" ht="15" customHeight="1" x14ac:dyDescent="0.25">
      <c r="A312" s="241" t="s">
        <v>686</v>
      </c>
      <c r="B312" s="2" t="s">
        <v>26</v>
      </c>
      <c r="C312" s="2" t="s">
        <v>1037</v>
      </c>
      <c r="D312" s="241" t="s">
        <v>684</v>
      </c>
      <c r="E312" s="241" t="s">
        <v>687</v>
      </c>
      <c r="H312" s="349" t="s">
        <v>1057</v>
      </c>
      <c r="I312" s="367" t="s">
        <v>1048</v>
      </c>
      <c r="J312" s="2">
        <v>515664</v>
      </c>
      <c r="K312" s="2">
        <v>171121</v>
      </c>
      <c r="L312" s="293"/>
      <c r="M312" s="364">
        <v>0</v>
      </c>
      <c r="N312" s="364">
        <v>0</v>
      </c>
      <c r="O312" s="364">
        <v>0</v>
      </c>
      <c r="P312" s="364">
        <v>0</v>
      </c>
      <c r="Q312" s="364"/>
      <c r="R312" s="364"/>
      <c r="S312" s="364"/>
      <c r="T312" s="365">
        <v>0</v>
      </c>
      <c r="U312" s="364"/>
      <c r="V312" s="364">
        <v>0</v>
      </c>
      <c r="W312" s="364">
        <v>1</v>
      </c>
      <c r="X312" s="364">
        <v>1</v>
      </c>
      <c r="Y312" s="364">
        <v>0</v>
      </c>
      <c r="Z312" s="364"/>
      <c r="AA312" s="364"/>
      <c r="AB312" s="364"/>
      <c r="AC312" s="365">
        <v>2</v>
      </c>
      <c r="AD312" s="364"/>
      <c r="AE312" s="364">
        <f t="shared" si="74"/>
        <v>0</v>
      </c>
      <c r="AF312" s="364">
        <f t="shared" si="75"/>
        <v>1</v>
      </c>
      <c r="AG312" s="364">
        <f t="shared" si="76"/>
        <v>1</v>
      </c>
      <c r="AH312" s="364">
        <f t="shared" si="77"/>
        <v>0</v>
      </c>
      <c r="AI312" s="364">
        <f t="shared" si="78"/>
        <v>0</v>
      </c>
      <c r="AJ312" s="364">
        <f t="shared" si="79"/>
        <v>0</v>
      </c>
      <c r="AK312" s="364">
        <f t="shared" si="80"/>
        <v>0</v>
      </c>
      <c r="AL312" s="348">
        <f t="shared" si="81"/>
        <v>2</v>
      </c>
      <c r="AM312" s="232"/>
      <c r="AN312" s="322">
        <v>0</v>
      </c>
      <c r="AO312" s="231">
        <v>0.5</v>
      </c>
      <c r="AP312" s="228">
        <v>0.5</v>
      </c>
      <c r="AQ312" s="231">
        <v>0.5</v>
      </c>
      <c r="AR312" s="231">
        <v>0.5</v>
      </c>
      <c r="AS312" s="231">
        <v>0</v>
      </c>
      <c r="AT312" s="231">
        <v>0</v>
      </c>
      <c r="AU312" s="323" t="s">
        <v>39</v>
      </c>
      <c r="AV312" s="231">
        <v>0</v>
      </c>
      <c r="AW312" s="231">
        <v>0</v>
      </c>
      <c r="AX312" s="231">
        <v>0</v>
      </c>
      <c r="AY312" s="231">
        <v>0</v>
      </c>
      <c r="AZ312" s="230">
        <v>0</v>
      </c>
      <c r="BA312" s="2" t="s">
        <v>1215</v>
      </c>
    </row>
    <row r="313" spans="1:57" ht="15" customHeight="1" x14ac:dyDescent="0.25">
      <c r="A313" s="241" t="s">
        <v>1495</v>
      </c>
      <c r="B313" s="2" t="s">
        <v>60</v>
      </c>
      <c r="D313" s="241" t="s">
        <v>1497</v>
      </c>
      <c r="E313" s="241" t="s">
        <v>1496</v>
      </c>
      <c r="F313" s="371"/>
      <c r="G313" s="318"/>
      <c r="H313" s="358" t="s">
        <v>1057</v>
      </c>
      <c r="I313" s="367" t="s">
        <v>1048</v>
      </c>
      <c r="J313" s="2">
        <v>515746</v>
      </c>
      <c r="K313" s="2">
        <v>173156</v>
      </c>
      <c r="L313" s="293"/>
      <c r="M313" s="364">
        <v>0</v>
      </c>
      <c r="N313" s="364">
        <v>0</v>
      </c>
      <c r="O313" s="364">
        <v>1</v>
      </c>
      <c r="P313" s="364">
        <v>0</v>
      </c>
      <c r="Q313" s="364"/>
      <c r="R313" s="364"/>
      <c r="S313" s="364"/>
      <c r="T313" s="365">
        <v>1</v>
      </c>
      <c r="U313" s="364">
        <v>1</v>
      </c>
      <c r="V313" s="364">
        <v>0</v>
      </c>
      <c r="W313" s="364">
        <v>2</v>
      </c>
      <c r="X313" s="364">
        <v>0</v>
      </c>
      <c r="Y313" s="364">
        <v>0</v>
      </c>
      <c r="Z313" s="364"/>
      <c r="AA313" s="364"/>
      <c r="AB313" s="364"/>
      <c r="AC313" s="365">
        <v>3</v>
      </c>
      <c r="AD313" s="364">
        <f>U313-L313</f>
        <v>1</v>
      </c>
      <c r="AE313" s="364">
        <f>V313-M313</f>
        <v>0</v>
      </c>
      <c r="AF313" s="364">
        <f>W313-N313</f>
        <v>2</v>
      </c>
      <c r="AG313" s="364">
        <f>X313-O313</f>
        <v>-1</v>
      </c>
      <c r="AH313" s="364">
        <f>Y313-P313</f>
        <v>0</v>
      </c>
      <c r="AI313" s="364">
        <v>0</v>
      </c>
      <c r="AJ313" s="364">
        <v>0</v>
      </c>
      <c r="AK313" s="364">
        <v>0</v>
      </c>
      <c r="AL313" s="348">
        <f t="shared" si="81"/>
        <v>2</v>
      </c>
      <c r="AM313" s="369"/>
      <c r="AN313" s="322">
        <v>0</v>
      </c>
      <c r="AO313" s="231">
        <v>0.5</v>
      </c>
      <c r="AP313" s="228">
        <v>0.5</v>
      </c>
      <c r="AQ313" s="231">
        <v>0.5</v>
      </c>
      <c r="AR313" s="231">
        <v>0.5</v>
      </c>
      <c r="AS313" s="231">
        <v>0</v>
      </c>
      <c r="AT313" s="231">
        <v>0</v>
      </c>
      <c r="AU313" s="323" t="s">
        <v>39</v>
      </c>
      <c r="AV313" s="231">
        <v>0</v>
      </c>
      <c r="AW313" s="231">
        <v>0</v>
      </c>
      <c r="AX313" s="231">
        <v>0</v>
      </c>
      <c r="AY313" s="231">
        <v>0</v>
      </c>
      <c r="AZ313" s="230">
        <v>0</v>
      </c>
      <c r="BA313" s="2" t="s">
        <v>1238</v>
      </c>
      <c r="BD313" s="2" t="s">
        <v>1217</v>
      </c>
    </row>
    <row r="314" spans="1:57" ht="15" customHeight="1" x14ac:dyDescent="0.25">
      <c r="A314" s="241" t="s">
        <v>999</v>
      </c>
      <c r="B314" s="2" t="s">
        <v>9</v>
      </c>
      <c r="D314" s="241" t="s">
        <v>1000</v>
      </c>
      <c r="E314" s="241" t="s">
        <v>1001</v>
      </c>
      <c r="H314" s="349" t="s">
        <v>1057</v>
      </c>
      <c r="I314" s="367" t="s">
        <v>1048</v>
      </c>
      <c r="J314" s="2">
        <v>518028</v>
      </c>
      <c r="K314" s="2">
        <v>175050</v>
      </c>
      <c r="L314" s="293"/>
      <c r="M314" s="364">
        <v>0</v>
      </c>
      <c r="N314" s="364">
        <v>0</v>
      </c>
      <c r="O314" s="364">
        <v>0</v>
      </c>
      <c r="P314" s="364">
        <v>0</v>
      </c>
      <c r="Q314" s="364"/>
      <c r="R314" s="364"/>
      <c r="S314" s="364"/>
      <c r="T314" s="365">
        <v>0</v>
      </c>
      <c r="U314" s="364"/>
      <c r="V314" s="364">
        <v>0</v>
      </c>
      <c r="W314" s="364">
        <v>2</v>
      </c>
      <c r="X314" s="364">
        <v>0</v>
      </c>
      <c r="Y314" s="364">
        <v>0</v>
      </c>
      <c r="Z314" s="364"/>
      <c r="AA314" s="364"/>
      <c r="AB314" s="364"/>
      <c r="AC314" s="365">
        <v>2</v>
      </c>
      <c r="AD314" s="364"/>
      <c r="AE314" s="364">
        <f t="shared" ref="AE314:AE345" si="82">V314-M314</f>
        <v>0</v>
      </c>
      <c r="AF314" s="364">
        <f t="shared" ref="AF314:AF345" si="83">W314-N314</f>
        <v>2</v>
      </c>
      <c r="AG314" s="364">
        <f t="shared" ref="AG314:AG345" si="84">X314-O314</f>
        <v>0</v>
      </c>
      <c r="AH314" s="364">
        <f t="shared" ref="AH314:AH345" si="85">Y314-P314</f>
        <v>0</v>
      </c>
      <c r="AI314" s="364">
        <f t="shared" ref="AI314:AI345" si="86">Z314-Q314</f>
        <v>0</v>
      </c>
      <c r="AJ314" s="364">
        <f t="shared" ref="AJ314:AJ345" si="87">AA314-R314</f>
        <v>0</v>
      </c>
      <c r="AK314" s="364">
        <f t="shared" ref="AK314:AK345" si="88">AB314-S314</f>
        <v>0</v>
      </c>
      <c r="AL314" s="348">
        <f t="shared" si="81"/>
        <v>2</v>
      </c>
      <c r="AN314" s="322">
        <v>0</v>
      </c>
      <c r="AO314" s="231">
        <v>0</v>
      </c>
      <c r="AP314" s="228">
        <v>0.66666666666666663</v>
      </c>
      <c r="AQ314" s="231">
        <v>0.66666666666666663</v>
      </c>
      <c r="AR314" s="231">
        <v>0.66666666666666663</v>
      </c>
      <c r="AS314" s="231">
        <v>0</v>
      </c>
      <c r="AT314" s="231">
        <v>0</v>
      </c>
      <c r="AU314" s="323" t="s">
        <v>39</v>
      </c>
      <c r="AV314" s="231">
        <v>0</v>
      </c>
      <c r="AW314" s="231">
        <v>0</v>
      </c>
      <c r="AX314" s="231">
        <v>0</v>
      </c>
      <c r="AY314" s="231">
        <v>0</v>
      </c>
      <c r="AZ314" s="230">
        <v>0</v>
      </c>
      <c r="BA314" s="2" t="s">
        <v>1235</v>
      </c>
      <c r="BD314" s="2" t="s">
        <v>1213</v>
      </c>
    </row>
    <row r="315" spans="1:57" ht="15" customHeight="1" x14ac:dyDescent="0.25">
      <c r="A315" s="241" t="s">
        <v>651</v>
      </c>
      <c r="B315" s="2" t="s">
        <v>26</v>
      </c>
      <c r="D315" s="241" t="s">
        <v>652</v>
      </c>
      <c r="E315" s="241" t="s">
        <v>653</v>
      </c>
      <c r="H315" s="349" t="s">
        <v>1057</v>
      </c>
      <c r="I315" s="367" t="s">
        <v>1048</v>
      </c>
      <c r="J315" s="2">
        <v>515625</v>
      </c>
      <c r="K315" s="2">
        <v>170998</v>
      </c>
      <c r="L315" s="293"/>
      <c r="M315" s="364">
        <v>0</v>
      </c>
      <c r="N315" s="364">
        <v>0</v>
      </c>
      <c r="O315" s="364">
        <v>1</v>
      </c>
      <c r="P315" s="364">
        <v>0</v>
      </c>
      <c r="Q315" s="364"/>
      <c r="R315" s="364"/>
      <c r="S315" s="364"/>
      <c r="T315" s="365">
        <v>1</v>
      </c>
      <c r="U315" s="364"/>
      <c r="V315" s="364">
        <v>0</v>
      </c>
      <c r="W315" s="364">
        <v>0</v>
      </c>
      <c r="X315" s="364">
        <v>1</v>
      </c>
      <c r="Y315" s="364">
        <v>0</v>
      </c>
      <c r="Z315" s="364"/>
      <c r="AA315" s="364"/>
      <c r="AB315" s="364"/>
      <c r="AC315" s="365">
        <v>1</v>
      </c>
      <c r="AD315" s="364"/>
      <c r="AE315" s="364">
        <f t="shared" si="82"/>
        <v>0</v>
      </c>
      <c r="AF315" s="364">
        <f t="shared" si="83"/>
        <v>0</v>
      </c>
      <c r="AG315" s="364">
        <f t="shared" si="84"/>
        <v>0</v>
      </c>
      <c r="AH315" s="364">
        <f t="shared" si="85"/>
        <v>0</v>
      </c>
      <c r="AI315" s="364">
        <f t="shared" si="86"/>
        <v>0</v>
      </c>
      <c r="AJ315" s="364">
        <f t="shared" si="87"/>
        <v>0</v>
      </c>
      <c r="AK315" s="364">
        <f t="shared" si="88"/>
        <v>0</v>
      </c>
      <c r="AL315" s="348">
        <f t="shared" si="81"/>
        <v>0</v>
      </c>
      <c r="AM315" s="232"/>
      <c r="AN315" s="322">
        <v>0</v>
      </c>
      <c r="AO315" s="231">
        <v>0</v>
      </c>
      <c r="AP315" s="228">
        <v>0</v>
      </c>
      <c r="AQ315" s="231">
        <v>0</v>
      </c>
      <c r="AR315" s="231">
        <v>0</v>
      </c>
      <c r="AS315" s="231">
        <v>0</v>
      </c>
      <c r="AT315" s="231">
        <v>0</v>
      </c>
      <c r="AU315" s="323">
        <v>0</v>
      </c>
      <c r="AV315" s="231">
        <v>0</v>
      </c>
      <c r="AW315" s="231">
        <v>0</v>
      </c>
      <c r="AX315" s="231">
        <v>0</v>
      </c>
      <c r="AY315" s="231">
        <v>0</v>
      </c>
      <c r="AZ315" s="230">
        <v>0</v>
      </c>
      <c r="BA315" s="2" t="s">
        <v>1215</v>
      </c>
      <c r="BD315" s="2" t="s">
        <v>1215</v>
      </c>
    </row>
    <row r="316" spans="1:57" ht="15" customHeight="1" x14ac:dyDescent="0.25">
      <c r="A316" s="241" t="s">
        <v>316</v>
      </c>
      <c r="B316" s="2" t="s">
        <v>9</v>
      </c>
      <c r="D316" s="241" t="s">
        <v>317</v>
      </c>
      <c r="E316" s="241" t="s">
        <v>318</v>
      </c>
      <c r="H316" s="349" t="s">
        <v>1057</v>
      </c>
      <c r="I316" s="367" t="s">
        <v>1048</v>
      </c>
      <c r="J316" s="2">
        <v>521350</v>
      </c>
      <c r="K316" s="2">
        <v>176123</v>
      </c>
      <c r="L316" s="293"/>
      <c r="M316" s="364">
        <v>0</v>
      </c>
      <c r="N316" s="364">
        <v>0</v>
      </c>
      <c r="O316" s="364">
        <v>0</v>
      </c>
      <c r="P316" s="364">
        <v>0</v>
      </c>
      <c r="Q316" s="364"/>
      <c r="R316" s="364"/>
      <c r="S316" s="364"/>
      <c r="T316" s="365">
        <v>0</v>
      </c>
      <c r="U316" s="364"/>
      <c r="V316" s="364">
        <v>0</v>
      </c>
      <c r="W316" s="364">
        <v>1</v>
      </c>
      <c r="X316" s="364">
        <v>0</v>
      </c>
      <c r="Y316" s="364">
        <v>0</v>
      </c>
      <c r="Z316" s="364"/>
      <c r="AA316" s="364"/>
      <c r="AB316" s="364"/>
      <c r="AC316" s="365">
        <v>1</v>
      </c>
      <c r="AD316" s="364"/>
      <c r="AE316" s="364">
        <f t="shared" si="82"/>
        <v>0</v>
      </c>
      <c r="AF316" s="364">
        <f t="shared" si="83"/>
        <v>1</v>
      </c>
      <c r="AG316" s="364">
        <f t="shared" si="84"/>
        <v>0</v>
      </c>
      <c r="AH316" s="364">
        <f t="shared" si="85"/>
        <v>0</v>
      </c>
      <c r="AI316" s="364">
        <f t="shared" si="86"/>
        <v>0</v>
      </c>
      <c r="AJ316" s="364">
        <f t="shared" si="87"/>
        <v>0</v>
      </c>
      <c r="AK316" s="364">
        <f t="shared" si="88"/>
        <v>0</v>
      </c>
      <c r="AL316" s="348">
        <f t="shared" si="81"/>
        <v>1</v>
      </c>
      <c r="AM316" s="232"/>
      <c r="AN316" s="322">
        <v>0</v>
      </c>
      <c r="AO316" s="231">
        <v>0</v>
      </c>
      <c r="AP316" s="228">
        <v>0.33333333333333331</v>
      </c>
      <c r="AQ316" s="231">
        <v>0.33333333333333331</v>
      </c>
      <c r="AR316" s="231">
        <v>0.33333333333333331</v>
      </c>
      <c r="AS316" s="231">
        <v>0</v>
      </c>
      <c r="AT316" s="231">
        <v>0</v>
      </c>
      <c r="AU316" s="323" t="s">
        <v>39</v>
      </c>
      <c r="AV316" s="231">
        <v>0</v>
      </c>
      <c r="AW316" s="231">
        <v>0</v>
      </c>
      <c r="AX316" s="231">
        <v>0</v>
      </c>
      <c r="AY316" s="231">
        <v>0</v>
      </c>
      <c r="AZ316" s="230">
        <v>0</v>
      </c>
      <c r="BA316" s="2" t="s">
        <v>1267</v>
      </c>
      <c r="BE316" s="2" t="s">
        <v>1214</v>
      </c>
    </row>
    <row r="317" spans="1:57" ht="15" customHeight="1" x14ac:dyDescent="0.25">
      <c r="A317" s="241" t="s">
        <v>346</v>
      </c>
      <c r="B317" s="2" t="s">
        <v>22</v>
      </c>
      <c r="D317" s="241" t="s">
        <v>347</v>
      </c>
      <c r="E317" s="241" t="s">
        <v>348</v>
      </c>
      <c r="H317" s="349" t="s">
        <v>1057</v>
      </c>
      <c r="I317" s="367" t="s">
        <v>1048</v>
      </c>
      <c r="J317" s="2">
        <v>518831</v>
      </c>
      <c r="K317" s="2">
        <v>175436</v>
      </c>
      <c r="L317" s="293"/>
      <c r="M317" s="364">
        <v>0</v>
      </c>
      <c r="N317" s="364">
        <v>0</v>
      </c>
      <c r="O317" s="364">
        <v>0</v>
      </c>
      <c r="P317" s="364">
        <v>0</v>
      </c>
      <c r="Q317" s="364"/>
      <c r="R317" s="364"/>
      <c r="S317" s="364"/>
      <c r="T317" s="365">
        <v>0</v>
      </c>
      <c r="U317" s="364"/>
      <c r="V317" s="364">
        <v>1</v>
      </c>
      <c r="W317" s="364">
        <v>2</v>
      </c>
      <c r="X317" s="364">
        <v>0</v>
      </c>
      <c r="Y317" s="364">
        <v>0</v>
      </c>
      <c r="Z317" s="364"/>
      <c r="AA317" s="364"/>
      <c r="AB317" s="364"/>
      <c r="AC317" s="365">
        <v>3</v>
      </c>
      <c r="AD317" s="364"/>
      <c r="AE317" s="364">
        <f t="shared" si="82"/>
        <v>1</v>
      </c>
      <c r="AF317" s="364">
        <f t="shared" si="83"/>
        <v>2</v>
      </c>
      <c r="AG317" s="364">
        <f t="shared" si="84"/>
        <v>0</v>
      </c>
      <c r="AH317" s="364">
        <f t="shared" si="85"/>
        <v>0</v>
      </c>
      <c r="AI317" s="364">
        <f t="shared" si="86"/>
        <v>0</v>
      </c>
      <c r="AJ317" s="364">
        <f t="shared" si="87"/>
        <v>0</v>
      </c>
      <c r="AK317" s="364">
        <f t="shared" si="88"/>
        <v>0</v>
      </c>
      <c r="AL317" s="348">
        <f t="shared" si="81"/>
        <v>3</v>
      </c>
      <c r="AM317" s="232"/>
      <c r="AN317" s="322">
        <v>0</v>
      </c>
      <c r="AO317" s="231">
        <v>0.75</v>
      </c>
      <c r="AP317" s="228">
        <v>0.75</v>
      </c>
      <c r="AQ317" s="231">
        <v>0.75</v>
      </c>
      <c r="AR317" s="231">
        <v>0.75</v>
      </c>
      <c r="AS317" s="231">
        <v>0</v>
      </c>
      <c r="AT317" s="231">
        <v>0</v>
      </c>
      <c r="AU317" s="323" t="s">
        <v>39</v>
      </c>
      <c r="AV317" s="231">
        <v>0</v>
      </c>
      <c r="AW317" s="231">
        <v>0</v>
      </c>
      <c r="AX317" s="231">
        <v>0</v>
      </c>
      <c r="AY317" s="231">
        <v>0</v>
      </c>
      <c r="AZ317" s="230">
        <v>0</v>
      </c>
      <c r="BA317" s="2" t="s">
        <v>1234</v>
      </c>
    </row>
    <row r="318" spans="1:57" ht="15" customHeight="1" x14ac:dyDescent="0.25">
      <c r="A318" s="241" t="s">
        <v>677</v>
      </c>
      <c r="B318" s="2" t="s">
        <v>22</v>
      </c>
      <c r="D318" s="241" t="s">
        <v>678</v>
      </c>
      <c r="E318" s="241" t="s">
        <v>679</v>
      </c>
      <c r="H318" s="349" t="s">
        <v>1057</v>
      </c>
      <c r="I318" s="367" t="s">
        <v>1048</v>
      </c>
      <c r="J318" s="2">
        <v>515426</v>
      </c>
      <c r="K318" s="2">
        <v>171451</v>
      </c>
      <c r="L318" s="293"/>
      <c r="M318" s="364">
        <v>0</v>
      </c>
      <c r="N318" s="364">
        <v>0</v>
      </c>
      <c r="O318" s="364">
        <v>0</v>
      </c>
      <c r="P318" s="364">
        <v>0</v>
      </c>
      <c r="Q318" s="364"/>
      <c r="R318" s="364"/>
      <c r="S318" s="364"/>
      <c r="T318" s="365">
        <v>0</v>
      </c>
      <c r="U318" s="364"/>
      <c r="V318" s="364">
        <v>0</v>
      </c>
      <c r="W318" s="364">
        <v>1</v>
      </c>
      <c r="X318" s="364">
        <v>0</v>
      </c>
      <c r="Y318" s="364">
        <v>0</v>
      </c>
      <c r="Z318" s="364"/>
      <c r="AA318" s="364"/>
      <c r="AB318" s="364"/>
      <c r="AC318" s="365">
        <v>1</v>
      </c>
      <c r="AD318" s="364"/>
      <c r="AE318" s="364">
        <f t="shared" si="82"/>
        <v>0</v>
      </c>
      <c r="AF318" s="364">
        <f t="shared" si="83"/>
        <v>1</v>
      </c>
      <c r="AG318" s="364">
        <f t="shared" si="84"/>
        <v>0</v>
      </c>
      <c r="AH318" s="364">
        <f t="shared" si="85"/>
        <v>0</v>
      </c>
      <c r="AI318" s="364">
        <f t="shared" si="86"/>
        <v>0</v>
      </c>
      <c r="AJ318" s="364">
        <f t="shared" si="87"/>
        <v>0</v>
      </c>
      <c r="AK318" s="364">
        <f t="shared" si="88"/>
        <v>0</v>
      </c>
      <c r="AL318" s="348">
        <f t="shared" si="81"/>
        <v>1</v>
      </c>
      <c r="AM318" s="232"/>
      <c r="AN318" s="322">
        <v>0</v>
      </c>
      <c r="AO318" s="231">
        <v>0.25</v>
      </c>
      <c r="AP318" s="228">
        <v>0.25</v>
      </c>
      <c r="AQ318" s="231">
        <v>0.25</v>
      </c>
      <c r="AR318" s="231">
        <v>0.25</v>
      </c>
      <c r="AS318" s="231">
        <v>0</v>
      </c>
      <c r="AT318" s="231">
        <v>0</v>
      </c>
      <c r="AU318" s="323" t="s">
        <v>39</v>
      </c>
      <c r="AV318" s="231">
        <v>0</v>
      </c>
      <c r="AW318" s="231">
        <v>0</v>
      </c>
      <c r="AX318" s="231">
        <v>0</v>
      </c>
      <c r="AY318" s="231">
        <v>0</v>
      </c>
      <c r="AZ318" s="230">
        <v>0</v>
      </c>
      <c r="BA318" s="2" t="s">
        <v>1265</v>
      </c>
    </row>
    <row r="319" spans="1:57" ht="15" customHeight="1" x14ac:dyDescent="0.25">
      <c r="A319" s="241" t="s">
        <v>1005</v>
      </c>
      <c r="B319" s="2" t="s">
        <v>26</v>
      </c>
      <c r="D319" s="241" t="s">
        <v>1006</v>
      </c>
      <c r="E319" s="241" t="s">
        <v>1007</v>
      </c>
      <c r="H319" s="349" t="s">
        <v>1057</v>
      </c>
      <c r="I319" s="367" t="s">
        <v>1048</v>
      </c>
      <c r="J319" s="2">
        <v>517967</v>
      </c>
      <c r="K319" s="2">
        <v>174947</v>
      </c>
      <c r="L319" s="293"/>
      <c r="M319" s="364">
        <v>0</v>
      </c>
      <c r="N319" s="364">
        <v>0</v>
      </c>
      <c r="O319" s="364">
        <v>0</v>
      </c>
      <c r="P319" s="364">
        <v>0</v>
      </c>
      <c r="Q319" s="364"/>
      <c r="R319" s="364"/>
      <c r="S319" s="364"/>
      <c r="T319" s="365">
        <v>0</v>
      </c>
      <c r="U319" s="364"/>
      <c r="V319" s="364">
        <v>0</v>
      </c>
      <c r="W319" s="364">
        <v>1</v>
      </c>
      <c r="X319" s="364">
        <v>0</v>
      </c>
      <c r="Y319" s="364">
        <v>0</v>
      </c>
      <c r="Z319" s="364"/>
      <c r="AA319" s="364"/>
      <c r="AB319" s="364"/>
      <c r="AC319" s="365">
        <v>1</v>
      </c>
      <c r="AD319" s="364"/>
      <c r="AE319" s="364">
        <f t="shared" si="82"/>
        <v>0</v>
      </c>
      <c r="AF319" s="364">
        <f t="shared" si="83"/>
        <v>1</v>
      </c>
      <c r="AG319" s="364">
        <f t="shared" si="84"/>
        <v>0</v>
      </c>
      <c r="AH319" s="364">
        <f t="shared" si="85"/>
        <v>0</v>
      </c>
      <c r="AI319" s="364">
        <f t="shared" si="86"/>
        <v>0</v>
      </c>
      <c r="AJ319" s="364">
        <f t="shared" si="87"/>
        <v>0</v>
      </c>
      <c r="AK319" s="364">
        <f t="shared" si="88"/>
        <v>0</v>
      </c>
      <c r="AL319" s="348">
        <f t="shared" si="81"/>
        <v>1</v>
      </c>
      <c r="AN319" s="322">
        <v>0</v>
      </c>
      <c r="AO319" s="231">
        <v>0.25</v>
      </c>
      <c r="AP319" s="228">
        <v>0.25</v>
      </c>
      <c r="AQ319" s="231">
        <v>0.25</v>
      </c>
      <c r="AR319" s="231">
        <v>0.25</v>
      </c>
      <c r="AS319" s="231">
        <v>0</v>
      </c>
      <c r="AT319" s="231">
        <v>0</v>
      </c>
      <c r="AU319" s="323" t="s">
        <v>39</v>
      </c>
      <c r="AV319" s="231">
        <v>0</v>
      </c>
      <c r="AW319" s="231">
        <v>0</v>
      </c>
      <c r="AX319" s="231">
        <v>0</v>
      </c>
      <c r="AY319" s="231">
        <v>0</v>
      </c>
      <c r="AZ319" s="230">
        <v>0</v>
      </c>
      <c r="BA319" s="2" t="s">
        <v>1235</v>
      </c>
      <c r="BD319" s="2" t="s">
        <v>1213</v>
      </c>
    </row>
    <row r="320" spans="1:57" ht="15" customHeight="1" x14ac:dyDescent="0.25">
      <c r="A320" s="241" t="s">
        <v>574</v>
      </c>
      <c r="B320" s="2" t="s">
        <v>9</v>
      </c>
      <c r="D320" s="241" t="s">
        <v>575</v>
      </c>
      <c r="E320" s="241" t="s">
        <v>576</v>
      </c>
      <c r="H320" s="349" t="s">
        <v>1057</v>
      </c>
      <c r="I320" s="367" t="s">
        <v>1048</v>
      </c>
      <c r="J320" s="2">
        <v>518103</v>
      </c>
      <c r="K320" s="2">
        <v>175457</v>
      </c>
      <c r="L320" s="293"/>
      <c r="M320" s="364">
        <v>0</v>
      </c>
      <c r="N320" s="364">
        <v>0</v>
      </c>
      <c r="O320" s="364">
        <v>0</v>
      </c>
      <c r="P320" s="364">
        <v>0</v>
      </c>
      <c r="Q320" s="364"/>
      <c r="R320" s="364"/>
      <c r="S320" s="364"/>
      <c r="T320" s="365">
        <v>0</v>
      </c>
      <c r="U320" s="364"/>
      <c r="V320" s="364">
        <v>0</v>
      </c>
      <c r="W320" s="364">
        <v>0</v>
      </c>
      <c r="X320" s="364">
        <v>0</v>
      </c>
      <c r="Y320" s="364">
        <v>0</v>
      </c>
      <c r="Z320" s="364"/>
      <c r="AA320" s="364"/>
      <c r="AB320" s="364"/>
      <c r="AC320" s="365">
        <v>0</v>
      </c>
      <c r="AD320" s="364"/>
      <c r="AE320" s="364">
        <f t="shared" si="82"/>
        <v>0</v>
      </c>
      <c r="AF320" s="364">
        <f t="shared" si="83"/>
        <v>0</v>
      </c>
      <c r="AG320" s="364">
        <f t="shared" si="84"/>
        <v>0</v>
      </c>
      <c r="AH320" s="364">
        <f t="shared" si="85"/>
        <v>0</v>
      </c>
      <c r="AI320" s="364">
        <f t="shared" si="86"/>
        <v>0</v>
      </c>
      <c r="AJ320" s="364">
        <f t="shared" si="87"/>
        <v>0</v>
      </c>
      <c r="AK320" s="364">
        <f t="shared" si="88"/>
        <v>0</v>
      </c>
      <c r="AL320" s="348">
        <f t="shared" si="81"/>
        <v>0</v>
      </c>
      <c r="AM320" s="232"/>
      <c r="AN320" s="322">
        <v>0</v>
      </c>
      <c r="AO320" s="231">
        <v>0</v>
      </c>
      <c r="AP320" s="228">
        <v>0</v>
      </c>
      <c r="AQ320" s="231">
        <v>0</v>
      </c>
      <c r="AR320" s="231">
        <v>0</v>
      </c>
      <c r="AS320" s="231">
        <v>0</v>
      </c>
      <c r="AT320" s="231">
        <v>0</v>
      </c>
      <c r="AU320" s="323">
        <v>0</v>
      </c>
      <c r="AV320" s="231">
        <v>0</v>
      </c>
      <c r="AW320" s="231">
        <v>0</v>
      </c>
      <c r="AX320" s="231">
        <v>0</v>
      </c>
      <c r="AY320" s="231">
        <v>0</v>
      </c>
      <c r="AZ320" s="230">
        <v>0</v>
      </c>
      <c r="BA320" s="2" t="s">
        <v>1234</v>
      </c>
    </row>
    <row r="321" spans="1:58" ht="15" customHeight="1" x14ac:dyDescent="0.25">
      <c r="A321" s="241" t="s">
        <v>807</v>
      </c>
      <c r="B321" s="2" t="s">
        <v>60</v>
      </c>
      <c r="D321" s="241" t="s">
        <v>808</v>
      </c>
      <c r="E321" s="241" t="s">
        <v>809</v>
      </c>
      <c r="H321" s="349" t="s">
        <v>1057</v>
      </c>
      <c r="I321" s="367" t="s">
        <v>1048</v>
      </c>
      <c r="J321" s="2">
        <v>512731</v>
      </c>
      <c r="K321" s="2">
        <v>171617</v>
      </c>
      <c r="L321" s="293"/>
      <c r="M321" s="364">
        <v>0</v>
      </c>
      <c r="N321" s="364">
        <v>0</v>
      </c>
      <c r="O321" s="364">
        <v>0</v>
      </c>
      <c r="P321" s="364">
        <v>1</v>
      </c>
      <c r="Q321" s="364"/>
      <c r="R321" s="364"/>
      <c r="S321" s="364"/>
      <c r="T321" s="365">
        <v>1</v>
      </c>
      <c r="U321" s="364"/>
      <c r="V321" s="364">
        <v>0</v>
      </c>
      <c r="W321" s="364">
        <v>1</v>
      </c>
      <c r="X321" s="364">
        <v>1</v>
      </c>
      <c r="Y321" s="364">
        <v>0</v>
      </c>
      <c r="Z321" s="364"/>
      <c r="AA321" s="364"/>
      <c r="AB321" s="364"/>
      <c r="AC321" s="365">
        <v>2</v>
      </c>
      <c r="AD321" s="364"/>
      <c r="AE321" s="364">
        <f t="shared" si="82"/>
        <v>0</v>
      </c>
      <c r="AF321" s="364">
        <f t="shared" si="83"/>
        <v>1</v>
      </c>
      <c r="AG321" s="364">
        <f t="shared" si="84"/>
        <v>1</v>
      </c>
      <c r="AH321" s="364">
        <f t="shared" si="85"/>
        <v>-1</v>
      </c>
      <c r="AI321" s="364">
        <f t="shared" si="86"/>
        <v>0</v>
      </c>
      <c r="AJ321" s="364">
        <f t="shared" si="87"/>
        <v>0</v>
      </c>
      <c r="AK321" s="364">
        <f t="shared" si="88"/>
        <v>0</v>
      </c>
      <c r="AL321" s="348">
        <f t="shared" si="81"/>
        <v>1</v>
      </c>
      <c r="AN321" s="322">
        <v>0</v>
      </c>
      <c r="AO321" s="231">
        <v>0</v>
      </c>
      <c r="AP321" s="228">
        <v>0.33333333333333331</v>
      </c>
      <c r="AQ321" s="231">
        <v>0.33333333333333331</v>
      </c>
      <c r="AR321" s="231">
        <v>0.33333333333333331</v>
      </c>
      <c r="AS321" s="231">
        <v>0</v>
      </c>
      <c r="AT321" s="231">
        <v>0</v>
      </c>
      <c r="AU321" s="323" t="s">
        <v>39</v>
      </c>
      <c r="AV321" s="231">
        <v>0</v>
      </c>
      <c r="AW321" s="231">
        <v>0</v>
      </c>
      <c r="AX321" s="231">
        <v>0</v>
      </c>
      <c r="AY321" s="231">
        <v>0</v>
      </c>
      <c r="AZ321" s="230">
        <v>0</v>
      </c>
      <c r="BA321" s="2" t="s">
        <v>1228</v>
      </c>
    </row>
    <row r="322" spans="1:58" ht="15" customHeight="1" x14ac:dyDescent="0.25">
      <c r="A322" s="241" t="s">
        <v>683</v>
      </c>
      <c r="B322" s="2" t="s">
        <v>26</v>
      </c>
      <c r="C322" s="2" t="s">
        <v>1037</v>
      </c>
      <c r="D322" s="241" t="s">
        <v>684</v>
      </c>
      <c r="E322" s="241" t="s">
        <v>685</v>
      </c>
      <c r="H322" s="349" t="s">
        <v>1057</v>
      </c>
      <c r="I322" s="367" t="s">
        <v>1048</v>
      </c>
      <c r="J322" s="2">
        <v>515664</v>
      </c>
      <c r="K322" s="2">
        <v>171121</v>
      </c>
      <c r="L322" s="293"/>
      <c r="M322" s="364">
        <v>0</v>
      </c>
      <c r="N322" s="364">
        <v>0</v>
      </c>
      <c r="O322" s="364">
        <v>0</v>
      </c>
      <c r="P322" s="364">
        <v>0</v>
      </c>
      <c r="Q322" s="364"/>
      <c r="R322" s="364"/>
      <c r="S322" s="364"/>
      <c r="T322" s="365">
        <v>0</v>
      </c>
      <c r="U322" s="364"/>
      <c r="V322" s="364">
        <v>0</v>
      </c>
      <c r="W322" s="364">
        <v>1</v>
      </c>
      <c r="X322" s="364">
        <v>0</v>
      </c>
      <c r="Y322" s="364">
        <v>0</v>
      </c>
      <c r="Z322" s="364"/>
      <c r="AA322" s="364"/>
      <c r="AB322" s="364"/>
      <c r="AC322" s="365">
        <v>1</v>
      </c>
      <c r="AD322" s="364"/>
      <c r="AE322" s="364">
        <f t="shared" si="82"/>
        <v>0</v>
      </c>
      <c r="AF322" s="364">
        <f t="shared" si="83"/>
        <v>1</v>
      </c>
      <c r="AG322" s="364">
        <f t="shared" si="84"/>
        <v>0</v>
      </c>
      <c r="AH322" s="364">
        <f t="shared" si="85"/>
        <v>0</v>
      </c>
      <c r="AI322" s="364">
        <f t="shared" si="86"/>
        <v>0</v>
      </c>
      <c r="AJ322" s="364">
        <f t="shared" si="87"/>
        <v>0</v>
      </c>
      <c r="AK322" s="364">
        <f t="shared" si="88"/>
        <v>0</v>
      </c>
      <c r="AL322" s="348">
        <f t="shared" si="81"/>
        <v>1</v>
      </c>
      <c r="AM322" s="232"/>
      <c r="AN322" s="322">
        <v>0</v>
      </c>
      <c r="AO322" s="231">
        <v>0.25</v>
      </c>
      <c r="AP322" s="228">
        <v>0.25</v>
      </c>
      <c r="AQ322" s="231">
        <v>0.25</v>
      </c>
      <c r="AR322" s="231">
        <v>0.25</v>
      </c>
      <c r="AS322" s="231">
        <v>0</v>
      </c>
      <c r="AT322" s="231">
        <v>0</v>
      </c>
      <c r="AU322" s="323" t="s">
        <v>39</v>
      </c>
      <c r="AV322" s="231">
        <v>0</v>
      </c>
      <c r="AW322" s="231">
        <v>0</v>
      </c>
      <c r="AX322" s="231">
        <v>0</v>
      </c>
      <c r="AY322" s="231">
        <v>0</v>
      </c>
      <c r="AZ322" s="230">
        <v>0</v>
      </c>
      <c r="BA322" s="2" t="s">
        <v>1215</v>
      </c>
    </row>
    <row r="323" spans="1:58" ht="15" customHeight="1" x14ac:dyDescent="0.25">
      <c r="A323" s="241" t="s">
        <v>547</v>
      </c>
      <c r="B323" s="2" t="s">
        <v>60</v>
      </c>
      <c r="D323" s="241" t="s">
        <v>548</v>
      </c>
      <c r="E323" s="241" t="s">
        <v>549</v>
      </c>
      <c r="H323" s="349" t="s">
        <v>1057</v>
      </c>
      <c r="I323" s="367" t="s">
        <v>1048</v>
      </c>
      <c r="J323" s="2">
        <v>518955</v>
      </c>
      <c r="K323" s="2">
        <v>177124</v>
      </c>
      <c r="L323" s="293"/>
      <c r="M323" s="364">
        <v>0</v>
      </c>
      <c r="N323" s="364">
        <v>0</v>
      </c>
      <c r="O323" s="364">
        <v>0</v>
      </c>
      <c r="P323" s="364">
        <v>0</v>
      </c>
      <c r="Q323" s="364"/>
      <c r="R323" s="364"/>
      <c r="S323" s="364"/>
      <c r="T323" s="365">
        <v>0</v>
      </c>
      <c r="U323" s="364"/>
      <c r="V323" s="364">
        <v>1</v>
      </c>
      <c r="W323" s="364">
        <v>0</v>
      </c>
      <c r="X323" s="364">
        <v>0</v>
      </c>
      <c r="Y323" s="364">
        <v>0</v>
      </c>
      <c r="Z323" s="364"/>
      <c r="AA323" s="364"/>
      <c r="AB323" s="364"/>
      <c r="AC323" s="365">
        <v>1</v>
      </c>
      <c r="AD323" s="364"/>
      <c r="AE323" s="364">
        <f t="shared" si="82"/>
        <v>1</v>
      </c>
      <c r="AF323" s="364">
        <f t="shared" si="83"/>
        <v>0</v>
      </c>
      <c r="AG323" s="364">
        <f t="shared" si="84"/>
        <v>0</v>
      </c>
      <c r="AH323" s="364">
        <f t="shared" si="85"/>
        <v>0</v>
      </c>
      <c r="AI323" s="364">
        <f t="shared" si="86"/>
        <v>0</v>
      </c>
      <c r="AJ323" s="364">
        <f t="shared" si="87"/>
        <v>0</v>
      </c>
      <c r="AK323" s="364">
        <f t="shared" si="88"/>
        <v>0</v>
      </c>
      <c r="AL323" s="348">
        <f t="shared" si="81"/>
        <v>1</v>
      </c>
      <c r="AM323" s="232"/>
      <c r="AN323" s="322">
        <v>0</v>
      </c>
      <c r="AO323" s="231">
        <v>0</v>
      </c>
      <c r="AP323" s="228">
        <v>0.33333333333333331</v>
      </c>
      <c r="AQ323" s="231">
        <v>0.33333333333333331</v>
      </c>
      <c r="AR323" s="231">
        <v>0.33333333333333331</v>
      </c>
      <c r="AS323" s="231">
        <v>0</v>
      </c>
      <c r="AT323" s="231">
        <v>0</v>
      </c>
      <c r="AU323" s="323" t="s">
        <v>39</v>
      </c>
      <c r="AV323" s="231">
        <v>0</v>
      </c>
      <c r="AW323" s="231">
        <v>0</v>
      </c>
      <c r="AX323" s="231">
        <v>0</v>
      </c>
      <c r="AY323" s="231">
        <v>0</v>
      </c>
      <c r="AZ323" s="230">
        <v>0</v>
      </c>
      <c r="BA323" s="2" t="s">
        <v>1232</v>
      </c>
    </row>
    <row r="324" spans="1:58" ht="15" customHeight="1" x14ac:dyDescent="0.25">
      <c r="A324" s="241" t="s">
        <v>858</v>
      </c>
      <c r="B324" s="2" t="s">
        <v>9</v>
      </c>
      <c r="D324" s="241" t="s">
        <v>859</v>
      </c>
      <c r="E324" s="241" t="s">
        <v>860</v>
      </c>
      <c r="H324" s="349" t="s">
        <v>1057</v>
      </c>
      <c r="I324" s="367" t="s">
        <v>1048</v>
      </c>
      <c r="J324" s="2">
        <v>513875</v>
      </c>
      <c r="K324" s="2">
        <v>172459</v>
      </c>
      <c r="L324" s="293"/>
      <c r="M324" s="364">
        <v>0</v>
      </c>
      <c r="N324" s="364">
        <v>0</v>
      </c>
      <c r="O324" s="364">
        <v>0</v>
      </c>
      <c r="P324" s="364">
        <v>0</v>
      </c>
      <c r="Q324" s="364"/>
      <c r="R324" s="364"/>
      <c r="S324" s="364"/>
      <c r="T324" s="365">
        <v>0</v>
      </c>
      <c r="U324" s="364"/>
      <c r="V324" s="364">
        <v>0</v>
      </c>
      <c r="W324" s="364">
        <v>0</v>
      </c>
      <c r="X324" s="364">
        <v>1</v>
      </c>
      <c r="Y324" s="364">
        <v>0</v>
      </c>
      <c r="Z324" s="364"/>
      <c r="AA324" s="364"/>
      <c r="AB324" s="364"/>
      <c r="AC324" s="365">
        <v>1</v>
      </c>
      <c r="AD324" s="364"/>
      <c r="AE324" s="364">
        <f t="shared" si="82"/>
        <v>0</v>
      </c>
      <c r="AF324" s="364">
        <f t="shared" si="83"/>
        <v>0</v>
      </c>
      <c r="AG324" s="364">
        <f t="shared" si="84"/>
        <v>1</v>
      </c>
      <c r="AH324" s="364">
        <f t="shared" si="85"/>
        <v>0</v>
      </c>
      <c r="AI324" s="364">
        <f t="shared" si="86"/>
        <v>0</v>
      </c>
      <c r="AJ324" s="364">
        <f t="shared" si="87"/>
        <v>0</v>
      </c>
      <c r="AK324" s="364">
        <f t="shared" si="88"/>
        <v>0</v>
      </c>
      <c r="AL324" s="348">
        <f t="shared" si="81"/>
        <v>1</v>
      </c>
      <c r="AN324" s="322">
        <v>0</v>
      </c>
      <c r="AO324" s="231">
        <v>0</v>
      </c>
      <c r="AP324" s="228">
        <v>0.33333333333333331</v>
      </c>
      <c r="AQ324" s="231">
        <v>0.33333333333333331</v>
      </c>
      <c r="AR324" s="231">
        <v>0.33333333333333331</v>
      </c>
      <c r="AS324" s="231">
        <v>0</v>
      </c>
      <c r="AT324" s="231">
        <v>0</v>
      </c>
      <c r="AU324" s="323" t="s">
        <v>39</v>
      </c>
      <c r="AV324" s="231">
        <v>0</v>
      </c>
      <c r="AW324" s="231">
        <v>0</v>
      </c>
      <c r="AX324" s="231">
        <v>0</v>
      </c>
      <c r="AY324" s="231">
        <v>0</v>
      </c>
      <c r="AZ324" s="230">
        <v>0</v>
      </c>
      <c r="BA324" s="2" t="s">
        <v>1239</v>
      </c>
      <c r="BF324" s="232" t="s">
        <v>39</v>
      </c>
    </row>
    <row r="325" spans="1:58" ht="15" customHeight="1" x14ac:dyDescent="0.25">
      <c r="A325" s="241" t="s">
        <v>393</v>
      </c>
      <c r="B325" s="2" t="s">
        <v>5</v>
      </c>
      <c r="D325" s="241" t="s">
        <v>394</v>
      </c>
      <c r="E325" s="241" t="s">
        <v>395</v>
      </c>
      <c r="H325" s="349" t="s">
        <v>1057</v>
      </c>
      <c r="I325" s="367" t="s">
        <v>1048</v>
      </c>
      <c r="J325" s="2">
        <v>520283</v>
      </c>
      <c r="K325" s="2">
        <v>175305</v>
      </c>
      <c r="L325" s="293"/>
      <c r="M325" s="364">
        <v>0</v>
      </c>
      <c r="N325" s="364">
        <v>0</v>
      </c>
      <c r="O325" s="364">
        <v>0</v>
      </c>
      <c r="P325" s="364">
        <v>1</v>
      </c>
      <c r="Q325" s="364"/>
      <c r="R325" s="364"/>
      <c r="S325" s="364"/>
      <c r="T325" s="365">
        <v>1</v>
      </c>
      <c r="U325" s="364"/>
      <c r="V325" s="364">
        <v>1</v>
      </c>
      <c r="W325" s="364">
        <v>0</v>
      </c>
      <c r="X325" s="364">
        <v>1</v>
      </c>
      <c r="Y325" s="364">
        <v>0</v>
      </c>
      <c r="Z325" s="364"/>
      <c r="AA325" s="364"/>
      <c r="AB325" s="364"/>
      <c r="AC325" s="365">
        <v>2</v>
      </c>
      <c r="AD325" s="364"/>
      <c r="AE325" s="364">
        <f t="shared" si="82"/>
        <v>1</v>
      </c>
      <c r="AF325" s="364">
        <f t="shared" si="83"/>
        <v>0</v>
      </c>
      <c r="AG325" s="364">
        <f t="shared" si="84"/>
        <v>1</v>
      </c>
      <c r="AH325" s="364">
        <f t="shared" si="85"/>
        <v>-1</v>
      </c>
      <c r="AI325" s="364">
        <f t="shared" si="86"/>
        <v>0</v>
      </c>
      <c r="AJ325" s="364">
        <f t="shared" si="87"/>
        <v>0</v>
      </c>
      <c r="AK325" s="364">
        <f t="shared" si="88"/>
        <v>0</v>
      </c>
      <c r="AL325" s="348">
        <f t="shared" si="81"/>
        <v>1</v>
      </c>
      <c r="AM325" s="232"/>
      <c r="AN325" s="322">
        <v>0</v>
      </c>
      <c r="AO325" s="231">
        <v>0.25</v>
      </c>
      <c r="AP325" s="228">
        <v>0.25</v>
      </c>
      <c r="AQ325" s="231">
        <v>0.25</v>
      </c>
      <c r="AR325" s="231">
        <v>0.25</v>
      </c>
      <c r="AS325" s="231">
        <v>0</v>
      </c>
      <c r="AT325" s="231">
        <v>0</v>
      </c>
      <c r="AU325" s="323" t="s">
        <v>39</v>
      </c>
      <c r="AV325" s="231">
        <v>0</v>
      </c>
      <c r="AW325" s="231">
        <v>0</v>
      </c>
      <c r="AX325" s="231">
        <v>0</v>
      </c>
      <c r="AY325" s="231">
        <v>0</v>
      </c>
      <c r="AZ325" s="230">
        <v>0</v>
      </c>
      <c r="BA325" s="2" t="s">
        <v>1212</v>
      </c>
      <c r="BD325" s="2" t="s">
        <v>1212</v>
      </c>
    </row>
    <row r="326" spans="1:58" ht="15" customHeight="1" x14ac:dyDescent="0.25">
      <c r="A326" s="241" t="s">
        <v>663</v>
      </c>
      <c r="B326" s="2" t="s">
        <v>9</v>
      </c>
      <c r="D326" s="241" t="s">
        <v>664</v>
      </c>
      <c r="E326" s="241" t="s">
        <v>665</v>
      </c>
      <c r="H326" s="349" t="s">
        <v>1057</v>
      </c>
      <c r="I326" s="367" t="s">
        <v>1048</v>
      </c>
      <c r="J326" s="2">
        <v>514952</v>
      </c>
      <c r="K326" s="2">
        <v>171606</v>
      </c>
      <c r="L326" s="293"/>
      <c r="M326" s="364">
        <v>0</v>
      </c>
      <c r="N326" s="364">
        <v>0</v>
      </c>
      <c r="O326" s="364">
        <v>0</v>
      </c>
      <c r="P326" s="364">
        <v>1</v>
      </c>
      <c r="Q326" s="364"/>
      <c r="R326" s="364"/>
      <c r="S326" s="364"/>
      <c r="T326" s="365">
        <v>1</v>
      </c>
      <c r="U326" s="364"/>
      <c r="V326" s="364">
        <v>0</v>
      </c>
      <c r="W326" s="364">
        <v>0</v>
      </c>
      <c r="X326" s="364">
        <v>0</v>
      </c>
      <c r="Y326" s="364">
        <v>1</v>
      </c>
      <c r="Z326" s="364"/>
      <c r="AA326" s="364"/>
      <c r="AB326" s="364"/>
      <c r="AC326" s="365">
        <v>1</v>
      </c>
      <c r="AD326" s="364"/>
      <c r="AE326" s="364">
        <f t="shared" si="82"/>
        <v>0</v>
      </c>
      <c r="AF326" s="364">
        <f t="shared" si="83"/>
        <v>0</v>
      </c>
      <c r="AG326" s="364">
        <f t="shared" si="84"/>
        <v>0</v>
      </c>
      <c r="AH326" s="364">
        <f t="shared" si="85"/>
        <v>0</v>
      </c>
      <c r="AI326" s="364">
        <f t="shared" si="86"/>
        <v>0</v>
      </c>
      <c r="AJ326" s="364">
        <f t="shared" si="87"/>
        <v>0</v>
      </c>
      <c r="AK326" s="364">
        <f t="shared" si="88"/>
        <v>0</v>
      </c>
      <c r="AL326" s="348">
        <f t="shared" si="81"/>
        <v>0</v>
      </c>
      <c r="AM326" s="232"/>
      <c r="AN326" s="322">
        <v>0</v>
      </c>
      <c r="AO326" s="231">
        <v>0</v>
      </c>
      <c r="AP326" s="228">
        <v>0</v>
      </c>
      <c r="AQ326" s="231">
        <v>0</v>
      </c>
      <c r="AR326" s="231">
        <v>0</v>
      </c>
      <c r="AS326" s="231">
        <v>0</v>
      </c>
      <c r="AT326" s="231">
        <v>0</v>
      </c>
      <c r="AU326" s="323">
        <v>0</v>
      </c>
      <c r="AV326" s="231">
        <v>0</v>
      </c>
      <c r="AW326" s="231">
        <v>0</v>
      </c>
      <c r="AX326" s="231">
        <v>0</v>
      </c>
      <c r="AY326" s="231">
        <v>0</v>
      </c>
      <c r="AZ326" s="230">
        <v>0</v>
      </c>
      <c r="BA326" s="2" t="s">
        <v>1265</v>
      </c>
    </row>
    <row r="327" spans="1:58" ht="15" customHeight="1" x14ac:dyDescent="0.25">
      <c r="A327" s="241" t="s">
        <v>474</v>
      </c>
      <c r="B327" s="2" t="s">
        <v>9</v>
      </c>
      <c r="D327" s="241" t="s">
        <v>475</v>
      </c>
      <c r="E327" s="241" t="s">
        <v>476</v>
      </c>
      <c r="H327" s="349" t="s">
        <v>1057</v>
      </c>
      <c r="I327" s="367" t="s">
        <v>1048</v>
      </c>
      <c r="J327" s="2">
        <v>518177</v>
      </c>
      <c r="K327" s="2">
        <v>173103</v>
      </c>
      <c r="L327" s="293"/>
      <c r="M327" s="364">
        <v>0</v>
      </c>
      <c r="N327" s="364">
        <v>0</v>
      </c>
      <c r="O327" s="364">
        <v>0</v>
      </c>
      <c r="P327" s="364">
        <v>1</v>
      </c>
      <c r="Q327" s="364"/>
      <c r="R327" s="364"/>
      <c r="S327" s="364"/>
      <c r="T327" s="365">
        <v>1</v>
      </c>
      <c r="U327" s="364"/>
      <c r="V327" s="364">
        <v>0</v>
      </c>
      <c r="W327" s="364">
        <v>0</v>
      </c>
      <c r="X327" s="364">
        <v>0</v>
      </c>
      <c r="Y327" s="364">
        <v>0</v>
      </c>
      <c r="Z327" s="364"/>
      <c r="AA327" s="372">
        <v>1</v>
      </c>
      <c r="AB327" s="364"/>
      <c r="AC327" s="365">
        <v>1</v>
      </c>
      <c r="AD327" s="364"/>
      <c r="AE327" s="364">
        <f t="shared" si="82"/>
        <v>0</v>
      </c>
      <c r="AF327" s="364">
        <f t="shared" si="83"/>
        <v>0</v>
      </c>
      <c r="AG327" s="364">
        <f t="shared" si="84"/>
        <v>0</v>
      </c>
      <c r="AH327" s="364">
        <f t="shared" si="85"/>
        <v>-1</v>
      </c>
      <c r="AI327" s="364">
        <f t="shared" si="86"/>
        <v>0</v>
      </c>
      <c r="AJ327" s="364">
        <f t="shared" si="87"/>
        <v>1</v>
      </c>
      <c r="AK327" s="364">
        <f t="shared" si="88"/>
        <v>0</v>
      </c>
      <c r="AL327" s="348">
        <f t="shared" si="81"/>
        <v>0</v>
      </c>
      <c r="AM327" s="232"/>
      <c r="AN327" s="322">
        <v>0</v>
      </c>
      <c r="AO327" s="231">
        <v>0</v>
      </c>
      <c r="AP327" s="228">
        <v>0</v>
      </c>
      <c r="AQ327" s="231">
        <v>0</v>
      </c>
      <c r="AR327" s="231">
        <v>0</v>
      </c>
      <c r="AS327" s="231">
        <v>0</v>
      </c>
      <c r="AT327" s="231">
        <v>0</v>
      </c>
      <c r="AU327" s="323">
        <v>0</v>
      </c>
      <c r="AV327" s="231">
        <v>0</v>
      </c>
      <c r="AW327" s="231">
        <v>0</v>
      </c>
      <c r="AX327" s="231">
        <v>0</v>
      </c>
      <c r="AY327" s="231">
        <v>0</v>
      </c>
      <c r="AZ327" s="230">
        <v>0</v>
      </c>
      <c r="BA327" s="2" t="s">
        <v>1443</v>
      </c>
    </row>
    <row r="328" spans="1:58" ht="15" customHeight="1" x14ac:dyDescent="0.25">
      <c r="A328" s="241" t="s">
        <v>349</v>
      </c>
      <c r="B328" s="2" t="s">
        <v>26</v>
      </c>
      <c r="C328" s="2" t="s">
        <v>1037</v>
      </c>
      <c r="D328" s="241" t="s">
        <v>350</v>
      </c>
      <c r="E328" s="241" t="s">
        <v>351</v>
      </c>
      <c r="H328" s="349" t="s">
        <v>1057</v>
      </c>
      <c r="I328" s="367" t="s">
        <v>1048</v>
      </c>
      <c r="J328" s="2">
        <v>518741</v>
      </c>
      <c r="K328" s="2">
        <v>175360</v>
      </c>
      <c r="L328" s="293"/>
      <c r="M328" s="364">
        <v>0</v>
      </c>
      <c r="N328" s="364">
        <v>0</v>
      </c>
      <c r="O328" s="364">
        <v>0</v>
      </c>
      <c r="P328" s="364">
        <v>0</v>
      </c>
      <c r="Q328" s="364"/>
      <c r="R328" s="364"/>
      <c r="S328" s="364"/>
      <c r="T328" s="365">
        <v>0</v>
      </c>
      <c r="U328" s="364"/>
      <c r="V328" s="364">
        <v>0</v>
      </c>
      <c r="W328" s="364">
        <v>1</v>
      </c>
      <c r="X328" s="364">
        <v>0</v>
      </c>
      <c r="Y328" s="364">
        <v>0</v>
      </c>
      <c r="Z328" s="364"/>
      <c r="AA328" s="364"/>
      <c r="AB328" s="364"/>
      <c r="AC328" s="365">
        <v>1</v>
      </c>
      <c r="AD328" s="364"/>
      <c r="AE328" s="364">
        <f t="shared" si="82"/>
        <v>0</v>
      </c>
      <c r="AF328" s="364">
        <f t="shared" si="83"/>
        <v>1</v>
      </c>
      <c r="AG328" s="364">
        <f t="shared" si="84"/>
        <v>0</v>
      </c>
      <c r="AH328" s="364">
        <f t="shared" si="85"/>
        <v>0</v>
      </c>
      <c r="AI328" s="364">
        <f t="shared" si="86"/>
        <v>0</v>
      </c>
      <c r="AJ328" s="364">
        <f t="shared" si="87"/>
        <v>0</v>
      </c>
      <c r="AK328" s="364">
        <f t="shared" si="88"/>
        <v>0</v>
      </c>
      <c r="AL328" s="348">
        <f t="shared" si="81"/>
        <v>1</v>
      </c>
      <c r="AM328" s="232"/>
      <c r="AN328" s="322">
        <v>0</v>
      </c>
      <c r="AO328" s="231">
        <v>0.25</v>
      </c>
      <c r="AP328" s="228">
        <v>0.25</v>
      </c>
      <c r="AQ328" s="231">
        <v>0.25</v>
      </c>
      <c r="AR328" s="231">
        <v>0.25</v>
      </c>
      <c r="AS328" s="231">
        <v>0</v>
      </c>
      <c r="AT328" s="231">
        <v>0</v>
      </c>
      <c r="AU328" s="323" t="s">
        <v>39</v>
      </c>
      <c r="AV328" s="231">
        <v>0</v>
      </c>
      <c r="AW328" s="231">
        <v>0</v>
      </c>
      <c r="AX328" s="231">
        <v>0</v>
      </c>
      <c r="AY328" s="231">
        <v>0</v>
      </c>
      <c r="AZ328" s="230">
        <v>0</v>
      </c>
      <c r="BA328" s="2" t="s">
        <v>1234</v>
      </c>
    </row>
    <row r="329" spans="1:58" ht="15" customHeight="1" x14ac:dyDescent="0.25">
      <c r="A329" s="241" t="s">
        <v>849</v>
      </c>
      <c r="B329" s="2" t="s">
        <v>26</v>
      </c>
      <c r="D329" s="241" t="s">
        <v>850</v>
      </c>
      <c r="E329" s="241" t="s">
        <v>851</v>
      </c>
      <c r="H329" s="349" t="s">
        <v>1057</v>
      </c>
      <c r="I329" s="367" t="s">
        <v>1048</v>
      </c>
      <c r="J329" s="2">
        <v>515424</v>
      </c>
      <c r="K329" s="2">
        <v>173951</v>
      </c>
      <c r="L329" s="293"/>
      <c r="M329" s="364">
        <v>0</v>
      </c>
      <c r="N329" s="364">
        <v>0</v>
      </c>
      <c r="O329" s="364">
        <v>0</v>
      </c>
      <c r="P329" s="364">
        <v>0</v>
      </c>
      <c r="Q329" s="364"/>
      <c r="R329" s="364"/>
      <c r="S329" s="364"/>
      <c r="T329" s="365">
        <v>0</v>
      </c>
      <c r="U329" s="364">
        <v>1</v>
      </c>
      <c r="V329" s="364">
        <v>3</v>
      </c>
      <c r="W329" s="364">
        <v>0</v>
      </c>
      <c r="X329" s="364">
        <v>0</v>
      </c>
      <c r="Y329" s="364">
        <v>0</v>
      </c>
      <c r="Z329" s="364"/>
      <c r="AA329" s="364"/>
      <c r="AB329" s="364"/>
      <c r="AC329" s="365">
        <v>4</v>
      </c>
      <c r="AD329" s="364">
        <f>U329-L329</f>
        <v>1</v>
      </c>
      <c r="AE329" s="364">
        <f t="shared" si="82"/>
        <v>3</v>
      </c>
      <c r="AF329" s="364">
        <f t="shared" si="83"/>
        <v>0</v>
      </c>
      <c r="AG329" s="364">
        <f t="shared" si="84"/>
        <v>0</v>
      </c>
      <c r="AH329" s="364">
        <f t="shared" si="85"/>
        <v>0</v>
      </c>
      <c r="AI329" s="364">
        <f t="shared" si="86"/>
        <v>0</v>
      </c>
      <c r="AJ329" s="364">
        <f t="shared" si="87"/>
        <v>0</v>
      </c>
      <c r="AK329" s="364">
        <f t="shared" si="88"/>
        <v>0</v>
      </c>
      <c r="AL329" s="348">
        <f t="shared" si="81"/>
        <v>4</v>
      </c>
      <c r="AN329" s="322">
        <v>0</v>
      </c>
      <c r="AO329" s="231">
        <v>4</v>
      </c>
      <c r="AP329" s="228">
        <v>0</v>
      </c>
      <c r="AQ329" s="231">
        <v>0</v>
      </c>
      <c r="AR329" s="231">
        <v>0</v>
      </c>
      <c r="AS329" s="231">
        <v>0</v>
      </c>
      <c r="AT329" s="231">
        <v>0</v>
      </c>
      <c r="AU329" s="242">
        <v>0</v>
      </c>
      <c r="AV329" s="231">
        <v>0</v>
      </c>
      <c r="AW329" s="231">
        <v>0</v>
      </c>
      <c r="AX329" s="231">
        <v>0</v>
      </c>
      <c r="AY329" s="231">
        <v>0</v>
      </c>
      <c r="AZ329" s="230">
        <v>0</v>
      </c>
      <c r="BA329" s="2" t="s">
        <v>1442</v>
      </c>
    </row>
    <row r="330" spans="1:58" ht="15" customHeight="1" x14ac:dyDescent="0.25">
      <c r="A330" s="241" t="s">
        <v>712</v>
      </c>
      <c r="B330" s="2" t="s">
        <v>26</v>
      </c>
      <c r="C330" s="2" t="s">
        <v>1037</v>
      </c>
      <c r="D330" s="241" t="s">
        <v>713</v>
      </c>
      <c r="E330" s="241" t="s">
        <v>714</v>
      </c>
      <c r="H330" s="349" t="s">
        <v>1057</v>
      </c>
      <c r="I330" s="367" t="s">
        <v>1048</v>
      </c>
      <c r="J330" s="2">
        <v>514188</v>
      </c>
      <c r="K330" s="2">
        <v>170550</v>
      </c>
      <c r="L330" s="293"/>
      <c r="M330" s="364">
        <v>0</v>
      </c>
      <c r="N330" s="364">
        <v>0</v>
      </c>
      <c r="O330" s="364">
        <v>0</v>
      </c>
      <c r="P330" s="364">
        <v>0</v>
      </c>
      <c r="Q330" s="364"/>
      <c r="R330" s="364"/>
      <c r="S330" s="364"/>
      <c r="T330" s="365">
        <v>0</v>
      </c>
      <c r="U330" s="364"/>
      <c r="V330" s="364">
        <v>0</v>
      </c>
      <c r="W330" s="364">
        <v>2</v>
      </c>
      <c r="X330" s="364">
        <v>0</v>
      </c>
      <c r="Y330" s="364">
        <v>0</v>
      </c>
      <c r="Z330" s="364"/>
      <c r="AA330" s="364"/>
      <c r="AB330" s="364"/>
      <c r="AC330" s="365">
        <v>2</v>
      </c>
      <c r="AD330" s="364"/>
      <c r="AE330" s="364">
        <f t="shared" si="82"/>
        <v>0</v>
      </c>
      <c r="AF330" s="364">
        <f t="shared" si="83"/>
        <v>2</v>
      </c>
      <c r="AG330" s="364">
        <f t="shared" si="84"/>
        <v>0</v>
      </c>
      <c r="AH330" s="364">
        <f t="shared" si="85"/>
        <v>0</v>
      </c>
      <c r="AI330" s="364">
        <f t="shared" si="86"/>
        <v>0</v>
      </c>
      <c r="AJ330" s="364">
        <f t="shared" si="87"/>
        <v>0</v>
      </c>
      <c r="AK330" s="364">
        <f t="shared" si="88"/>
        <v>0</v>
      </c>
      <c r="AL330" s="348">
        <f t="shared" si="81"/>
        <v>2</v>
      </c>
      <c r="AM330" s="232"/>
      <c r="AN330" s="322">
        <v>0</v>
      </c>
      <c r="AO330" s="231">
        <v>0.5</v>
      </c>
      <c r="AP330" s="228">
        <v>0.5</v>
      </c>
      <c r="AQ330" s="231">
        <v>0.5</v>
      </c>
      <c r="AR330" s="231">
        <v>0.5</v>
      </c>
      <c r="AS330" s="231">
        <v>0</v>
      </c>
      <c r="AT330" s="231">
        <v>0</v>
      </c>
      <c r="AU330" s="323" t="s">
        <v>39</v>
      </c>
      <c r="AV330" s="231">
        <v>0</v>
      </c>
      <c r="AW330" s="231">
        <v>0</v>
      </c>
      <c r="AX330" s="231">
        <v>0</v>
      </c>
      <c r="AY330" s="231">
        <v>0</v>
      </c>
      <c r="AZ330" s="230">
        <v>0</v>
      </c>
      <c r="BA330" s="2" t="s">
        <v>1265</v>
      </c>
    </row>
    <row r="331" spans="1:58" ht="15" customHeight="1" x14ac:dyDescent="0.25">
      <c r="A331" s="241" t="s">
        <v>798</v>
      </c>
      <c r="B331" s="2" t="s">
        <v>9</v>
      </c>
      <c r="D331" s="241" t="s">
        <v>799</v>
      </c>
      <c r="E331" s="241" t="s">
        <v>800</v>
      </c>
      <c r="H331" s="349" t="s">
        <v>1057</v>
      </c>
      <c r="I331" s="367" t="s">
        <v>1048</v>
      </c>
      <c r="J331" s="2">
        <v>513446</v>
      </c>
      <c r="K331" s="2">
        <v>170353</v>
      </c>
      <c r="L331" s="293"/>
      <c r="M331" s="364">
        <v>0</v>
      </c>
      <c r="N331" s="364">
        <v>0</v>
      </c>
      <c r="O331" s="364">
        <v>0</v>
      </c>
      <c r="P331" s="364">
        <v>0</v>
      </c>
      <c r="Q331" s="364"/>
      <c r="R331" s="364"/>
      <c r="S331" s="364"/>
      <c r="T331" s="365">
        <v>0</v>
      </c>
      <c r="U331" s="364"/>
      <c r="V331" s="364">
        <v>0</v>
      </c>
      <c r="W331" s="364">
        <v>0</v>
      </c>
      <c r="X331" s="364">
        <v>0</v>
      </c>
      <c r="Y331" s="364">
        <v>1</v>
      </c>
      <c r="Z331" s="364"/>
      <c r="AA331" s="364"/>
      <c r="AB331" s="364"/>
      <c r="AC331" s="365">
        <v>1</v>
      </c>
      <c r="AD331" s="364"/>
      <c r="AE331" s="364">
        <f t="shared" si="82"/>
        <v>0</v>
      </c>
      <c r="AF331" s="364">
        <f t="shared" si="83"/>
        <v>0</v>
      </c>
      <c r="AG331" s="364">
        <f t="shared" si="84"/>
        <v>0</v>
      </c>
      <c r="AH331" s="364">
        <f t="shared" si="85"/>
        <v>1</v>
      </c>
      <c r="AI331" s="364">
        <f t="shared" si="86"/>
        <v>0</v>
      </c>
      <c r="AJ331" s="364">
        <f t="shared" si="87"/>
        <v>0</v>
      </c>
      <c r="AK331" s="364">
        <f t="shared" si="88"/>
        <v>0</v>
      </c>
      <c r="AL331" s="348">
        <f t="shared" si="81"/>
        <v>1</v>
      </c>
      <c r="AM331" s="232"/>
      <c r="AN331" s="322">
        <v>0</v>
      </c>
      <c r="AO331" s="231">
        <v>0</v>
      </c>
      <c r="AP331" s="228">
        <v>0.33333333333333331</v>
      </c>
      <c r="AQ331" s="231">
        <v>0.33333333333333331</v>
      </c>
      <c r="AR331" s="231">
        <v>0.33333333333333331</v>
      </c>
      <c r="AS331" s="231">
        <v>0</v>
      </c>
      <c r="AT331" s="231">
        <v>0</v>
      </c>
      <c r="AU331" s="323" t="s">
        <v>39</v>
      </c>
      <c r="AV331" s="231">
        <v>0</v>
      </c>
      <c r="AW331" s="231">
        <v>0</v>
      </c>
      <c r="AX331" s="231">
        <v>0</v>
      </c>
      <c r="AY331" s="231">
        <v>0</v>
      </c>
      <c r="AZ331" s="230">
        <v>0</v>
      </c>
      <c r="BA331" s="2" t="s">
        <v>1229</v>
      </c>
      <c r="BF331" s="232" t="s">
        <v>39</v>
      </c>
    </row>
    <row r="332" spans="1:58" ht="15" customHeight="1" x14ac:dyDescent="0.25">
      <c r="A332" s="241" t="s">
        <v>498</v>
      </c>
      <c r="B332" s="2" t="s">
        <v>9</v>
      </c>
      <c r="D332" s="241" t="s">
        <v>499</v>
      </c>
      <c r="E332" s="241" t="s">
        <v>500</v>
      </c>
      <c r="H332" s="349" t="s">
        <v>1057</v>
      </c>
      <c r="I332" s="367" t="s">
        <v>1048</v>
      </c>
      <c r="J332" s="2">
        <v>518695</v>
      </c>
      <c r="K332" s="2">
        <v>174476</v>
      </c>
      <c r="L332" s="293"/>
      <c r="M332" s="364">
        <v>0</v>
      </c>
      <c r="N332" s="364">
        <v>0</v>
      </c>
      <c r="O332" s="364">
        <v>0</v>
      </c>
      <c r="P332" s="364">
        <v>1</v>
      </c>
      <c r="Q332" s="364"/>
      <c r="R332" s="364"/>
      <c r="S332" s="364"/>
      <c r="T332" s="365">
        <v>1</v>
      </c>
      <c r="U332" s="364"/>
      <c r="V332" s="364">
        <v>0</v>
      </c>
      <c r="W332" s="364">
        <v>0</v>
      </c>
      <c r="X332" s="364">
        <v>0</v>
      </c>
      <c r="Y332" s="364">
        <v>1</v>
      </c>
      <c r="Z332" s="364"/>
      <c r="AA332" s="364"/>
      <c r="AB332" s="364"/>
      <c r="AC332" s="365">
        <v>1</v>
      </c>
      <c r="AD332" s="364"/>
      <c r="AE332" s="364">
        <f t="shared" si="82"/>
        <v>0</v>
      </c>
      <c r="AF332" s="364">
        <f t="shared" si="83"/>
        <v>0</v>
      </c>
      <c r="AG332" s="364">
        <f t="shared" si="84"/>
        <v>0</v>
      </c>
      <c r="AH332" s="364">
        <f t="shared" si="85"/>
        <v>0</v>
      </c>
      <c r="AI332" s="364">
        <f t="shared" si="86"/>
        <v>0</v>
      </c>
      <c r="AJ332" s="364">
        <f t="shared" si="87"/>
        <v>0</v>
      </c>
      <c r="AK332" s="364">
        <f t="shared" si="88"/>
        <v>0</v>
      </c>
      <c r="AL332" s="348">
        <f t="shared" si="81"/>
        <v>0</v>
      </c>
      <c r="AM332" s="232"/>
      <c r="AN332" s="322">
        <v>0</v>
      </c>
      <c r="AO332" s="231">
        <v>0</v>
      </c>
      <c r="AP332" s="228">
        <v>0</v>
      </c>
      <c r="AQ332" s="231">
        <v>0</v>
      </c>
      <c r="AR332" s="231">
        <v>0</v>
      </c>
      <c r="AS332" s="231">
        <v>0</v>
      </c>
      <c r="AT332" s="231">
        <v>0</v>
      </c>
      <c r="AU332" s="323">
        <v>0</v>
      </c>
      <c r="AV332" s="231">
        <v>0</v>
      </c>
      <c r="AW332" s="231">
        <v>0</v>
      </c>
      <c r="AX332" s="231">
        <v>0</v>
      </c>
      <c r="AY332" s="231">
        <v>0</v>
      </c>
      <c r="AZ332" s="230">
        <v>0</v>
      </c>
      <c r="BA332" s="2" t="s">
        <v>1235</v>
      </c>
    </row>
    <row r="333" spans="1:58" ht="15" customHeight="1" x14ac:dyDescent="0.25">
      <c r="A333" s="241" t="s">
        <v>411</v>
      </c>
      <c r="B333" s="2" t="s">
        <v>22</v>
      </c>
      <c r="D333" s="241" t="s">
        <v>412</v>
      </c>
      <c r="E333" s="241" t="s">
        <v>413</v>
      </c>
      <c r="H333" s="349" t="s">
        <v>1057</v>
      </c>
      <c r="I333" s="367" t="s">
        <v>1048</v>
      </c>
      <c r="J333" s="2">
        <v>519849</v>
      </c>
      <c r="K333" s="2">
        <v>175357</v>
      </c>
      <c r="L333" s="293"/>
      <c r="M333" s="364">
        <v>0</v>
      </c>
      <c r="N333" s="364">
        <v>0</v>
      </c>
      <c r="O333" s="364">
        <v>1</v>
      </c>
      <c r="P333" s="364">
        <v>0</v>
      </c>
      <c r="Q333" s="364"/>
      <c r="R333" s="364"/>
      <c r="S333" s="364"/>
      <c r="T333" s="365">
        <v>1</v>
      </c>
      <c r="U333" s="364">
        <v>1</v>
      </c>
      <c r="V333" s="364">
        <v>4</v>
      </c>
      <c r="W333" s="364">
        <v>0</v>
      </c>
      <c r="X333" s="364">
        <v>0</v>
      </c>
      <c r="Y333" s="364">
        <v>0</v>
      </c>
      <c r="Z333" s="364"/>
      <c r="AA333" s="364"/>
      <c r="AB333" s="364"/>
      <c r="AC333" s="365">
        <v>5</v>
      </c>
      <c r="AD333" s="364">
        <f>U333-L333</f>
        <v>1</v>
      </c>
      <c r="AE333" s="364">
        <f t="shared" si="82"/>
        <v>4</v>
      </c>
      <c r="AF333" s="364">
        <f t="shared" si="83"/>
        <v>0</v>
      </c>
      <c r="AG333" s="364">
        <f t="shared" si="84"/>
        <v>-1</v>
      </c>
      <c r="AH333" s="364">
        <f t="shared" si="85"/>
        <v>0</v>
      </c>
      <c r="AI333" s="364">
        <f t="shared" si="86"/>
        <v>0</v>
      </c>
      <c r="AJ333" s="364">
        <f t="shared" si="87"/>
        <v>0</v>
      </c>
      <c r="AK333" s="364">
        <f t="shared" si="88"/>
        <v>0</v>
      </c>
      <c r="AL333" s="348">
        <f t="shared" si="81"/>
        <v>4</v>
      </c>
      <c r="AM333" s="232"/>
      <c r="AN333" s="322">
        <v>0</v>
      </c>
      <c r="AO333" s="231">
        <v>1</v>
      </c>
      <c r="AP333" s="228">
        <v>1</v>
      </c>
      <c r="AQ333" s="231">
        <v>1</v>
      </c>
      <c r="AR333" s="231">
        <v>1</v>
      </c>
      <c r="AS333" s="231">
        <v>0</v>
      </c>
      <c r="AT333" s="231">
        <v>0</v>
      </c>
      <c r="AU333" s="323" t="s">
        <v>39</v>
      </c>
      <c r="AV333" s="231">
        <v>0</v>
      </c>
      <c r="AW333" s="231">
        <v>0</v>
      </c>
      <c r="AX333" s="231">
        <v>0</v>
      </c>
      <c r="AY333" s="231">
        <v>0</v>
      </c>
      <c r="AZ333" s="230">
        <v>0</v>
      </c>
      <c r="BA333" s="2" t="s">
        <v>1234</v>
      </c>
    </row>
    <row r="334" spans="1:58" ht="15" customHeight="1" x14ac:dyDescent="0.25">
      <c r="A334" s="241" t="s">
        <v>562</v>
      </c>
      <c r="B334" s="2" t="s">
        <v>26</v>
      </c>
      <c r="D334" s="241" t="s">
        <v>563</v>
      </c>
      <c r="E334" s="241" t="s">
        <v>564</v>
      </c>
      <c r="H334" s="349" t="s">
        <v>1057</v>
      </c>
      <c r="I334" s="367" t="s">
        <v>1048</v>
      </c>
      <c r="J334" s="2">
        <v>519061</v>
      </c>
      <c r="K334" s="2">
        <v>176659</v>
      </c>
      <c r="L334" s="293"/>
      <c r="M334" s="364">
        <v>0</v>
      </c>
      <c r="N334" s="364">
        <v>1</v>
      </c>
      <c r="O334" s="364">
        <v>0</v>
      </c>
      <c r="P334" s="364">
        <v>0</v>
      </c>
      <c r="Q334" s="364"/>
      <c r="R334" s="364"/>
      <c r="S334" s="364"/>
      <c r="T334" s="365">
        <v>1</v>
      </c>
      <c r="U334" s="364"/>
      <c r="V334" s="364">
        <v>2</v>
      </c>
      <c r="W334" s="364">
        <v>0</v>
      </c>
      <c r="X334" s="364">
        <v>0</v>
      </c>
      <c r="Y334" s="364">
        <v>0</v>
      </c>
      <c r="Z334" s="364"/>
      <c r="AA334" s="364"/>
      <c r="AB334" s="364"/>
      <c r="AC334" s="365">
        <v>2</v>
      </c>
      <c r="AD334" s="364"/>
      <c r="AE334" s="364">
        <f t="shared" si="82"/>
        <v>2</v>
      </c>
      <c r="AF334" s="364">
        <f t="shared" si="83"/>
        <v>-1</v>
      </c>
      <c r="AG334" s="364">
        <f t="shared" si="84"/>
        <v>0</v>
      </c>
      <c r="AH334" s="364">
        <f t="shared" si="85"/>
        <v>0</v>
      </c>
      <c r="AI334" s="364">
        <f t="shared" si="86"/>
        <v>0</v>
      </c>
      <c r="AJ334" s="364">
        <f t="shared" si="87"/>
        <v>0</v>
      </c>
      <c r="AK334" s="364">
        <f t="shared" si="88"/>
        <v>0</v>
      </c>
      <c r="AL334" s="348">
        <f t="shared" si="81"/>
        <v>1</v>
      </c>
      <c r="AM334" s="232"/>
      <c r="AN334" s="322">
        <v>0</v>
      </c>
      <c r="AO334" s="231">
        <v>0</v>
      </c>
      <c r="AP334" s="228">
        <v>0</v>
      </c>
      <c r="AQ334" s="231">
        <v>0</v>
      </c>
      <c r="AR334" s="231">
        <v>0</v>
      </c>
      <c r="AS334" s="231">
        <v>0</v>
      </c>
      <c r="AT334" s="231">
        <v>0</v>
      </c>
      <c r="AU334" s="323">
        <v>0</v>
      </c>
      <c r="AV334" s="231">
        <v>0</v>
      </c>
      <c r="AW334" s="231">
        <v>0</v>
      </c>
      <c r="AX334" s="231">
        <v>0</v>
      </c>
      <c r="AY334" s="231">
        <v>0</v>
      </c>
      <c r="AZ334" s="230">
        <v>0</v>
      </c>
      <c r="BA334" s="2" t="s">
        <v>1232</v>
      </c>
    </row>
    <row r="335" spans="1:58" ht="15" customHeight="1" x14ac:dyDescent="0.25">
      <c r="A335" s="241" t="s">
        <v>639</v>
      </c>
      <c r="B335" s="2" t="s">
        <v>5</v>
      </c>
      <c r="D335" s="241" t="s">
        <v>640</v>
      </c>
      <c r="E335" s="241" t="s">
        <v>641</v>
      </c>
      <c r="H335" s="241" t="s">
        <v>1057</v>
      </c>
      <c r="I335" s="367" t="s">
        <v>1048</v>
      </c>
      <c r="J335" s="2">
        <v>515922</v>
      </c>
      <c r="K335" s="2">
        <v>171125</v>
      </c>
      <c r="L335" s="293"/>
      <c r="M335" s="364">
        <v>1</v>
      </c>
      <c r="N335" s="364">
        <v>0</v>
      </c>
      <c r="O335" s="364">
        <v>0</v>
      </c>
      <c r="P335" s="364">
        <v>0</v>
      </c>
      <c r="Q335" s="364"/>
      <c r="R335" s="364"/>
      <c r="S335" s="364"/>
      <c r="T335" s="365">
        <v>1</v>
      </c>
      <c r="U335" s="364"/>
      <c r="V335" s="364">
        <v>0</v>
      </c>
      <c r="W335" s="364">
        <v>0</v>
      </c>
      <c r="X335" s="364">
        <v>0</v>
      </c>
      <c r="Y335" s="364">
        <v>0</v>
      </c>
      <c r="Z335" s="364"/>
      <c r="AA335" s="364"/>
      <c r="AB335" s="364"/>
      <c r="AC335" s="365">
        <v>0</v>
      </c>
      <c r="AD335" s="364"/>
      <c r="AE335" s="364">
        <f t="shared" si="82"/>
        <v>-1</v>
      </c>
      <c r="AF335" s="364">
        <f t="shared" si="83"/>
        <v>0</v>
      </c>
      <c r="AG335" s="364">
        <f t="shared" si="84"/>
        <v>0</v>
      </c>
      <c r="AH335" s="364">
        <f t="shared" si="85"/>
        <v>0</v>
      </c>
      <c r="AI335" s="364">
        <f t="shared" si="86"/>
        <v>0</v>
      </c>
      <c r="AJ335" s="364">
        <f t="shared" si="87"/>
        <v>0</v>
      </c>
      <c r="AK335" s="364">
        <f t="shared" si="88"/>
        <v>0</v>
      </c>
      <c r="AL335" s="348">
        <f t="shared" si="81"/>
        <v>-1</v>
      </c>
      <c r="AM335" s="232"/>
      <c r="AN335" s="322">
        <v>0</v>
      </c>
      <c r="AO335" s="231">
        <v>-0.25</v>
      </c>
      <c r="AP335" s="228">
        <v>-0.25</v>
      </c>
      <c r="AQ335" s="231">
        <v>-0.25</v>
      </c>
      <c r="AR335" s="231">
        <v>-0.25</v>
      </c>
      <c r="AS335" s="231">
        <v>0</v>
      </c>
      <c r="AT335" s="231">
        <v>0</v>
      </c>
      <c r="AU335" s="323" t="s">
        <v>39</v>
      </c>
      <c r="AV335" s="231">
        <v>0</v>
      </c>
      <c r="AW335" s="231">
        <v>0</v>
      </c>
      <c r="AX335" s="231">
        <v>0</v>
      </c>
      <c r="AY335" s="231">
        <v>0</v>
      </c>
      <c r="AZ335" s="230">
        <v>0</v>
      </c>
      <c r="BA335" s="2" t="s">
        <v>1215</v>
      </c>
      <c r="BD335" s="2" t="s">
        <v>1215</v>
      </c>
    </row>
    <row r="336" spans="1:58" ht="15" customHeight="1" x14ac:dyDescent="0.25">
      <c r="A336" s="241" t="s">
        <v>376</v>
      </c>
      <c r="B336" s="2" t="s">
        <v>9</v>
      </c>
      <c r="D336" s="241" t="s">
        <v>374</v>
      </c>
      <c r="E336" s="241" t="s">
        <v>377</v>
      </c>
      <c r="H336" s="349" t="s">
        <v>1057</v>
      </c>
      <c r="I336" s="367" t="s">
        <v>1048</v>
      </c>
      <c r="J336" s="2">
        <v>520397</v>
      </c>
      <c r="K336" s="2">
        <v>175552</v>
      </c>
      <c r="L336" s="293"/>
      <c r="M336" s="364">
        <v>0</v>
      </c>
      <c r="N336" s="364">
        <v>0</v>
      </c>
      <c r="O336" s="364">
        <v>0</v>
      </c>
      <c r="P336" s="364">
        <v>0</v>
      </c>
      <c r="Q336" s="364"/>
      <c r="R336" s="364"/>
      <c r="S336" s="364"/>
      <c r="T336" s="365">
        <v>0</v>
      </c>
      <c r="U336" s="364"/>
      <c r="V336" s="364">
        <v>0</v>
      </c>
      <c r="W336" s="364">
        <v>0</v>
      </c>
      <c r="X336" s="364">
        <v>3</v>
      </c>
      <c r="Y336" s="364">
        <v>0</v>
      </c>
      <c r="Z336" s="364"/>
      <c r="AA336" s="364"/>
      <c r="AB336" s="364"/>
      <c r="AC336" s="365">
        <v>3</v>
      </c>
      <c r="AD336" s="364"/>
      <c r="AE336" s="364">
        <f t="shared" si="82"/>
        <v>0</v>
      </c>
      <c r="AF336" s="364">
        <f t="shared" si="83"/>
        <v>0</v>
      </c>
      <c r="AG336" s="364">
        <f t="shared" si="84"/>
        <v>3</v>
      </c>
      <c r="AH336" s="364">
        <f t="shared" si="85"/>
        <v>0</v>
      </c>
      <c r="AI336" s="364">
        <f t="shared" si="86"/>
        <v>0</v>
      </c>
      <c r="AJ336" s="364">
        <f t="shared" si="87"/>
        <v>0</v>
      </c>
      <c r="AK336" s="364">
        <f t="shared" si="88"/>
        <v>0</v>
      </c>
      <c r="AL336" s="348">
        <f t="shared" si="81"/>
        <v>3</v>
      </c>
      <c r="AM336" s="232"/>
      <c r="AN336" s="322">
        <v>0</v>
      </c>
      <c r="AO336" s="231">
        <v>0</v>
      </c>
      <c r="AP336" s="228">
        <v>1</v>
      </c>
      <c r="AQ336" s="231">
        <v>1</v>
      </c>
      <c r="AR336" s="231">
        <v>1</v>
      </c>
      <c r="AS336" s="231">
        <v>0</v>
      </c>
      <c r="AT336" s="231">
        <v>0</v>
      </c>
      <c r="AU336" s="323" t="s">
        <v>39</v>
      </c>
      <c r="AV336" s="231">
        <v>0</v>
      </c>
      <c r="AW336" s="231">
        <v>0</v>
      </c>
      <c r="AX336" s="231">
        <v>0</v>
      </c>
      <c r="AY336" s="231">
        <v>0</v>
      </c>
      <c r="AZ336" s="230">
        <v>0</v>
      </c>
      <c r="BA336" s="2" t="s">
        <v>1212</v>
      </c>
      <c r="BD336" s="2" t="s">
        <v>1212</v>
      </c>
    </row>
    <row r="337" spans="1:58" ht="15" customHeight="1" x14ac:dyDescent="0.25">
      <c r="A337" s="241" t="s">
        <v>373</v>
      </c>
      <c r="B337" s="2" t="s">
        <v>26</v>
      </c>
      <c r="C337" s="2" t="s">
        <v>1037</v>
      </c>
      <c r="D337" s="241" t="s">
        <v>374</v>
      </c>
      <c r="E337" s="241" t="s">
        <v>375</v>
      </c>
      <c r="H337" s="349" t="s">
        <v>1057</v>
      </c>
      <c r="I337" s="367" t="s">
        <v>1048</v>
      </c>
      <c r="J337" s="2">
        <v>520397</v>
      </c>
      <c r="K337" s="2">
        <v>175552</v>
      </c>
      <c r="L337" s="293"/>
      <c r="M337" s="364">
        <v>0</v>
      </c>
      <c r="N337" s="364">
        <v>0</v>
      </c>
      <c r="O337" s="364">
        <v>0</v>
      </c>
      <c r="P337" s="364">
        <v>0</v>
      </c>
      <c r="Q337" s="364"/>
      <c r="R337" s="364"/>
      <c r="S337" s="364"/>
      <c r="T337" s="365">
        <v>0</v>
      </c>
      <c r="U337" s="364"/>
      <c r="V337" s="364">
        <v>0</v>
      </c>
      <c r="W337" s="364">
        <v>0</v>
      </c>
      <c r="X337" s="364">
        <v>5</v>
      </c>
      <c r="Y337" s="364">
        <v>0</v>
      </c>
      <c r="Z337" s="364"/>
      <c r="AA337" s="364"/>
      <c r="AB337" s="364"/>
      <c r="AC337" s="365">
        <v>5</v>
      </c>
      <c r="AD337" s="364"/>
      <c r="AE337" s="364">
        <f t="shared" si="82"/>
        <v>0</v>
      </c>
      <c r="AF337" s="364">
        <f t="shared" si="83"/>
        <v>0</v>
      </c>
      <c r="AG337" s="364">
        <f t="shared" si="84"/>
        <v>5</v>
      </c>
      <c r="AH337" s="364">
        <f t="shared" si="85"/>
        <v>0</v>
      </c>
      <c r="AI337" s="364">
        <f t="shared" si="86"/>
        <v>0</v>
      </c>
      <c r="AJ337" s="364">
        <f t="shared" si="87"/>
        <v>0</v>
      </c>
      <c r="AK337" s="364">
        <f t="shared" si="88"/>
        <v>0</v>
      </c>
      <c r="AL337" s="348">
        <f t="shared" si="81"/>
        <v>5</v>
      </c>
      <c r="AM337" s="232"/>
      <c r="AN337" s="322">
        <v>0</v>
      </c>
      <c r="AO337" s="231">
        <v>1.25</v>
      </c>
      <c r="AP337" s="228">
        <v>1.25</v>
      </c>
      <c r="AQ337" s="231">
        <v>1.25</v>
      </c>
      <c r="AR337" s="231">
        <v>1.25</v>
      </c>
      <c r="AS337" s="231">
        <v>0</v>
      </c>
      <c r="AT337" s="231">
        <v>0</v>
      </c>
      <c r="AU337" s="323" t="s">
        <v>39</v>
      </c>
      <c r="AV337" s="231">
        <v>0</v>
      </c>
      <c r="AW337" s="231">
        <v>0</v>
      </c>
      <c r="AX337" s="231">
        <v>0</v>
      </c>
      <c r="AY337" s="231">
        <v>0</v>
      </c>
      <c r="AZ337" s="230">
        <v>0</v>
      </c>
      <c r="BA337" s="2" t="s">
        <v>1212</v>
      </c>
      <c r="BD337" s="2" t="s">
        <v>1212</v>
      </c>
    </row>
    <row r="338" spans="1:58" ht="15" customHeight="1" x14ac:dyDescent="0.25">
      <c r="A338" s="241" t="s">
        <v>343</v>
      </c>
      <c r="B338" s="2" t="s">
        <v>26</v>
      </c>
      <c r="D338" s="241" t="s">
        <v>344</v>
      </c>
      <c r="E338" s="241" t="s">
        <v>345</v>
      </c>
      <c r="H338" s="349" t="s">
        <v>1057</v>
      </c>
      <c r="I338" s="367" t="s">
        <v>1048</v>
      </c>
      <c r="J338" s="2">
        <v>518862</v>
      </c>
      <c r="K338" s="2">
        <v>175562</v>
      </c>
      <c r="L338" s="293"/>
      <c r="M338" s="364">
        <v>1</v>
      </c>
      <c r="N338" s="364">
        <v>0</v>
      </c>
      <c r="O338" s="364">
        <v>0</v>
      </c>
      <c r="P338" s="364">
        <v>0</v>
      </c>
      <c r="Q338" s="364"/>
      <c r="R338" s="364"/>
      <c r="S338" s="364"/>
      <c r="T338" s="365">
        <v>1</v>
      </c>
      <c r="U338" s="364"/>
      <c r="V338" s="364">
        <v>2</v>
      </c>
      <c r="W338" s="364">
        <v>0</v>
      </c>
      <c r="X338" s="364">
        <v>0</v>
      </c>
      <c r="Y338" s="364">
        <v>0</v>
      </c>
      <c r="Z338" s="364"/>
      <c r="AA338" s="364"/>
      <c r="AB338" s="364"/>
      <c r="AC338" s="365">
        <v>2</v>
      </c>
      <c r="AD338" s="364"/>
      <c r="AE338" s="364">
        <f t="shared" si="82"/>
        <v>1</v>
      </c>
      <c r="AF338" s="364">
        <f t="shared" si="83"/>
        <v>0</v>
      </c>
      <c r="AG338" s="364">
        <f t="shared" si="84"/>
        <v>0</v>
      </c>
      <c r="AH338" s="364">
        <f t="shared" si="85"/>
        <v>0</v>
      </c>
      <c r="AI338" s="364">
        <f t="shared" si="86"/>
        <v>0</v>
      </c>
      <c r="AJ338" s="364">
        <f t="shared" si="87"/>
        <v>0</v>
      </c>
      <c r="AK338" s="364">
        <f t="shared" si="88"/>
        <v>0</v>
      </c>
      <c r="AL338" s="348">
        <f t="shared" si="81"/>
        <v>1</v>
      </c>
      <c r="AM338" s="232"/>
      <c r="AN338" s="322">
        <v>0</v>
      </c>
      <c r="AO338" s="231">
        <v>0.25</v>
      </c>
      <c r="AP338" s="228">
        <v>0.25</v>
      </c>
      <c r="AQ338" s="231">
        <v>0.25</v>
      </c>
      <c r="AR338" s="231">
        <v>0.25</v>
      </c>
      <c r="AS338" s="231">
        <v>0</v>
      </c>
      <c r="AT338" s="231">
        <v>0</v>
      </c>
      <c r="AU338" s="323" t="s">
        <v>39</v>
      </c>
      <c r="AV338" s="231">
        <v>0</v>
      </c>
      <c r="AW338" s="231">
        <v>0</v>
      </c>
      <c r="AX338" s="231">
        <v>0</v>
      </c>
      <c r="AY338" s="231">
        <v>0</v>
      </c>
      <c r="AZ338" s="230">
        <v>0</v>
      </c>
      <c r="BA338" s="2" t="s">
        <v>1234</v>
      </c>
    </row>
    <row r="339" spans="1:58" ht="15" customHeight="1" x14ac:dyDescent="0.25">
      <c r="A339" s="241" t="s">
        <v>408</v>
      </c>
      <c r="B339" s="2" t="s">
        <v>26</v>
      </c>
      <c r="C339" s="2" t="s">
        <v>1037</v>
      </c>
      <c r="D339" s="241" t="s">
        <v>409</v>
      </c>
      <c r="E339" s="241" t="s">
        <v>410</v>
      </c>
      <c r="H339" s="349" t="s">
        <v>1057</v>
      </c>
      <c r="I339" s="367" t="s">
        <v>1048</v>
      </c>
      <c r="J339" s="2">
        <v>520124</v>
      </c>
      <c r="K339" s="2">
        <v>175293</v>
      </c>
      <c r="L339" s="293"/>
      <c r="M339" s="364">
        <v>0</v>
      </c>
      <c r="N339" s="364">
        <v>0</v>
      </c>
      <c r="O339" s="364">
        <v>0</v>
      </c>
      <c r="P339" s="364">
        <v>0</v>
      </c>
      <c r="Q339" s="364"/>
      <c r="R339" s="364"/>
      <c r="S339" s="364"/>
      <c r="T339" s="365">
        <v>0</v>
      </c>
      <c r="U339" s="364"/>
      <c r="V339" s="364">
        <v>1</v>
      </c>
      <c r="W339" s="364">
        <v>0</v>
      </c>
      <c r="X339" s="364">
        <v>0</v>
      </c>
      <c r="Y339" s="364">
        <v>0</v>
      </c>
      <c r="Z339" s="364"/>
      <c r="AA339" s="364"/>
      <c r="AB339" s="364"/>
      <c r="AC339" s="365">
        <v>1</v>
      </c>
      <c r="AD339" s="364"/>
      <c r="AE339" s="364">
        <f t="shared" si="82"/>
        <v>1</v>
      </c>
      <c r="AF339" s="364">
        <f t="shared" si="83"/>
        <v>0</v>
      </c>
      <c r="AG339" s="364">
        <f t="shared" si="84"/>
        <v>0</v>
      </c>
      <c r="AH339" s="364">
        <f t="shared" si="85"/>
        <v>0</v>
      </c>
      <c r="AI339" s="364">
        <f t="shared" si="86"/>
        <v>0</v>
      </c>
      <c r="AJ339" s="364">
        <f t="shared" si="87"/>
        <v>0</v>
      </c>
      <c r="AK339" s="364">
        <f t="shared" si="88"/>
        <v>0</v>
      </c>
      <c r="AL339" s="348">
        <f t="shared" si="81"/>
        <v>1</v>
      </c>
      <c r="AM339" s="232"/>
      <c r="AN339" s="322">
        <v>0</v>
      </c>
      <c r="AO339" s="231">
        <v>1</v>
      </c>
      <c r="AP339" s="228">
        <v>0</v>
      </c>
      <c r="AQ339" s="231">
        <v>0</v>
      </c>
      <c r="AR339" s="231">
        <v>0</v>
      </c>
      <c r="AS339" s="231">
        <v>0</v>
      </c>
      <c r="AT339" s="231">
        <v>0</v>
      </c>
      <c r="AU339" s="323">
        <v>0</v>
      </c>
      <c r="AV339" s="231">
        <v>0</v>
      </c>
      <c r="AW339" s="231">
        <v>0</v>
      </c>
      <c r="AX339" s="231">
        <v>0</v>
      </c>
      <c r="AY339" s="231">
        <v>0</v>
      </c>
      <c r="AZ339" s="230">
        <v>0</v>
      </c>
      <c r="BA339" s="2" t="s">
        <v>1212</v>
      </c>
      <c r="BD339" s="2" t="s">
        <v>1212</v>
      </c>
    </row>
    <row r="340" spans="1:58" ht="15" customHeight="1" x14ac:dyDescent="0.25">
      <c r="A340" s="241" t="s">
        <v>861</v>
      </c>
      <c r="B340" s="2" t="s">
        <v>22</v>
      </c>
      <c r="D340" s="241" t="s">
        <v>862</v>
      </c>
      <c r="E340" s="241" t="s">
        <v>863</v>
      </c>
      <c r="H340" s="349" t="s">
        <v>1057</v>
      </c>
      <c r="I340" s="367" t="s">
        <v>1048</v>
      </c>
      <c r="J340" s="2">
        <v>513713</v>
      </c>
      <c r="K340" s="2">
        <v>172406</v>
      </c>
      <c r="L340" s="293"/>
      <c r="M340" s="364">
        <v>0</v>
      </c>
      <c r="N340" s="364">
        <v>0</v>
      </c>
      <c r="O340" s="364">
        <v>0</v>
      </c>
      <c r="P340" s="364">
        <v>0</v>
      </c>
      <c r="Q340" s="364"/>
      <c r="R340" s="364"/>
      <c r="S340" s="364"/>
      <c r="T340" s="365">
        <v>0</v>
      </c>
      <c r="U340" s="364"/>
      <c r="V340" s="364">
        <v>0</v>
      </c>
      <c r="W340" s="364">
        <v>0</v>
      </c>
      <c r="X340" s="364">
        <v>1</v>
      </c>
      <c r="Y340" s="364">
        <v>0</v>
      </c>
      <c r="Z340" s="364"/>
      <c r="AA340" s="364"/>
      <c r="AB340" s="364"/>
      <c r="AC340" s="365">
        <v>1</v>
      </c>
      <c r="AD340" s="364"/>
      <c r="AE340" s="364">
        <f t="shared" si="82"/>
        <v>0</v>
      </c>
      <c r="AF340" s="364">
        <f t="shared" si="83"/>
        <v>0</v>
      </c>
      <c r="AG340" s="364">
        <f t="shared" si="84"/>
        <v>1</v>
      </c>
      <c r="AH340" s="364">
        <f t="shared" si="85"/>
        <v>0</v>
      </c>
      <c r="AI340" s="364">
        <f t="shared" si="86"/>
        <v>0</v>
      </c>
      <c r="AJ340" s="364">
        <f t="shared" si="87"/>
        <v>0</v>
      </c>
      <c r="AK340" s="364">
        <f t="shared" si="88"/>
        <v>0</v>
      </c>
      <c r="AL340" s="348">
        <f t="shared" si="81"/>
        <v>1</v>
      </c>
      <c r="AN340" s="322">
        <v>0</v>
      </c>
      <c r="AO340" s="231">
        <v>0.25</v>
      </c>
      <c r="AP340" s="228">
        <v>0.25</v>
      </c>
      <c r="AQ340" s="231">
        <v>0.25</v>
      </c>
      <c r="AR340" s="231">
        <v>0.25</v>
      </c>
      <c r="AS340" s="231">
        <v>0</v>
      </c>
      <c r="AT340" s="231">
        <v>0</v>
      </c>
      <c r="AU340" s="323" t="s">
        <v>39</v>
      </c>
      <c r="AV340" s="231">
        <v>0</v>
      </c>
      <c r="AW340" s="231">
        <v>0</v>
      </c>
      <c r="AX340" s="231">
        <v>0</v>
      </c>
      <c r="AY340" s="231">
        <v>0</v>
      </c>
      <c r="AZ340" s="230">
        <v>0</v>
      </c>
      <c r="BA340" s="2" t="s">
        <v>1239</v>
      </c>
    </row>
    <row r="341" spans="1:58" ht="15" customHeight="1" x14ac:dyDescent="0.25">
      <c r="A341" s="241" t="s">
        <v>882</v>
      </c>
      <c r="B341" s="2" t="s">
        <v>9</v>
      </c>
      <c r="D341" s="241" t="s">
        <v>883</v>
      </c>
      <c r="E341" s="241" t="s">
        <v>884</v>
      </c>
      <c r="H341" s="349" t="s">
        <v>1057</v>
      </c>
      <c r="I341" s="367" t="s">
        <v>1048</v>
      </c>
      <c r="J341" s="2">
        <v>514703</v>
      </c>
      <c r="K341" s="2">
        <v>172701</v>
      </c>
      <c r="L341" s="293"/>
      <c r="M341" s="364">
        <v>0</v>
      </c>
      <c r="N341" s="364">
        <v>0</v>
      </c>
      <c r="O341" s="364">
        <v>0</v>
      </c>
      <c r="P341" s="364">
        <v>0</v>
      </c>
      <c r="Q341" s="364"/>
      <c r="R341" s="364"/>
      <c r="S341" s="364"/>
      <c r="T341" s="365">
        <v>0</v>
      </c>
      <c r="U341" s="364"/>
      <c r="V341" s="364">
        <v>0</v>
      </c>
      <c r="W341" s="364">
        <v>1</v>
      </c>
      <c r="X341" s="364">
        <v>0</v>
      </c>
      <c r="Y341" s="364">
        <v>0</v>
      </c>
      <c r="Z341" s="364"/>
      <c r="AA341" s="364"/>
      <c r="AB341" s="364"/>
      <c r="AC341" s="365">
        <v>1</v>
      </c>
      <c r="AD341" s="364"/>
      <c r="AE341" s="364">
        <f t="shared" si="82"/>
        <v>0</v>
      </c>
      <c r="AF341" s="364">
        <f t="shared" si="83"/>
        <v>1</v>
      </c>
      <c r="AG341" s="364">
        <f t="shared" si="84"/>
        <v>0</v>
      </c>
      <c r="AH341" s="364">
        <f t="shared" si="85"/>
        <v>0</v>
      </c>
      <c r="AI341" s="364">
        <f t="shared" si="86"/>
        <v>0</v>
      </c>
      <c r="AJ341" s="364">
        <f t="shared" si="87"/>
        <v>0</v>
      </c>
      <c r="AK341" s="364">
        <f t="shared" si="88"/>
        <v>0</v>
      </c>
      <c r="AL341" s="348">
        <f t="shared" si="81"/>
        <v>1</v>
      </c>
      <c r="AN341" s="322">
        <v>0</v>
      </c>
      <c r="AO341" s="231">
        <v>0</v>
      </c>
      <c r="AP341" s="228">
        <v>0.33333333333333331</v>
      </c>
      <c r="AQ341" s="231">
        <v>0.33333333333333331</v>
      </c>
      <c r="AR341" s="231">
        <v>0.33333333333333331</v>
      </c>
      <c r="AS341" s="231">
        <v>0</v>
      </c>
      <c r="AT341" s="231">
        <v>0</v>
      </c>
      <c r="AU341" s="323" t="s">
        <v>39</v>
      </c>
      <c r="AV341" s="231">
        <v>0</v>
      </c>
      <c r="AW341" s="231">
        <v>0</v>
      </c>
      <c r="AX341" s="231">
        <v>0</v>
      </c>
      <c r="AY341" s="231">
        <v>0</v>
      </c>
      <c r="AZ341" s="230">
        <v>0</v>
      </c>
      <c r="BA341" s="2" t="s">
        <v>1239</v>
      </c>
    </row>
    <row r="342" spans="1:58" ht="15" customHeight="1" x14ac:dyDescent="0.25">
      <c r="A342" s="241" t="s">
        <v>598</v>
      </c>
      <c r="B342" s="2" t="s">
        <v>9</v>
      </c>
      <c r="D342" s="241" t="s">
        <v>599</v>
      </c>
      <c r="E342" s="241" t="s">
        <v>600</v>
      </c>
      <c r="H342" s="349" t="s">
        <v>1057</v>
      </c>
      <c r="I342" s="367" t="s">
        <v>1048</v>
      </c>
      <c r="J342" s="2">
        <v>517388</v>
      </c>
      <c r="K342" s="2">
        <v>170706</v>
      </c>
      <c r="L342" s="293"/>
      <c r="M342" s="364">
        <v>0</v>
      </c>
      <c r="N342" s="364">
        <v>0</v>
      </c>
      <c r="O342" s="364">
        <v>0</v>
      </c>
      <c r="P342" s="364">
        <v>0</v>
      </c>
      <c r="Q342" s="364"/>
      <c r="R342" s="364"/>
      <c r="S342" s="364"/>
      <c r="T342" s="365">
        <v>0</v>
      </c>
      <c r="U342" s="364"/>
      <c r="V342" s="364">
        <v>1</v>
      </c>
      <c r="W342" s="364">
        <v>0</v>
      </c>
      <c r="X342" s="364">
        <v>0</v>
      </c>
      <c r="Y342" s="364">
        <v>0</v>
      </c>
      <c r="Z342" s="364"/>
      <c r="AA342" s="364"/>
      <c r="AB342" s="364"/>
      <c r="AC342" s="365">
        <v>1</v>
      </c>
      <c r="AD342" s="364"/>
      <c r="AE342" s="364">
        <f t="shared" si="82"/>
        <v>1</v>
      </c>
      <c r="AF342" s="364">
        <f t="shared" si="83"/>
        <v>0</v>
      </c>
      <c r="AG342" s="364">
        <f t="shared" si="84"/>
        <v>0</v>
      </c>
      <c r="AH342" s="364">
        <f t="shared" si="85"/>
        <v>0</v>
      </c>
      <c r="AI342" s="364">
        <f t="shared" si="86"/>
        <v>0</v>
      </c>
      <c r="AJ342" s="364">
        <f t="shared" si="87"/>
        <v>0</v>
      </c>
      <c r="AK342" s="364">
        <f t="shared" si="88"/>
        <v>0</v>
      </c>
      <c r="AL342" s="348">
        <f t="shared" ref="AL342:AL366" si="89">AC342-T342</f>
        <v>1</v>
      </c>
      <c r="AM342" s="232"/>
      <c r="AN342" s="322">
        <v>0</v>
      </c>
      <c r="AO342" s="231">
        <v>0</v>
      </c>
      <c r="AP342" s="228">
        <v>0.33333333333333331</v>
      </c>
      <c r="AQ342" s="231">
        <v>0.33333333333333331</v>
      </c>
      <c r="AR342" s="231">
        <v>0.33333333333333331</v>
      </c>
      <c r="AS342" s="231">
        <v>0</v>
      </c>
      <c r="AT342" s="231">
        <v>0</v>
      </c>
      <c r="AU342" s="323" t="s">
        <v>39</v>
      </c>
      <c r="AV342" s="231">
        <v>0</v>
      </c>
      <c r="AW342" s="231">
        <v>0</v>
      </c>
      <c r="AX342" s="231">
        <v>0</v>
      </c>
      <c r="AY342" s="231">
        <v>0</v>
      </c>
      <c r="AZ342" s="230">
        <v>0</v>
      </c>
      <c r="BA342" s="2" t="s">
        <v>1230</v>
      </c>
      <c r="BF342" s="232" t="s">
        <v>39</v>
      </c>
    </row>
    <row r="343" spans="1:58" ht="15" customHeight="1" x14ac:dyDescent="0.25">
      <c r="A343" s="241" t="s">
        <v>688</v>
      </c>
      <c r="B343" s="2" t="s">
        <v>9</v>
      </c>
      <c r="D343" s="241" t="s">
        <v>689</v>
      </c>
      <c r="E343" s="241" t="s">
        <v>690</v>
      </c>
      <c r="H343" s="349" t="s">
        <v>1057</v>
      </c>
      <c r="I343" s="367" t="s">
        <v>1048</v>
      </c>
      <c r="J343" s="2">
        <v>515803</v>
      </c>
      <c r="K343" s="2">
        <v>171071</v>
      </c>
      <c r="L343" s="293"/>
      <c r="M343" s="364">
        <v>0</v>
      </c>
      <c r="N343" s="364">
        <v>0</v>
      </c>
      <c r="O343" s="364">
        <v>0</v>
      </c>
      <c r="P343" s="364">
        <v>0</v>
      </c>
      <c r="Q343" s="364"/>
      <c r="R343" s="364"/>
      <c r="S343" s="364"/>
      <c r="T343" s="365">
        <v>0</v>
      </c>
      <c r="U343" s="364"/>
      <c r="V343" s="364">
        <v>0</v>
      </c>
      <c r="W343" s="364">
        <v>0</v>
      </c>
      <c r="X343" s="364">
        <v>0</v>
      </c>
      <c r="Y343" s="364">
        <v>1</v>
      </c>
      <c r="Z343" s="364"/>
      <c r="AA343" s="364"/>
      <c r="AB343" s="364"/>
      <c r="AC343" s="365">
        <v>1</v>
      </c>
      <c r="AD343" s="364"/>
      <c r="AE343" s="364">
        <f t="shared" si="82"/>
        <v>0</v>
      </c>
      <c r="AF343" s="364">
        <f t="shared" si="83"/>
        <v>0</v>
      </c>
      <c r="AG343" s="364">
        <f t="shared" si="84"/>
        <v>0</v>
      </c>
      <c r="AH343" s="364">
        <f t="shared" si="85"/>
        <v>1</v>
      </c>
      <c r="AI343" s="364">
        <f t="shared" si="86"/>
        <v>0</v>
      </c>
      <c r="AJ343" s="364">
        <f t="shared" si="87"/>
        <v>0</v>
      </c>
      <c r="AK343" s="364">
        <f t="shared" si="88"/>
        <v>0</v>
      </c>
      <c r="AL343" s="348">
        <f t="shared" si="89"/>
        <v>1</v>
      </c>
      <c r="AM343" s="232"/>
      <c r="AN343" s="322">
        <v>0</v>
      </c>
      <c r="AO343" s="231">
        <v>0</v>
      </c>
      <c r="AP343" s="228">
        <v>0.33333333333333331</v>
      </c>
      <c r="AQ343" s="231">
        <v>0.33333333333333331</v>
      </c>
      <c r="AR343" s="231">
        <v>0.33333333333333331</v>
      </c>
      <c r="AS343" s="231">
        <v>0</v>
      </c>
      <c r="AT343" s="231">
        <v>0</v>
      </c>
      <c r="AU343" s="323" t="s">
        <v>39</v>
      </c>
      <c r="AV343" s="231">
        <v>0</v>
      </c>
      <c r="AW343" s="231">
        <v>0</v>
      </c>
      <c r="AX343" s="231">
        <v>0</v>
      </c>
      <c r="AY343" s="231">
        <v>0</v>
      </c>
      <c r="AZ343" s="230">
        <v>0</v>
      </c>
      <c r="BA343" s="2" t="s">
        <v>1215</v>
      </c>
    </row>
    <row r="344" spans="1:58" ht="15" customHeight="1" x14ac:dyDescent="0.25">
      <c r="A344" s="241" t="s">
        <v>674</v>
      </c>
      <c r="B344" s="2" t="s">
        <v>26</v>
      </c>
      <c r="C344" s="2" t="s">
        <v>1037</v>
      </c>
      <c r="D344" s="241" t="s">
        <v>675</v>
      </c>
      <c r="E344" s="241" t="s">
        <v>676</v>
      </c>
      <c r="H344" s="349" t="s">
        <v>1057</v>
      </c>
      <c r="I344" s="367" t="s">
        <v>1048</v>
      </c>
      <c r="J344" s="2">
        <v>515379</v>
      </c>
      <c r="K344" s="2">
        <v>171492</v>
      </c>
      <c r="L344" s="293"/>
      <c r="M344" s="364">
        <v>0</v>
      </c>
      <c r="N344" s="364">
        <v>0</v>
      </c>
      <c r="O344" s="364">
        <v>0</v>
      </c>
      <c r="P344" s="364">
        <v>0</v>
      </c>
      <c r="Q344" s="364"/>
      <c r="R344" s="364"/>
      <c r="S344" s="364"/>
      <c r="T344" s="365">
        <v>0</v>
      </c>
      <c r="U344" s="364"/>
      <c r="V344" s="364">
        <v>0</v>
      </c>
      <c r="W344" s="364">
        <v>0</v>
      </c>
      <c r="X344" s="364">
        <v>0</v>
      </c>
      <c r="Y344" s="364">
        <v>1</v>
      </c>
      <c r="Z344" s="364"/>
      <c r="AA344" s="364"/>
      <c r="AB344" s="364"/>
      <c r="AC344" s="365">
        <v>1</v>
      </c>
      <c r="AD344" s="364"/>
      <c r="AE344" s="364">
        <f t="shared" si="82"/>
        <v>0</v>
      </c>
      <c r="AF344" s="364">
        <f t="shared" si="83"/>
        <v>0</v>
      </c>
      <c r="AG344" s="364">
        <f t="shared" si="84"/>
        <v>0</v>
      </c>
      <c r="AH344" s="364">
        <f t="shared" si="85"/>
        <v>1</v>
      </c>
      <c r="AI344" s="364">
        <f t="shared" si="86"/>
        <v>0</v>
      </c>
      <c r="AJ344" s="364">
        <f t="shared" si="87"/>
        <v>0</v>
      </c>
      <c r="AK344" s="364">
        <f t="shared" si="88"/>
        <v>0</v>
      </c>
      <c r="AL344" s="348">
        <f t="shared" si="89"/>
        <v>1</v>
      </c>
      <c r="AM344" s="232"/>
      <c r="AN344" s="322">
        <v>0</v>
      </c>
      <c r="AO344" s="231">
        <v>0.25</v>
      </c>
      <c r="AP344" s="228">
        <v>0.25</v>
      </c>
      <c r="AQ344" s="231">
        <v>0.25</v>
      </c>
      <c r="AR344" s="231">
        <v>0.25</v>
      </c>
      <c r="AS344" s="231">
        <v>0</v>
      </c>
      <c r="AT344" s="231">
        <v>0</v>
      </c>
      <c r="AU344" s="323" t="s">
        <v>39</v>
      </c>
      <c r="AV344" s="231">
        <v>0</v>
      </c>
      <c r="AW344" s="231">
        <v>0</v>
      </c>
      <c r="AX344" s="231">
        <v>0</v>
      </c>
      <c r="AY344" s="231">
        <v>0</v>
      </c>
      <c r="AZ344" s="230">
        <v>0</v>
      </c>
      <c r="BA344" s="2" t="s">
        <v>1265</v>
      </c>
    </row>
    <row r="345" spans="1:58" ht="15" customHeight="1" x14ac:dyDescent="0.25">
      <c r="A345" s="241" t="s">
        <v>957</v>
      </c>
      <c r="B345" s="2" t="s">
        <v>22</v>
      </c>
      <c r="D345" s="241" t="s">
        <v>958</v>
      </c>
      <c r="E345" s="241" t="s">
        <v>959</v>
      </c>
      <c r="H345" s="349" t="s">
        <v>1057</v>
      </c>
      <c r="I345" s="367" t="s">
        <v>1048</v>
      </c>
      <c r="J345" s="2">
        <v>515913</v>
      </c>
      <c r="K345" s="2">
        <v>173384</v>
      </c>
      <c r="L345" s="293"/>
      <c r="M345" s="364">
        <v>0</v>
      </c>
      <c r="N345" s="364">
        <v>0</v>
      </c>
      <c r="O345" s="364">
        <v>0</v>
      </c>
      <c r="P345" s="364">
        <v>0</v>
      </c>
      <c r="Q345" s="364"/>
      <c r="R345" s="364"/>
      <c r="S345" s="364"/>
      <c r="T345" s="365">
        <v>0</v>
      </c>
      <c r="U345" s="364">
        <v>1</v>
      </c>
      <c r="V345" s="364">
        <v>0</v>
      </c>
      <c r="W345" s="364">
        <v>0</v>
      </c>
      <c r="X345" s="364">
        <v>0</v>
      </c>
      <c r="Y345" s="364">
        <v>0</v>
      </c>
      <c r="Z345" s="364"/>
      <c r="AA345" s="364"/>
      <c r="AB345" s="364"/>
      <c r="AC345" s="365">
        <v>1</v>
      </c>
      <c r="AD345" s="364">
        <f>U345-L345</f>
        <v>1</v>
      </c>
      <c r="AE345" s="364">
        <f t="shared" si="82"/>
        <v>0</v>
      </c>
      <c r="AF345" s="364">
        <f t="shared" si="83"/>
        <v>0</v>
      </c>
      <c r="AG345" s="364">
        <f t="shared" si="84"/>
        <v>0</v>
      </c>
      <c r="AH345" s="364">
        <f t="shared" si="85"/>
        <v>0</v>
      </c>
      <c r="AI345" s="364">
        <f t="shared" si="86"/>
        <v>0</v>
      </c>
      <c r="AJ345" s="364">
        <f t="shared" si="87"/>
        <v>0</v>
      </c>
      <c r="AK345" s="364">
        <f t="shared" si="88"/>
        <v>0</v>
      </c>
      <c r="AL345" s="348">
        <f t="shared" si="89"/>
        <v>1</v>
      </c>
      <c r="AN345" s="322">
        <v>0</v>
      </c>
      <c r="AO345" s="231">
        <v>0.25</v>
      </c>
      <c r="AP345" s="228">
        <v>0.25</v>
      </c>
      <c r="AQ345" s="231">
        <v>0.25</v>
      </c>
      <c r="AR345" s="231">
        <v>0.25</v>
      </c>
      <c r="AS345" s="231">
        <v>0</v>
      </c>
      <c r="AT345" s="231">
        <v>0</v>
      </c>
      <c r="AU345" s="323" t="s">
        <v>39</v>
      </c>
      <c r="AV345" s="231">
        <v>0</v>
      </c>
      <c r="AW345" s="231">
        <v>0</v>
      </c>
      <c r="AX345" s="231">
        <v>0</v>
      </c>
      <c r="AY345" s="231">
        <v>0</v>
      </c>
      <c r="AZ345" s="230">
        <v>0</v>
      </c>
      <c r="BA345" s="2" t="s">
        <v>1238</v>
      </c>
    </row>
    <row r="346" spans="1:58" ht="15" customHeight="1" x14ac:dyDescent="0.25">
      <c r="A346" s="241" t="s">
        <v>278</v>
      </c>
      <c r="B346" s="2" t="s">
        <v>9</v>
      </c>
      <c r="D346" s="241" t="s">
        <v>279</v>
      </c>
      <c r="E346" s="241" t="s">
        <v>280</v>
      </c>
      <c r="H346" s="349" t="s">
        <v>1057</v>
      </c>
      <c r="I346" s="367" t="s">
        <v>1048</v>
      </c>
      <c r="J346" s="2">
        <v>522063</v>
      </c>
      <c r="K346" s="2">
        <v>177165</v>
      </c>
      <c r="L346" s="293"/>
      <c r="M346" s="364">
        <v>0</v>
      </c>
      <c r="N346" s="364">
        <v>0</v>
      </c>
      <c r="O346" s="364">
        <v>0</v>
      </c>
      <c r="P346" s="364">
        <v>0</v>
      </c>
      <c r="Q346" s="364"/>
      <c r="R346" s="372">
        <v>1</v>
      </c>
      <c r="S346" s="364"/>
      <c r="T346" s="365">
        <v>1</v>
      </c>
      <c r="U346" s="364"/>
      <c r="V346" s="364">
        <v>0</v>
      </c>
      <c r="W346" s="364">
        <v>0</v>
      </c>
      <c r="X346" s="364">
        <v>0</v>
      </c>
      <c r="Y346" s="364">
        <v>0</v>
      </c>
      <c r="Z346" s="372">
        <v>1</v>
      </c>
      <c r="AA346" s="364"/>
      <c r="AB346" s="364"/>
      <c r="AC346" s="365">
        <v>1</v>
      </c>
      <c r="AD346" s="364"/>
      <c r="AE346" s="364">
        <f t="shared" ref="AE346:AE366" si="90">V346-M346</f>
        <v>0</v>
      </c>
      <c r="AF346" s="364">
        <f t="shared" ref="AF346:AF366" si="91">W346-N346</f>
        <v>0</v>
      </c>
      <c r="AG346" s="364">
        <f t="shared" ref="AG346:AG366" si="92">X346-O346</f>
        <v>0</v>
      </c>
      <c r="AH346" s="364">
        <f t="shared" ref="AH346:AH366" si="93">Y346-P346</f>
        <v>0</v>
      </c>
      <c r="AI346" s="364">
        <f t="shared" ref="AI346:AI366" si="94">Z346-Q346</f>
        <v>1</v>
      </c>
      <c r="AJ346" s="364">
        <f t="shared" ref="AJ346:AJ366" si="95">AA346-R346</f>
        <v>-1</v>
      </c>
      <c r="AK346" s="364">
        <f t="shared" ref="AK346:AK366" si="96">AB346-S346</f>
        <v>0</v>
      </c>
      <c r="AL346" s="348">
        <f t="shared" si="89"/>
        <v>0</v>
      </c>
      <c r="AM346" s="232"/>
      <c r="AN346" s="322">
        <v>0</v>
      </c>
      <c r="AO346" s="231">
        <v>0</v>
      </c>
      <c r="AP346" s="228">
        <v>0</v>
      </c>
      <c r="AQ346" s="231">
        <v>0</v>
      </c>
      <c r="AR346" s="231">
        <v>0</v>
      </c>
      <c r="AS346" s="231">
        <v>0</v>
      </c>
      <c r="AT346" s="231">
        <v>0</v>
      </c>
      <c r="AU346" s="323">
        <v>0</v>
      </c>
      <c r="AV346" s="231">
        <v>0</v>
      </c>
      <c r="AW346" s="231">
        <v>0</v>
      </c>
      <c r="AX346" s="231">
        <v>0</v>
      </c>
      <c r="AY346" s="231">
        <v>0</v>
      </c>
      <c r="AZ346" s="230">
        <v>0</v>
      </c>
      <c r="BA346" s="2" t="s">
        <v>1225</v>
      </c>
    </row>
    <row r="347" spans="1:58" ht="15" customHeight="1" x14ac:dyDescent="0.25">
      <c r="A347" s="241" t="s">
        <v>642</v>
      </c>
      <c r="B347" s="2" t="s">
        <v>9</v>
      </c>
      <c r="D347" s="241" t="s">
        <v>643</v>
      </c>
      <c r="E347" s="241" t="s">
        <v>644</v>
      </c>
      <c r="H347" s="349" t="s">
        <v>1057</v>
      </c>
      <c r="I347" s="367" t="s">
        <v>1048</v>
      </c>
      <c r="J347" s="2">
        <v>515852</v>
      </c>
      <c r="K347" s="2">
        <v>171124</v>
      </c>
      <c r="L347" s="293"/>
      <c r="M347" s="364">
        <v>0</v>
      </c>
      <c r="N347" s="364">
        <v>0</v>
      </c>
      <c r="O347" s="364">
        <v>0</v>
      </c>
      <c r="P347" s="364">
        <v>0</v>
      </c>
      <c r="Q347" s="364"/>
      <c r="R347" s="364"/>
      <c r="S347" s="364"/>
      <c r="T347" s="365">
        <v>0</v>
      </c>
      <c r="U347" s="364"/>
      <c r="V347" s="364">
        <v>0</v>
      </c>
      <c r="W347" s="364">
        <v>0</v>
      </c>
      <c r="X347" s="364">
        <v>0</v>
      </c>
      <c r="Y347" s="364">
        <v>0</v>
      </c>
      <c r="Z347" s="364"/>
      <c r="AA347" s="364"/>
      <c r="AB347" s="364"/>
      <c r="AC347" s="365">
        <v>0</v>
      </c>
      <c r="AD347" s="364"/>
      <c r="AE347" s="364">
        <f t="shared" si="90"/>
        <v>0</v>
      </c>
      <c r="AF347" s="364">
        <f t="shared" si="91"/>
        <v>0</v>
      </c>
      <c r="AG347" s="364">
        <f t="shared" si="92"/>
        <v>0</v>
      </c>
      <c r="AH347" s="364">
        <f t="shared" si="93"/>
        <v>0</v>
      </c>
      <c r="AI347" s="364">
        <f t="shared" si="94"/>
        <v>0</v>
      </c>
      <c r="AJ347" s="364">
        <f t="shared" si="95"/>
        <v>0</v>
      </c>
      <c r="AK347" s="364">
        <f t="shared" si="96"/>
        <v>0</v>
      </c>
      <c r="AL347" s="348">
        <f t="shared" si="89"/>
        <v>0</v>
      </c>
      <c r="AM347" s="232"/>
      <c r="AN347" s="322">
        <v>0</v>
      </c>
      <c r="AO347" s="231">
        <v>0</v>
      </c>
      <c r="AP347" s="228">
        <v>0</v>
      </c>
      <c r="AQ347" s="231">
        <v>0</v>
      </c>
      <c r="AR347" s="231">
        <v>0</v>
      </c>
      <c r="AS347" s="231">
        <v>0</v>
      </c>
      <c r="AT347" s="231">
        <v>0</v>
      </c>
      <c r="AU347" s="323">
        <v>0</v>
      </c>
      <c r="AV347" s="231">
        <v>0</v>
      </c>
      <c r="AW347" s="231">
        <v>0</v>
      </c>
      <c r="AX347" s="231">
        <v>0</v>
      </c>
      <c r="AY347" s="231">
        <v>0</v>
      </c>
      <c r="AZ347" s="230">
        <v>0</v>
      </c>
      <c r="BA347" s="2" t="s">
        <v>1215</v>
      </c>
    </row>
    <row r="348" spans="1:58" ht="15" customHeight="1" x14ac:dyDescent="0.25">
      <c r="A348" s="241" t="s">
        <v>781</v>
      </c>
      <c r="B348" s="2" t="s">
        <v>26</v>
      </c>
      <c r="D348" s="241" t="s">
        <v>782</v>
      </c>
      <c r="E348" s="241" t="s">
        <v>783</v>
      </c>
      <c r="H348" s="349" t="s">
        <v>1057</v>
      </c>
      <c r="I348" s="367" t="s">
        <v>1048</v>
      </c>
      <c r="J348" s="2">
        <v>514005</v>
      </c>
      <c r="K348" s="2">
        <v>169556</v>
      </c>
      <c r="L348" s="293"/>
      <c r="M348" s="364">
        <v>0</v>
      </c>
      <c r="N348" s="364">
        <v>0</v>
      </c>
      <c r="O348" s="364">
        <v>1</v>
      </c>
      <c r="P348" s="364">
        <v>0</v>
      </c>
      <c r="Q348" s="364"/>
      <c r="R348" s="364"/>
      <c r="S348" s="364"/>
      <c r="T348" s="365">
        <v>1</v>
      </c>
      <c r="U348" s="364"/>
      <c r="V348" s="364">
        <v>0</v>
      </c>
      <c r="W348" s="364">
        <v>1</v>
      </c>
      <c r="X348" s="364">
        <v>0</v>
      </c>
      <c r="Y348" s="364">
        <v>0</v>
      </c>
      <c r="Z348" s="364"/>
      <c r="AA348" s="364"/>
      <c r="AB348" s="364"/>
      <c r="AC348" s="365">
        <v>1</v>
      </c>
      <c r="AD348" s="364"/>
      <c r="AE348" s="364">
        <f t="shared" si="90"/>
        <v>0</v>
      </c>
      <c r="AF348" s="364">
        <f t="shared" si="91"/>
        <v>1</v>
      </c>
      <c r="AG348" s="364">
        <f t="shared" si="92"/>
        <v>-1</v>
      </c>
      <c r="AH348" s="364">
        <f t="shared" si="93"/>
        <v>0</v>
      </c>
      <c r="AI348" s="364">
        <f t="shared" si="94"/>
        <v>0</v>
      </c>
      <c r="AJ348" s="364">
        <f t="shared" si="95"/>
        <v>0</v>
      </c>
      <c r="AK348" s="364">
        <f t="shared" si="96"/>
        <v>0</v>
      </c>
      <c r="AL348" s="348">
        <f t="shared" si="89"/>
        <v>0</v>
      </c>
      <c r="AM348" s="232"/>
      <c r="AN348" s="322">
        <v>0</v>
      </c>
      <c r="AO348" s="231">
        <v>0</v>
      </c>
      <c r="AP348" s="228">
        <v>0</v>
      </c>
      <c r="AQ348" s="231">
        <v>0</v>
      </c>
      <c r="AR348" s="231">
        <v>0</v>
      </c>
      <c r="AS348" s="231">
        <v>0</v>
      </c>
      <c r="AT348" s="231">
        <v>0</v>
      </c>
      <c r="AU348" s="323">
        <v>0</v>
      </c>
      <c r="AV348" s="231">
        <v>0</v>
      </c>
      <c r="AW348" s="231">
        <v>0</v>
      </c>
      <c r="AX348" s="231">
        <v>0</v>
      </c>
      <c r="AY348" s="231">
        <v>0</v>
      </c>
      <c r="AZ348" s="230">
        <v>0</v>
      </c>
      <c r="BA348" s="2" t="s">
        <v>1229</v>
      </c>
      <c r="BC348" s="2" t="s">
        <v>1451</v>
      </c>
    </row>
    <row r="349" spans="1:58" ht="15" customHeight="1" x14ac:dyDescent="0.25">
      <c r="A349" s="241" t="s">
        <v>556</v>
      </c>
      <c r="B349" s="2" t="s">
        <v>26</v>
      </c>
      <c r="D349" s="241" t="s">
        <v>557</v>
      </c>
      <c r="E349" s="241" t="s">
        <v>558</v>
      </c>
      <c r="H349" s="349" t="s">
        <v>1057</v>
      </c>
      <c r="I349" s="367" t="s">
        <v>1048</v>
      </c>
      <c r="J349" s="2">
        <v>519061</v>
      </c>
      <c r="K349" s="2">
        <v>176662</v>
      </c>
      <c r="L349" s="293"/>
      <c r="M349" s="364">
        <v>0</v>
      </c>
      <c r="N349" s="364">
        <v>0</v>
      </c>
      <c r="O349" s="364">
        <v>0</v>
      </c>
      <c r="P349" s="364">
        <v>0</v>
      </c>
      <c r="Q349" s="364"/>
      <c r="R349" s="364"/>
      <c r="S349" s="364"/>
      <c r="T349" s="365">
        <v>0</v>
      </c>
      <c r="U349" s="364"/>
      <c r="V349" s="364">
        <v>0</v>
      </c>
      <c r="W349" s="364">
        <v>1</v>
      </c>
      <c r="X349" s="364">
        <v>0</v>
      </c>
      <c r="Y349" s="364">
        <v>0</v>
      </c>
      <c r="Z349" s="364"/>
      <c r="AA349" s="364"/>
      <c r="AB349" s="364"/>
      <c r="AC349" s="365">
        <v>1</v>
      </c>
      <c r="AD349" s="364"/>
      <c r="AE349" s="364">
        <f t="shared" si="90"/>
        <v>0</v>
      </c>
      <c r="AF349" s="364">
        <f t="shared" si="91"/>
        <v>1</v>
      </c>
      <c r="AG349" s="364">
        <f t="shared" si="92"/>
        <v>0</v>
      </c>
      <c r="AH349" s="364">
        <f t="shared" si="93"/>
        <v>0</v>
      </c>
      <c r="AI349" s="364">
        <f t="shared" si="94"/>
        <v>0</v>
      </c>
      <c r="AJ349" s="364">
        <f t="shared" si="95"/>
        <v>0</v>
      </c>
      <c r="AK349" s="364">
        <f t="shared" si="96"/>
        <v>0</v>
      </c>
      <c r="AL349" s="348">
        <f t="shared" si="89"/>
        <v>1</v>
      </c>
      <c r="AM349" s="232"/>
      <c r="AN349" s="322">
        <v>0</v>
      </c>
      <c r="AO349" s="231">
        <v>0.25</v>
      </c>
      <c r="AP349" s="228">
        <v>0.25</v>
      </c>
      <c r="AQ349" s="231">
        <v>0.25</v>
      </c>
      <c r="AR349" s="231">
        <v>0.25</v>
      </c>
      <c r="AS349" s="231">
        <v>0</v>
      </c>
      <c r="AT349" s="231">
        <v>0</v>
      </c>
      <c r="AU349" s="323" t="s">
        <v>39</v>
      </c>
      <c r="AV349" s="231">
        <v>0</v>
      </c>
      <c r="AW349" s="231">
        <v>0</v>
      </c>
      <c r="AX349" s="231">
        <v>0</v>
      </c>
      <c r="AY349" s="231">
        <v>0</v>
      </c>
      <c r="AZ349" s="230">
        <v>0</v>
      </c>
      <c r="BA349" s="2" t="s">
        <v>1232</v>
      </c>
    </row>
    <row r="350" spans="1:58" ht="15" customHeight="1" x14ac:dyDescent="0.25">
      <c r="A350" s="241" t="s">
        <v>619</v>
      </c>
      <c r="B350" s="2" t="s">
        <v>26</v>
      </c>
      <c r="C350" s="2" t="s">
        <v>1037</v>
      </c>
      <c r="D350" s="241" t="s">
        <v>620</v>
      </c>
      <c r="E350" s="241" t="s">
        <v>621</v>
      </c>
      <c r="H350" s="349" t="s">
        <v>1057</v>
      </c>
      <c r="I350" s="367" t="s">
        <v>1048</v>
      </c>
      <c r="J350" s="2">
        <v>516288</v>
      </c>
      <c r="K350" s="2">
        <v>171091</v>
      </c>
      <c r="L350" s="293"/>
      <c r="M350" s="364">
        <v>0</v>
      </c>
      <c r="N350" s="364">
        <v>0</v>
      </c>
      <c r="O350" s="364">
        <v>0</v>
      </c>
      <c r="P350" s="364">
        <v>0</v>
      </c>
      <c r="Q350" s="364"/>
      <c r="R350" s="364"/>
      <c r="S350" s="364"/>
      <c r="T350" s="365">
        <v>0</v>
      </c>
      <c r="U350" s="364">
        <v>1</v>
      </c>
      <c r="V350" s="364">
        <v>2</v>
      </c>
      <c r="W350" s="364">
        <v>0</v>
      </c>
      <c r="X350" s="364">
        <v>0</v>
      </c>
      <c r="Y350" s="364">
        <v>0</v>
      </c>
      <c r="Z350" s="364"/>
      <c r="AA350" s="364"/>
      <c r="AB350" s="364"/>
      <c r="AC350" s="365">
        <v>3</v>
      </c>
      <c r="AD350" s="364">
        <f>U350-L350</f>
        <v>1</v>
      </c>
      <c r="AE350" s="364">
        <f t="shared" si="90"/>
        <v>2</v>
      </c>
      <c r="AF350" s="364">
        <f t="shared" si="91"/>
        <v>0</v>
      </c>
      <c r="AG350" s="364">
        <f t="shared" si="92"/>
        <v>0</v>
      </c>
      <c r="AH350" s="364">
        <f t="shared" si="93"/>
        <v>0</v>
      </c>
      <c r="AI350" s="364">
        <f t="shared" si="94"/>
        <v>0</v>
      </c>
      <c r="AJ350" s="364">
        <f t="shared" si="95"/>
        <v>0</v>
      </c>
      <c r="AK350" s="364">
        <f t="shared" si="96"/>
        <v>0</v>
      </c>
      <c r="AL350" s="348">
        <f t="shared" si="89"/>
        <v>3</v>
      </c>
      <c r="AM350" s="232"/>
      <c r="AN350" s="322">
        <v>0</v>
      </c>
      <c r="AO350" s="231">
        <v>0.75</v>
      </c>
      <c r="AP350" s="228">
        <v>0.75</v>
      </c>
      <c r="AQ350" s="231">
        <v>0.75</v>
      </c>
      <c r="AR350" s="231">
        <v>0.75</v>
      </c>
      <c r="AS350" s="231">
        <v>0</v>
      </c>
      <c r="AT350" s="231">
        <v>0</v>
      </c>
      <c r="AU350" s="323" t="s">
        <v>39</v>
      </c>
      <c r="AV350" s="231">
        <v>0</v>
      </c>
      <c r="AW350" s="231">
        <v>0</v>
      </c>
      <c r="AX350" s="231">
        <v>0</v>
      </c>
      <c r="AY350" s="231">
        <v>0</v>
      </c>
      <c r="AZ350" s="230">
        <v>0</v>
      </c>
      <c r="BA350" s="2" t="s">
        <v>1215</v>
      </c>
      <c r="BD350" s="2" t="s">
        <v>1215</v>
      </c>
    </row>
    <row r="351" spans="1:58" ht="15" customHeight="1" x14ac:dyDescent="0.25">
      <c r="A351" s="241" t="s">
        <v>425</v>
      </c>
      <c r="B351" s="2" t="s">
        <v>9</v>
      </c>
      <c r="D351" s="241" t="s">
        <v>426</v>
      </c>
      <c r="E351" s="241" t="s">
        <v>427</v>
      </c>
      <c r="H351" s="349" t="s">
        <v>1057</v>
      </c>
      <c r="I351" s="367" t="s">
        <v>1048</v>
      </c>
      <c r="J351" s="2">
        <v>519884</v>
      </c>
      <c r="K351" s="2">
        <v>175023</v>
      </c>
      <c r="L351" s="293"/>
      <c r="M351" s="364">
        <v>0</v>
      </c>
      <c r="N351" s="364">
        <v>1</v>
      </c>
      <c r="O351" s="364">
        <v>0</v>
      </c>
      <c r="P351" s="364">
        <v>0</v>
      </c>
      <c r="Q351" s="364"/>
      <c r="R351" s="364"/>
      <c r="S351" s="364"/>
      <c r="T351" s="365">
        <v>1</v>
      </c>
      <c r="U351" s="364"/>
      <c r="V351" s="364">
        <v>0</v>
      </c>
      <c r="W351" s="364">
        <v>0</v>
      </c>
      <c r="X351" s="364">
        <v>2</v>
      </c>
      <c r="Y351" s="364">
        <v>0</v>
      </c>
      <c r="Z351" s="364"/>
      <c r="AA351" s="364"/>
      <c r="AB351" s="364"/>
      <c r="AC351" s="365">
        <v>2</v>
      </c>
      <c r="AD351" s="364"/>
      <c r="AE351" s="364">
        <f t="shared" si="90"/>
        <v>0</v>
      </c>
      <c r="AF351" s="364">
        <f t="shared" si="91"/>
        <v>-1</v>
      </c>
      <c r="AG351" s="364">
        <f t="shared" si="92"/>
        <v>2</v>
      </c>
      <c r="AH351" s="364">
        <f t="shared" si="93"/>
        <v>0</v>
      </c>
      <c r="AI351" s="364">
        <f t="shared" si="94"/>
        <v>0</v>
      </c>
      <c r="AJ351" s="364">
        <f t="shared" si="95"/>
        <v>0</v>
      </c>
      <c r="AK351" s="364">
        <f t="shared" si="96"/>
        <v>0</v>
      </c>
      <c r="AL351" s="348">
        <f t="shared" si="89"/>
        <v>1</v>
      </c>
      <c r="AM351" s="232"/>
      <c r="AN351" s="322">
        <v>0</v>
      </c>
      <c r="AO351" s="231">
        <v>0</v>
      </c>
      <c r="AP351" s="228">
        <v>0.33333333333333331</v>
      </c>
      <c r="AQ351" s="231">
        <v>0.33333333333333331</v>
      </c>
      <c r="AR351" s="231">
        <v>0.33333333333333331</v>
      </c>
      <c r="AS351" s="231">
        <v>0</v>
      </c>
      <c r="AT351" s="231">
        <v>0</v>
      </c>
      <c r="AU351" s="323" t="s">
        <v>39</v>
      </c>
      <c r="AV351" s="231">
        <v>0</v>
      </c>
      <c r="AW351" s="231">
        <v>0</v>
      </c>
      <c r="AX351" s="231">
        <v>0</v>
      </c>
      <c r="AY351" s="231">
        <v>0</v>
      </c>
      <c r="AZ351" s="230">
        <v>0</v>
      </c>
      <c r="BA351" s="2" t="s">
        <v>1212</v>
      </c>
      <c r="BF351" s="232" t="s">
        <v>39</v>
      </c>
    </row>
    <row r="352" spans="1:58" ht="15" customHeight="1" x14ac:dyDescent="0.25">
      <c r="A352" s="241" t="s">
        <v>405</v>
      </c>
      <c r="B352" s="2" t="s">
        <v>22</v>
      </c>
      <c r="D352" s="241" t="s">
        <v>406</v>
      </c>
      <c r="E352" s="241" t="s">
        <v>407</v>
      </c>
      <c r="H352" s="349" t="s">
        <v>1057</v>
      </c>
      <c r="I352" s="367" t="s">
        <v>1048</v>
      </c>
      <c r="J352" s="2">
        <v>520162</v>
      </c>
      <c r="K352" s="2">
        <v>175278</v>
      </c>
      <c r="L352" s="293"/>
      <c r="M352" s="364">
        <v>0</v>
      </c>
      <c r="N352" s="364">
        <v>0</v>
      </c>
      <c r="O352" s="364">
        <v>0</v>
      </c>
      <c r="P352" s="364">
        <v>0</v>
      </c>
      <c r="Q352" s="364"/>
      <c r="R352" s="364"/>
      <c r="S352" s="364"/>
      <c r="T352" s="365">
        <v>0</v>
      </c>
      <c r="U352" s="364"/>
      <c r="V352" s="364">
        <v>0</v>
      </c>
      <c r="W352" s="364">
        <v>0</v>
      </c>
      <c r="X352" s="364">
        <v>0</v>
      </c>
      <c r="Y352" s="364">
        <v>0</v>
      </c>
      <c r="Z352" s="364"/>
      <c r="AA352" s="364"/>
      <c r="AB352" s="364"/>
      <c r="AC352" s="365">
        <v>0</v>
      </c>
      <c r="AD352" s="364"/>
      <c r="AE352" s="364">
        <f t="shared" si="90"/>
        <v>0</v>
      </c>
      <c r="AF352" s="364">
        <f t="shared" si="91"/>
        <v>0</v>
      </c>
      <c r="AG352" s="364">
        <f t="shared" si="92"/>
        <v>0</v>
      </c>
      <c r="AH352" s="364">
        <f t="shared" si="93"/>
        <v>0</v>
      </c>
      <c r="AI352" s="364">
        <f t="shared" si="94"/>
        <v>0</v>
      </c>
      <c r="AJ352" s="364">
        <f t="shared" si="95"/>
        <v>0</v>
      </c>
      <c r="AK352" s="364">
        <f t="shared" si="96"/>
        <v>0</v>
      </c>
      <c r="AL352" s="348">
        <f t="shared" si="89"/>
        <v>0</v>
      </c>
      <c r="AM352" s="232"/>
      <c r="AN352" s="322">
        <v>0</v>
      </c>
      <c r="AO352" s="231">
        <v>0</v>
      </c>
      <c r="AP352" s="228">
        <v>0</v>
      </c>
      <c r="AQ352" s="231">
        <v>0</v>
      </c>
      <c r="AR352" s="231">
        <v>0</v>
      </c>
      <c r="AS352" s="231">
        <v>0</v>
      </c>
      <c r="AT352" s="231">
        <v>0</v>
      </c>
      <c r="AU352" s="323">
        <v>0</v>
      </c>
      <c r="AV352" s="231">
        <v>0</v>
      </c>
      <c r="AW352" s="231">
        <v>0</v>
      </c>
      <c r="AX352" s="231">
        <v>0</v>
      </c>
      <c r="AY352" s="231">
        <v>0</v>
      </c>
      <c r="AZ352" s="230">
        <v>0</v>
      </c>
      <c r="BA352" s="2" t="s">
        <v>1212</v>
      </c>
      <c r="BD352" s="2" t="s">
        <v>1212</v>
      </c>
    </row>
    <row r="353" spans="1:56" ht="15" customHeight="1" x14ac:dyDescent="0.25">
      <c r="A353" s="241" t="s">
        <v>417</v>
      </c>
      <c r="B353" s="2" t="s">
        <v>26</v>
      </c>
      <c r="C353" s="2" t="s">
        <v>1037</v>
      </c>
      <c r="D353" s="241" t="s">
        <v>418</v>
      </c>
      <c r="E353" s="241" t="s">
        <v>419</v>
      </c>
      <c r="H353" s="349" t="s">
        <v>1057</v>
      </c>
      <c r="I353" s="367" t="s">
        <v>1048</v>
      </c>
      <c r="J353" s="2">
        <v>519756</v>
      </c>
      <c r="K353" s="2">
        <v>175319</v>
      </c>
      <c r="L353" s="293"/>
      <c r="M353" s="364">
        <v>0</v>
      </c>
      <c r="N353" s="364">
        <v>0</v>
      </c>
      <c r="O353" s="364">
        <v>0</v>
      </c>
      <c r="P353" s="364">
        <v>0</v>
      </c>
      <c r="Q353" s="364"/>
      <c r="R353" s="364"/>
      <c r="S353" s="364"/>
      <c r="T353" s="365">
        <v>0</v>
      </c>
      <c r="U353" s="364">
        <v>2</v>
      </c>
      <c r="V353" s="364">
        <v>1</v>
      </c>
      <c r="W353" s="364">
        <v>0</v>
      </c>
      <c r="X353" s="364">
        <v>0</v>
      </c>
      <c r="Y353" s="364">
        <v>0</v>
      </c>
      <c r="Z353" s="364"/>
      <c r="AA353" s="364"/>
      <c r="AB353" s="364"/>
      <c r="AC353" s="365">
        <v>3</v>
      </c>
      <c r="AD353" s="364">
        <f>U353-L353</f>
        <v>2</v>
      </c>
      <c r="AE353" s="364">
        <f t="shared" si="90"/>
        <v>1</v>
      </c>
      <c r="AF353" s="364">
        <f t="shared" si="91"/>
        <v>0</v>
      </c>
      <c r="AG353" s="364">
        <f t="shared" si="92"/>
        <v>0</v>
      </c>
      <c r="AH353" s="364">
        <f t="shared" si="93"/>
        <v>0</v>
      </c>
      <c r="AI353" s="364">
        <f t="shared" si="94"/>
        <v>0</v>
      </c>
      <c r="AJ353" s="364">
        <f t="shared" si="95"/>
        <v>0</v>
      </c>
      <c r="AK353" s="364">
        <f t="shared" si="96"/>
        <v>0</v>
      </c>
      <c r="AL353" s="348">
        <f t="shared" si="89"/>
        <v>3</v>
      </c>
      <c r="AM353" s="232"/>
      <c r="AN353" s="322">
        <v>0</v>
      </c>
      <c r="AO353" s="231">
        <v>0.75</v>
      </c>
      <c r="AP353" s="228">
        <v>0.75</v>
      </c>
      <c r="AQ353" s="231">
        <v>0.75</v>
      </c>
      <c r="AR353" s="231">
        <v>0.75</v>
      </c>
      <c r="AS353" s="231">
        <v>0</v>
      </c>
      <c r="AT353" s="231">
        <v>0</v>
      </c>
      <c r="AU353" s="323" t="s">
        <v>39</v>
      </c>
      <c r="AV353" s="231">
        <v>0</v>
      </c>
      <c r="AW353" s="231">
        <v>0</v>
      </c>
      <c r="AX353" s="231">
        <v>0</v>
      </c>
      <c r="AY353" s="231">
        <v>0</v>
      </c>
      <c r="AZ353" s="230">
        <v>0</v>
      </c>
      <c r="BA353" s="2" t="s">
        <v>1212</v>
      </c>
    </row>
    <row r="354" spans="1:56" ht="15" customHeight="1" x14ac:dyDescent="0.25">
      <c r="A354" s="241" t="s">
        <v>361</v>
      </c>
      <c r="B354" s="2" t="s">
        <v>26</v>
      </c>
      <c r="C354" s="2" t="s">
        <v>1037</v>
      </c>
      <c r="D354" s="241" t="s">
        <v>362</v>
      </c>
      <c r="E354" s="241" t="s">
        <v>363</v>
      </c>
      <c r="H354" s="349" t="s">
        <v>1057</v>
      </c>
      <c r="I354" s="367" t="s">
        <v>1048</v>
      </c>
      <c r="J354" s="2">
        <v>520495</v>
      </c>
      <c r="K354" s="2">
        <v>175597</v>
      </c>
      <c r="L354" s="293"/>
      <c r="M354" s="364">
        <v>0</v>
      </c>
      <c r="N354" s="364">
        <v>0</v>
      </c>
      <c r="O354" s="364">
        <v>0</v>
      </c>
      <c r="P354" s="364">
        <v>0</v>
      </c>
      <c r="Q354" s="364"/>
      <c r="R354" s="364"/>
      <c r="S354" s="364"/>
      <c r="T354" s="365">
        <v>0</v>
      </c>
      <c r="U354" s="364"/>
      <c r="V354" s="364">
        <v>0</v>
      </c>
      <c r="W354" s="364">
        <v>0</v>
      </c>
      <c r="X354" s="364">
        <v>1</v>
      </c>
      <c r="Y354" s="364">
        <v>0</v>
      </c>
      <c r="Z354" s="364"/>
      <c r="AA354" s="364"/>
      <c r="AB354" s="364"/>
      <c r="AC354" s="365">
        <v>1</v>
      </c>
      <c r="AD354" s="364"/>
      <c r="AE354" s="364">
        <f t="shared" si="90"/>
        <v>0</v>
      </c>
      <c r="AF354" s="364">
        <f t="shared" si="91"/>
        <v>0</v>
      </c>
      <c r="AG354" s="364">
        <f t="shared" si="92"/>
        <v>1</v>
      </c>
      <c r="AH354" s="364">
        <f t="shared" si="93"/>
        <v>0</v>
      </c>
      <c r="AI354" s="364">
        <f t="shared" si="94"/>
        <v>0</v>
      </c>
      <c r="AJ354" s="364">
        <f t="shared" si="95"/>
        <v>0</v>
      </c>
      <c r="AK354" s="364">
        <f t="shared" si="96"/>
        <v>0</v>
      </c>
      <c r="AL354" s="348">
        <f t="shared" si="89"/>
        <v>1</v>
      </c>
      <c r="AM354" s="232"/>
      <c r="AN354" s="322">
        <v>0</v>
      </c>
      <c r="AO354" s="231">
        <v>0.25</v>
      </c>
      <c r="AP354" s="228">
        <v>0.25</v>
      </c>
      <c r="AQ354" s="231">
        <v>0.25</v>
      </c>
      <c r="AR354" s="231">
        <v>0.25</v>
      </c>
      <c r="AS354" s="231">
        <v>0</v>
      </c>
      <c r="AT354" s="231">
        <v>0</v>
      </c>
      <c r="AU354" s="323" t="s">
        <v>39</v>
      </c>
      <c r="AV354" s="231">
        <v>0</v>
      </c>
      <c r="AW354" s="231">
        <v>0</v>
      </c>
      <c r="AX354" s="231">
        <v>0</v>
      </c>
      <c r="AY354" s="231">
        <v>0</v>
      </c>
      <c r="AZ354" s="230">
        <v>0</v>
      </c>
      <c r="BA354" s="2" t="s">
        <v>1212</v>
      </c>
      <c r="BD354" s="2" t="s">
        <v>1212</v>
      </c>
    </row>
    <row r="355" spans="1:56" ht="15" customHeight="1" x14ac:dyDescent="0.25">
      <c r="A355" s="241" t="s">
        <v>331</v>
      </c>
      <c r="B355" s="2" t="s">
        <v>26</v>
      </c>
      <c r="C355" s="2" t="s">
        <v>1037</v>
      </c>
      <c r="D355" s="241" t="s">
        <v>332</v>
      </c>
      <c r="E355" s="241" t="s">
        <v>333</v>
      </c>
      <c r="H355" s="349" t="s">
        <v>1057</v>
      </c>
      <c r="I355" s="367" t="s">
        <v>1048</v>
      </c>
      <c r="J355" s="2">
        <v>520890</v>
      </c>
      <c r="K355" s="2">
        <v>175755</v>
      </c>
      <c r="L355" s="293"/>
      <c r="M355" s="364">
        <v>0</v>
      </c>
      <c r="N355" s="364">
        <v>0</v>
      </c>
      <c r="O355" s="364">
        <v>0</v>
      </c>
      <c r="P355" s="364">
        <v>0</v>
      </c>
      <c r="Q355" s="364"/>
      <c r="R355" s="364"/>
      <c r="S355" s="364"/>
      <c r="T355" s="365">
        <v>0</v>
      </c>
      <c r="U355" s="364"/>
      <c r="V355" s="364">
        <v>0</v>
      </c>
      <c r="W355" s="364">
        <v>1</v>
      </c>
      <c r="X355" s="364">
        <v>0</v>
      </c>
      <c r="Y355" s="364">
        <v>0</v>
      </c>
      <c r="Z355" s="364"/>
      <c r="AA355" s="364"/>
      <c r="AB355" s="364"/>
      <c r="AC355" s="365">
        <v>1</v>
      </c>
      <c r="AD355" s="364"/>
      <c r="AE355" s="364">
        <f t="shared" si="90"/>
        <v>0</v>
      </c>
      <c r="AF355" s="364">
        <f t="shared" si="91"/>
        <v>1</v>
      </c>
      <c r="AG355" s="364">
        <f t="shared" si="92"/>
        <v>0</v>
      </c>
      <c r="AH355" s="364">
        <f t="shared" si="93"/>
        <v>0</v>
      </c>
      <c r="AI355" s="364">
        <f t="shared" si="94"/>
        <v>0</v>
      </c>
      <c r="AJ355" s="364">
        <f t="shared" si="95"/>
        <v>0</v>
      </c>
      <c r="AK355" s="364">
        <f t="shared" si="96"/>
        <v>0</v>
      </c>
      <c r="AL355" s="348">
        <f t="shared" si="89"/>
        <v>1</v>
      </c>
      <c r="AM355" s="232"/>
      <c r="AN355" s="322">
        <v>0</v>
      </c>
      <c r="AO355" s="231">
        <v>0.25</v>
      </c>
      <c r="AP355" s="228">
        <v>0.25</v>
      </c>
      <c r="AQ355" s="231">
        <v>0.25</v>
      </c>
      <c r="AR355" s="231">
        <v>0.25</v>
      </c>
      <c r="AS355" s="231">
        <v>0</v>
      </c>
      <c r="AT355" s="231">
        <v>0</v>
      </c>
      <c r="AU355" s="323" t="s">
        <v>39</v>
      </c>
      <c r="AV355" s="231">
        <v>0</v>
      </c>
      <c r="AW355" s="231">
        <v>0</v>
      </c>
      <c r="AX355" s="231">
        <v>0</v>
      </c>
      <c r="AY355" s="231">
        <v>0</v>
      </c>
      <c r="AZ355" s="230">
        <v>0</v>
      </c>
      <c r="BA355" s="2" t="s">
        <v>1267</v>
      </c>
    </row>
    <row r="356" spans="1:56" ht="15" customHeight="1" x14ac:dyDescent="0.25">
      <c r="A356" s="241" t="s">
        <v>281</v>
      </c>
      <c r="B356" s="2" t="s">
        <v>9</v>
      </c>
      <c r="D356" s="241" t="s">
        <v>282</v>
      </c>
      <c r="E356" s="241" t="s">
        <v>283</v>
      </c>
      <c r="H356" s="349" t="s">
        <v>1057</v>
      </c>
      <c r="I356" s="367" t="s">
        <v>1048</v>
      </c>
      <c r="J356" s="2">
        <v>521978</v>
      </c>
      <c r="K356" s="2">
        <v>177062</v>
      </c>
      <c r="L356" s="293"/>
      <c r="M356" s="364">
        <v>0</v>
      </c>
      <c r="N356" s="364">
        <v>0</v>
      </c>
      <c r="O356" s="364">
        <v>0</v>
      </c>
      <c r="P356" s="364">
        <v>1</v>
      </c>
      <c r="Q356" s="364"/>
      <c r="R356" s="364"/>
      <c r="S356" s="364"/>
      <c r="T356" s="365">
        <v>1</v>
      </c>
      <c r="U356" s="364"/>
      <c r="V356" s="364">
        <v>0</v>
      </c>
      <c r="W356" s="364">
        <v>0</v>
      </c>
      <c r="X356" s="364">
        <v>0</v>
      </c>
      <c r="Y356" s="364">
        <v>0</v>
      </c>
      <c r="Z356" s="372">
        <v>1</v>
      </c>
      <c r="AA356" s="364"/>
      <c r="AB356" s="364"/>
      <c r="AC356" s="365">
        <v>1</v>
      </c>
      <c r="AD356" s="364"/>
      <c r="AE356" s="364">
        <f t="shared" si="90"/>
        <v>0</v>
      </c>
      <c r="AF356" s="364">
        <f t="shared" si="91"/>
        <v>0</v>
      </c>
      <c r="AG356" s="364">
        <f t="shared" si="92"/>
        <v>0</v>
      </c>
      <c r="AH356" s="364">
        <f t="shared" si="93"/>
        <v>-1</v>
      </c>
      <c r="AI356" s="364">
        <f t="shared" si="94"/>
        <v>1</v>
      </c>
      <c r="AJ356" s="364">
        <f t="shared" si="95"/>
        <v>0</v>
      </c>
      <c r="AK356" s="364">
        <f t="shared" si="96"/>
        <v>0</v>
      </c>
      <c r="AL356" s="348">
        <f t="shared" si="89"/>
        <v>0</v>
      </c>
      <c r="AM356" s="232"/>
      <c r="AN356" s="322">
        <v>0</v>
      </c>
      <c r="AO356" s="231">
        <v>0</v>
      </c>
      <c r="AP356" s="228">
        <v>0</v>
      </c>
      <c r="AQ356" s="231">
        <v>0</v>
      </c>
      <c r="AR356" s="231">
        <v>0</v>
      </c>
      <c r="AS356" s="231">
        <v>0</v>
      </c>
      <c r="AT356" s="231">
        <v>0</v>
      </c>
      <c r="AU356" s="323">
        <v>0</v>
      </c>
      <c r="AV356" s="231">
        <v>0</v>
      </c>
      <c r="AW356" s="231">
        <v>0</v>
      </c>
      <c r="AX356" s="231">
        <v>0</v>
      </c>
      <c r="AY356" s="231">
        <v>0</v>
      </c>
      <c r="AZ356" s="230">
        <v>0</v>
      </c>
      <c r="BA356" s="2" t="s">
        <v>1225</v>
      </c>
    </row>
    <row r="357" spans="1:56" ht="15" customHeight="1" x14ac:dyDescent="0.25">
      <c r="A357" s="241" t="s">
        <v>1014</v>
      </c>
      <c r="B357" s="2" t="s">
        <v>5</v>
      </c>
      <c r="D357" s="241" t="s">
        <v>1015</v>
      </c>
      <c r="E357" s="241" t="s">
        <v>1016</v>
      </c>
      <c r="H357" s="349" t="s">
        <v>1057</v>
      </c>
      <c r="I357" s="367" t="s">
        <v>1048</v>
      </c>
      <c r="J357" s="2">
        <v>517894</v>
      </c>
      <c r="K357" s="2">
        <v>174757</v>
      </c>
      <c r="L357" s="293"/>
      <c r="M357" s="364">
        <v>0</v>
      </c>
      <c r="N357" s="364">
        <v>0</v>
      </c>
      <c r="O357" s="364">
        <v>1</v>
      </c>
      <c r="P357" s="364">
        <v>0</v>
      </c>
      <c r="Q357" s="364"/>
      <c r="R357" s="364"/>
      <c r="S357" s="364"/>
      <c r="T357" s="365">
        <v>1</v>
      </c>
      <c r="U357" s="364"/>
      <c r="V357" s="364">
        <v>2</v>
      </c>
      <c r="W357" s="364">
        <v>0</v>
      </c>
      <c r="X357" s="364">
        <v>0</v>
      </c>
      <c r="Y357" s="364">
        <v>0</v>
      </c>
      <c r="Z357" s="364"/>
      <c r="AA357" s="364"/>
      <c r="AB357" s="364"/>
      <c r="AC357" s="365">
        <v>2</v>
      </c>
      <c r="AD357" s="364"/>
      <c r="AE357" s="364">
        <f t="shared" si="90"/>
        <v>2</v>
      </c>
      <c r="AF357" s="364">
        <f t="shared" si="91"/>
        <v>0</v>
      </c>
      <c r="AG357" s="364">
        <f t="shared" si="92"/>
        <v>-1</v>
      </c>
      <c r="AH357" s="364">
        <f t="shared" si="93"/>
        <v>0</v>
      </c>
      <c r="AI357" s="364">
        <f t="shared" si="94"/>
        <v>0</v>
      </c>
      <c r="AJ357" s="364">
        <f t="shared" si="95"/>
        <v>0</v>
      </c>
      <c r="AK357" s="364">
        <f t="shared" si="96"/>
        <v>0</v>
      </c>
      <c r="AL357" s="348">
        <f t="shared" si="89"/>
        <v>1</v>
      </c>
      <c r="AN357" s="322">
        <v>0</v>
      </c>
      <c r="AO357" s="231">
        <v>0.25</v>
      </c>
      <c r="AP357" s="228">
        <v>0.25</v>
      </c>
      <c r="AQ357" s="231">
        <v>0.25</v>
      </c>
      <c r="AR357" s="231">
        <v>0.25</v>
      </c>
      <c r="AS357" s="231">
        <v>0</v>
      </c>
      <c r="AT357" s="231">
        <v>0</v>
      </c>
      <c r="AU357" s="323" t="s">
        <v>39</v>
      </c>
      <c r="AV357" s="231">
        <v>0</v>
      </c>
      <c r="AW357" s="231">
        <v>0</v>
      </c>
      <c r="AX357" s="231">
        <v>0</v>
      </c>
      <c r="AY357" s="231">
        <v>0</v>
      </c>
      <c r="AZ357" s="230">
        <v>0</v>
      </c>
      <c r="BA357" s="2" t="s">
        <v>1235</v>
      </c>
      <c r="BD357" s="2" t="s">
        <v>1213</v>
      </c>
    </row>
    <row r="358" spans="1:56" ht="15" customHeight="1" x14ac:dyDescent="0.25">
      <c r="A358" s="241" t="s">
        <v>384</v>
      </c>
      <c r="B358" s="2" t="s">
        <v>5</v>
      </c>
      <c r="D358" s="241" t="s">
        <v>385</v>
      </c>
      <c r="E358" s="241" t="s">
        <v>386</v>
      </c>
      <c r="H358" s="349" t="s">
        <v>1057</v>
      </c>
      <c r="I358" s="367" t="s">
        <v>1048</v>
      </c>
      <c r="J358" s="2">
        <v>520700</v>
      </c>
      <c r="K358" s="2">
        <v>175411</v>
      </c>
      <c r="L358" s="293"/>
      <c r="M358" s="364">
        <v>0</v>
      </c>
      <c r="N358" s="364">
        <v>2</v>
      </c>
      <c r="O358" s="364">
        <v>0</v>
      </c>
      <c r="P358" s="364">
        <v>0</v>
      </c>
      <c r="Q358" s="364"/>
      <c r="R358" s="364"/>
      <c r="S358" s="364"/>
      <c r="T358" s="365">
        <v>0</v>
      </c>
      <c r="U358" s="364"/>
      <c r="V358" s="364">
        <v>3</v>
      </c>
      <c r="W358" s="364">
        <v>1</v>
      </c>
      <c r="X358" s="364">
        <v>0</v>
      </c>
      <c r="Y358" s="364">
        <v>0</v>
      </c>
      <c r="Z358" s="364"/>
      <c r="AA358" s="364"/>
      <c r="AB358" s="364"/>
      <c r="AC358" s="365">
        <v>4</v>
      </c>
      <c r="AD358" s="364"/>
      <c r="AE358" s="364">
        <f t="shared" si="90"/>
        <v>3</v>
      </c>
      <c r="AF358" s="364">
        <f t="shared" si="91"/>
        <v>-1</v>
      </c>
      <c r="AG358" s="364">
        <f t="shared" si="92"/>
        <v>0</v>
      </c>
      <c r="AH358" s="364">
        <f t="shared" si="93"/>
        <v>0</v>
      </c>
      <c r="AI358" s="364">
        <f t="shared" si="94"/>
        <v>0</v>
      </c>
      <c r="AJ358" s="364">
        <f t="shared" si="95"/>
        <v>0</v>
      </c>
      <c r="AK358" s="364">
        <f t="shared" si="96"/>
        <v>0</v>
      </c>
      <c r="AL358" s="348">
        <f t="shared" si="89"/>
        <v>4</v>
      </c>
      <c r="AM358" s="232"/>
      <c r="AN358" s="322">
        <v>0</v>
      </c>
      <c r="AO358" s="231">
        <v>1</v>
      </c>
      <c r="AP358" s="228">
        <v>1</v>
      </c>
      <c r="AQ358" s="231">
        <v>1</v>
      </c>
      <c r="AR358" s="231">
        <v>1</v>
      </c>
      <c r="AS358" s="231">
        <v>0</v>
      </c>
      <c r="AT358" s="231">
        <v>0</v>
      </c>
      <c r="AU358" s="323" t="s">
        <v>39</v>
      </c>
      <c r="AV358" s="231">
        <v>0</v>
      </c>
      <c r="AW358" s="231">
        <v>0</v>
      </c>
      <c r="AX358" s="231">
        <v>0</v>
      </c>
      <c r="AY358" s="231">
        <v>0</v>
      </c>
      <c r="AZ358" s="230">
        <v>0</v>
      </c>
      <c r="BA358" s="2" t="s">
        <v>1212</v>
      </c>
      <c r="BD358" s="2" t="s">
        <v>1212</v>
      </c>
    </row>
    <row r="359" spans="1:56" ht="15" customHeight="1" x14ac:dyDescent="0.25">
      <c r="A359" s="241" t="s">
        <v>694</v>
      </c>
      <c r="B359" s="2" t="s">
        <v>26</v>
      </c>
      <c r="C359" s="2" t="s">
        <v>1037</v>
      </c>
      <c r="D359" s="241" t="s">
        <v>695</v>
      </c>
      <c r="E359" s="241" t="s">
        <v>696</v>
      </c>
      <c r="H359" s="349" t="s">
        <v>1057</v>
      </c>
      <c r="I359" s="367" t="s">
        <v>1048</v>
      </c>
      <c r="J359" s="2">
        <v>515394</v>
      </c>
      <c r="K359" s="2">
        <v>171656</v>
      </c>
      <c r="L359" s="293"/>
      <c r="M359" s="364">
        <v>0</v>
      </c>
      <c r="N359" s="364">
        <v>0</v>
      </c>
      <c r="O359" s="364">
        <v>0</v>
      </c>
      <c r="P359" s="364">
        <v>0</v>
      </c>
      <c r="Q359" s="364"/>
      <c r="R359" s="364"/>
      <c r="S359" s="364"/>
      <c r="T359" s="365">
        <v>0</v>
      </c>
      <c r="U359" s="364"/>
      <c r="V359" s="364">
        <v>1</v>
      </c>
      <c r="W359" s="364">
        <v>0</v>
      </c>
      <c r="X359" s="364">
        <v>0</v>
      </c>
      <c r="Y359" s="364">
        <v>0</v>
      </c>
      <c r="Z359" s="364"/>
      <c r="AA359" s="364"/>
      <c r="AB359" s="364"/>
      <c r="AC359" s="365">
        <v>1</v>
      </c>
      <c r="AD359" s="364"/>
      <c r="AE359" s="364">
        <f t="shared" si="90"/>
        <v>1</v>
      </c>
      <c r="AF359" s="364">
        <f t="shared" si="91"/>
        <v>0</v>
      </c>
      <c r="AG359" s="364">
        <f t="shared" si="92"/>
        <v>0</v>
      </c>
      <c r="AH359" s="364">
        <f t="shared" si="93"/>
        <v>0</v>
      </c>
      <c r="AI359" s="364">
        <f t="shared" si="94"/>
        <v>0</v>
      </c>
      <c r="AJ359" s="364">
        <f t="shared" si="95"/>
        <v>0</v>
      </c>
      <c r="AK359" s="364">
        <f t="shared" si="96"/>
        <v>0</v>
      </c>
      <c r="AL359" s="348">
        <f t="shared" si="89"/>
        <v>1</v>
      </c>
      <c r="AM359" s="232"/>
      <c r="AN359" s="322">
        <v>0</v>
      </c>
      <c r="AO359" s="231">
        <v>0.25</v>
      </c>
      <c r="AP359" s="228">
        <v>0.25</v>
      </c>
      <c r="AQ359" s="231">
        <v>0.25</v>
      </c>
      <c r="AR359" s="231">
        <v>0.25</v>
      </c>
      <c r="AS359" s="231">
        <v>0</v>
      </c>
      <c r="AT359" s="231">
        <v>0</v>
      </c>
      <c r="AU359" s="323" t="s">
        <v>39</v>
      </c>
      <c r="AV359" s="231">
        <v>0</v>
      </c>
      <c r="AW359" s="231">
        <v>0</v>
      </c>
      <c r="AX359" s="231">
        <v>0</v>
      </c>
      <c r="AY359" s="231">
        <v>0</v>
      </c>
      <c r="AZ359" s="230">
        <v>0</v>
      </c>
      <c r="BA359" s="2" t="s">
        <v>1265</v>
      </c>
    </row>
    <row r="360" spans="1:56" ht="15" customHeight="1" x14ac:dyDescent="0.25">
      <c r="A360" s="241" t="s">
        <v>911</v>
      </c>
      <c r="B360" s="2" t="s">
        <v>26</v>
      </c>
      <c r="D360" s="241" t="s">
        <v>912</v>
      </c>
      <c r="E360" s="241" t="s">
        <v>913</v>
      </c>
      <c r="H360" s="349" t="s">
        <v>1057</v>
      </c>
      <c r="I360" s="367" t="s">
        <v>1048</v>
      </c>
      <c r="J360" s="2">
        <v>515502</v>
      </c>
      <c r="K360" s="2">
        <v>173093</v>
      </c>
      <c r="L360" s="293"/>
      <c r="M360" s="364">
        <v>0</v>
      </c>
      <c r="N360" s="364">
        <v>0</v>
      </c>
      <c r="O360" s="364">
        <v>0</v>
      </c>
      <c r="P360" s="364">
        <v>0</v>
      </c>
      <c r="Q360" s="364"/>
      <c r="R360" s="364"/>
      <c r="S360" s="364"/>
      <c r="T360" s="365">
        <v>0</v>
      </c>
      <c r="U360" s="364"/>
      <c r="V360" s="364">
        <v>1</v>
      </c>
      <c r="W360" s="364">
        <v>0</v>
      </c>
      <c r="X360" s="364">
        <v>0</v>
      </c>
      <c r="Y360" s="364">
        <v>0</v>
      </c>
      <c r="Z360" s="364"/>
      <c r="AA360" s="364"/>
      <c r="AB360" s="364"/>
      <c r="AC360" s="365">
        <v>1</v>
      </c>
      <c r="AD360" s="364"/>
      <c r="AE360" s="364">
        <f t="shared" si="90"/>
        <v>1</v>
      </c>
      <c r="AF360" s="364">
        <f t="shared" si="91"/>
        <v>0</v>
      </c>
      <c r="AG360" s="364">
        <f t="shared" si="92"/>
        <v>0</v>
      </c>
      <c r="AH360" s="364">
        <f t="shared" si="93"/>
        <v>0</v>
      </c>
      <c r="AI360" s="364">
        <f t="shared" si="94"/>
        <v>0</v>
      </c>
      <c r="AJ360" s="364">
        <f t="shared" si="95"/>
        <v>0</v>
      </c>
      <c r="AK360" s="364">
        <f t="shared" si="96"/>
        <v>0</v>
      </c>
      <c r="AL360" s="348">
        <f t="shared" si="89"/>
        <v>1</v>
      </c>
      <c r="AN360" s="322">
        <v>0</v>
      </c>
      <c r="AO360" s="231">
        <v>0.25</v>
      </c>
      <c r="AP360" s="228">
        <v>0.25</v>
      </c>
      <c r="AQ360" s="231">
        <v>0.25</v>
      </c>
      <c r="AR360" s="231">
        <v>0.25</v>
      </c>
      <c r="AS360" s="231">
        <v>0</v>
      </c>
      <c r="AT360" s="231">
        <v>0</v>
      </c>
      <c r="AU360" s="323" t="s">
        <v>39</v>
      </c>
      <c r="AV360" s="231">
        <v>0</v>
      </c>
      <c r="AW360" s="231">
        <v>0</v>
      </c>
      <c r="AX360" s="231">
        <v>0</v>
      </c>
      <c r="AY360" s="231">
        <v>0</v>
      </c>
      <c r="AZ360" s="230">
        <v>0</v>
      </c>
      <c r="BA360" s="2" t="s">
        <v>1236</v>
      </c>
      <c r="BC360" s="2" t="s">
        <v>1437</v>
      </c>
    </row>
    <row r="361" spans="1:56" ht="15" customHeight="1" x14ac:dyDescent="0.25">
      <c r="A361" s="241" t="s">
        <v>784</v>
      </c>
      <c r="B361" s="2" t="s">
        <v>26</v>
      </c>
      <c r="D361" s="241" t="s">
        <v>785</v>
      </c>
      <c r="E361" s="241" t="s">
        <v>786</v>
      </c>
      <c r="H361" s="349" t="s">
        <v>1057</v>
      </c>
      <c r="I361" s="367" t="s">
        <v>1048</v>
      </c>
      <c r="J361" s="2">
        <v>513264</v>
      </c>
      <c r="K361" s="2">
        <v>169738</v>
      </c>
      <c r="L361" s="293"/>
      <c r="M361" s="364">
        <v>0</v>
      </c>
      <c r="N361" s="364">
        <v>0</v>
      </c>
      <c r="O361" s="364">
        <v>0</v>
      </c>
      <c r="P361" s="364">
        <v>0</v>
      </c>
      <c r="Q361" s="364"/>
      <c r="R361" s="364"/>
      <c r="S361" s="364"/>
      <c r="T361" s="365">
        <v>0</v>
      </c>
      <c r="U361" s="364"/>
      <c r="V361" s="364">
        <v>0</v>
      </c>
      <c r="W361" s="364">
        <v>0</v>
      </c>
      <c r="X361" s="364">
        <v>0</v>
      </c>
      <c r="Y361" s="364">
        <v>0</v>
      </c>
      <c r="Z361" s="372">
        <v>2</v>
      </c>
      <c r="AA361" s="364"/>
      <c r="AB361" s="364"/>
      <c r="AC361" s="365">
        <v>2</v>
      </c>
      <c r="AD361" s="364"/>
      <c r="AE361" s="364">
        <f t="shared" si="90"/>
        <v>0</v>
      </c>
      <c r="AF361" s="364">
        <f t="shared" si="91"/>
        <v>0</v>
      </c>
      <c r="AG361" s="364">
        <f t="shared" si="92"/>
        <v>0</v>
      </c>
      <c r="AH361" s="364">
        <f t="shared" si="93"/>
        <v>0</v>
      </c>
      <c r="AI361" s="364">
        <f t="shared" si="94"/>
        <v>2</v>
      </c>
      <c r="AJ361" s="364">
        <f t="shared" si="95"/>
        <v>0</v>
      </c>
      <c r="AK361" s="364">
        <f t="shared" si="96"/>
        <v>0</v>
      </c>
      <c r="AL361" s="348">
        <f t="shared" si="89"/>
        <v>2</v>
      </c>
      <c r="AM361" s="232"/>
      <c r="AN361" s="322">
        <v>0</v>
      </c>
      <c r="AO361" s="231">
        <v>0.5</v>
      </c>
      <c r="AP361" s="228">
        <v>0.5</v>
      </c>
      <c r="AQ361" s="231">
        <v>0.5</v>
      </c>
      <c r="AR361" s="231">
        <v>0.5</v>
      </c>
      <c r="AS361" s="231">
        <v>0</v>
      </c>
      <c r="AT361" s="231">
        <v>0</v>
      </c>
      <c r="AU361" s="323" t="s">
        <v>39</v>
      </c>
      <c r="AV361" s="231">
        <v>0</v>
      </c>
      <c r="AW361" s="231">
        <v>0</v>
      </c>
      <c r="AX361" s="231">
        <v>0</v>
      </c>
      <c r="AY361" s="231">
        <v>0</v>
      </c>
      <c r="AZ361" s="230">
        <v>0</v>
      </c>
      <c r="BA361" s="2" t="s">
        <v>1229</v>
      </c>
    </row>
    <row r="362" spans="1:56" ht="15" customHeight="1" x14ac:dyDescent="0.25">
      <c r="A362" s="241" t="s">
        <v>580</v>
      </c>
      <c r="B362" s="2" t="s">
        <v>26</v>
      </c>
      <c r="C362" s="2" t="s">
        <v>1037</v>
      </c>
      <c r="D362" s="241" t="s">
        <v>581</v>
      </c>
      <c r="E362" s="241" t="s">
        <v>582</v>
      </c>
      <c r="H362" s="349" t="s">
        <v>1057</v>
      </c>
      <c r="I362" s="367" t="s">
        <v>1048</v>
      </c>
      <c r="J362" s="2">
        <v>517565</v>
      </c>
      <c r="K362" s="2">
        <v>169582</v>
      </c>
      <c r="L362" s="293"/>
      <c r="M362" s="364">
        <v>0</v>
      </c>
      <c r="N362" s="364">
        <v>0</v>
      </c>
      <c r="O362" s="364">
        <v>0</v>
      </c>
      <c r="P362" s="364">
        <v>0</v>
      </c>
      <c r="Q362" s="364"/>
      <c r="R362" s="364"/>
      <c r="S362" s="364"/>
      <c r="T362" s="365">
        <v>0</v>
      </c>
      <c r="U362" s="364"/>
      <c r="V362" s="364">
        <v>7</v>
      </c>
      <c r="W362" s="364">
        <v>1</v>
      </c>
      <c r="X362" s="364">
        <v>0</v>
      </c>
      <c r="Y362" s="364">
        <v>0</v>
      </c>
      <c r="Z362" s="364"/>
      <c r="AA362" s="364"/>
      <c r="AB362" s="364"/>
      <c r="AC362" s="365">
        <v>8</v>
      </c>
      <c r="AD362" s="364"/>
      <c r="AE362" s="364">
        <f t="shared" si="90"/>
        <v>7</v>
      </c>
      <c r="AF362" s="364">
        <f t="shared" si="91"/>
        <v>1</v>
      </c>
      <c r="AG362" s="364">
        <f t="shared" si="92"/>
        <v>0</v>
      </c>
      <c r="AH362" s="364">
        <f t="shared" si="93"/>
        <v>0</v>
      </c>
      <c r="AI362" s="364">
        <f t="shared" si="94"/>
        <v>0</v>
      </c>
      <c r="AJ362" s="364">
        <f t="shared" si="95"/>
        <v>0</v>
      </c>
      <c r="AK362" s="364">
        <f t="shared" si="96"/>
        <v>0</v>
      </c>
      <c r="AL362" s="348">
        <f t="shared" si="89"/>
        <v>8</v>
      </c>
      <c r="AM362" s="232"/>
      <c r="AN362" s="322">
        <v>0</v>
      </c>
      <c r="AO362" s="231">
        <v>2</v>
      </c>
      <c r="AP362" s="228">
        <v>2</v>
      </c>
      <c r="AQ362" s="231">
        <v>2</v>
      </c>
      <c r="AR362" s="231">
        <v>2</v>
      </c>
      <c r="AS362" s="231">
        <v>0</v>
      </c>
      <c r="AT362" s="231">
        <v>0</v>
      </c>
      <c r="AU362" s="323" t="s">
        <v>39</v>
      </c>
      <c r="AV362" s="231">
        <v>0</v>
      </c>
      <c r="AW362" s="231">
        <v>0</v>
      </c>
      <c r="AX362" s="231">
        <v>0</v>
      </c>
      <c r="AY362" s="231">
        <v>0</v>
      </c>
      <c r="AZ362" s="230">
        <v>0</v>
      </c>
      <c r="BA362" s="2" t="s">
        <v>1230</v>
      </c>
      <c r="BC362" s="2" t="s">
        <v>1230</v>
      </c>
    </row>
    <row r="363" spans="1:56" ht="15" customHeight="1" x14ac:dyDescent="0.25">
      <c r="A363" s="241" t="s">
        <v>763</v>
      </c>
      <c r="B363" s="2" t="s">
        <v>9</v>
      </c>
      <c r="D363" s="241" t="s">
        <v>764</v>
      </c>
      <c r="E363" s="241" t="s">
        <v>765</v>
      </c>
      <c r="H363" s="349" t="s">
        <v>1057</v>
      </c>
      <c r="I363" s="367" t="s">
        <v>1048</v>
      </c>
      <c r="J363" s="2">
        <v>513943</v>
      </c>
      <c r="K363" s="2">
        <v>170016</v>
      </c>
      <c r="L363" s="293"/>
      <c r="M363" s="364">
        <v>0</v>
      </c>
      <c r="N363" s="364">
        <v>0</v>
      </c>
      <c r="O363" s="364">
        <v>0</v>
      </c>
      <c r="P363" s="364">
        <v>0</v>
      </c>
      <c r="Q363" s="372">
        <v>1</v>
      </c>
      <c r="R363" s="364"/>
      <c r="S363" s="364"/>
      <c r="T363" s="365">
        <v>1</v>
      </c>
      <c r="U363" s="364"/>
      <c r="V363" s="364">
        <v>0</v>
      </c>
      <c r="W363" s="364">
        <v>0</v>
      </c>
      <c r="X363" s="364">
        <v>0</v>
      </c>
      <c r="Y363" s="364">
        <v>0</v>
      </c>
      <c r="Z363" s="372">
        <v>1</v>
      </c>
      <c r="AA363" s="364"/>
      <c r="AB363" s="364"/>
      <c r="AC363" s="365">
        <v>1</v>
      </c>
      <c r="AD363" s="364"/>
      <c r="AE363" s="364">
        <f t="shared" si="90"/>
        <v>0</v>
      </c>
      <c r="AF363" s="364">
        <f t="shared" si="91"/>
        <v>0</v>
      </c>
      <c r="AG363" s="364">
        <f t="shared" si="92"/>
        <v>0</v>
      </c>
      <c r="AH363" s="364">
        <f t="shared" si="93"/>
        <v>0</v>
      </c>
      <c r="AI363" s="364">
        <f t="shared" si="94"/>
        <v>0</v>
      </c>
      <c r="AJ363" s="364">
        <f t="shared" si="95"/>
        <v>0</v>
      </c>
      <c r="AK363" s="364">
        <f t="shared" si="96"/>
        <v>0</v>
      </c>
      <c r="AL363" s="348">
        <f t="shared" si="89"/>
        <v>0</v>
      </c>
      <c r="AM363" s="232"/>
      <c r="AN363" s="322">
        <v>0</v>
      </c>
      <c r="AO363" s="231">
        <v>0</v>
      </c>
      <c r="AP363" s="228">
        <v>0</v>
      </c>
      <c r="AQ363" s="231">
        <v>0</v>
      </c>
      <c r="AR363" s="231">
        <v>0</v>
      </c>
      <c r="AS363" s="231">
        <v>0</v>
      </c>
      <c r="AT363" s="231">
        <v>0</v>
      </c>
      <c r="AU363" s="323">
        <v>0</v>
      </c>
      <c r="AV363" s="231">
        <v>0</v>
      </c>
      <c r="AW363" s="231">
        <v>0</v>
      </c>
      <c r="AX363" s="231">
        <v>0</v>
      </c>
      <c r="AY363" s="231">
        <v>0</v>
      </c>
      <c r="AZ363" s="230">
        <v>0</v>
      </c>
      <c r="BA363" s="2" t="s">
        <v>1229</v>
      </c>
    </row>
    <row r="364" spans="1:56" ht="15" customHeight="1" x14ac:dyDescent="0.25">
      <c r="A364" s="241" t="s">
        <v>754</v>
      </c>
      <c r="B364" s="2" t="s">
        <v>5</v>
      </c>
      <c r="D364" s="241" t="s">
        <v>755</v>
      </c>
      <c r="E364" s="241" t="s">
        <v>756</v>
      </c>
      <c r="H364" s="349" t="s">
        <v>1057</v>
      </c>
      <c r="I364" s="367" t="s">
        <v>1048</v>
      </c>
      <c r="J364" s="2">
        <v>514632</v>
      </c>
      <c r="K364" s="2">
        <v>171370</v>
      </c>
      <c r="L364" s="293"/>
      <c r="M364" s="293">
        <v>0</v>
      </c>
      <c r="N364" s="293">
        <v>1</v>
      </c>
      <c r="O364" s="293">
        <v>0</v>
      </c>
      <c r="P364" s="293">
        <v>1</v>
      </c>
      <c r="Q364" s="293"/>
      <c r="R364" s="293"/>
      <c r="S364" s="293"/>
      <c r="T364" s="381">
        <v>0</v>
      </c>
      <c r="U364" s="293"/>
      <c r="V364" s="293">
        <v>2</v>
      </c>
      <c r="W364" s="293">
        <v>1</v>
      </c>
      <c r="X364" s="293">
        <v>1</v>
      </c>
      <c r="Y364" s="293">
        <v>0</v>
      </c>
      <c r="AA364" s="364"/>
      <c r="AB364" s="364"/>
      <c r="AC364" s="365">
        <v>4</v>
      </c>
      <c r="AD364" s="364"/>
      <c r="AE364" s="364">
        <f t="shared" si="90"/>
        <v>2</v>
      </c>
      <c r="AF364" s="364">
        <f t="shared" si="91"/>
        <v>0</v>
      </c>
      <c r="AG364" s="364">
        <f t="shared" si="92"/>
        <v>1</v>
      </c>
      <c r="AH364" s="364">
        <f t="shared" si="93"/>
        <v>-1</v>
      </c>
      <c r="AI364" s="364">
        <f t="shared" si="94"/>
        <v>0</v>
      </c>
      <c r="AJ364" s="364">
        <f t="shared" si="95"/>
        <v>0</v>
      </c>
      <c r="AK364" s="364">
        <f t="shared" si="96"/>
        <v>0</v>
      </c>
      <c r="AL364" s="348">
        <f t="shared" si="89"/>
        <v>4</v>
      </c>
      <c r="AM364" s="232"/>
      <c r="AN364" s="322">
        <v>0</v>
      </c>
      <c r="AO364" s="231">
        <v>1</v>
      </c>
      <c r="AP364" s="228">
        <v>1</v>
      </c>
      <c r="AQ364" s="231">
        <v>1</v>
      </c>
      <c r="AR364" s="231">
        <v>1</v>
      </c>
      <c r="AS364" s="231">
        <v>0</v>
      </c>
      <c r="AT364" s="231">
        <v>0</v>
      </c>
      <c r="AU364" s="323" t="s">
        <v>39</v>
      </c>
      <c r="AV364" s="231">
        <v>0</v>
      </c>
      <c r="AW364" s="231">
        <v>0</v>
      </c>
      <c r="AX364" s="231">
        <v>0</v>
      </c>
      <c r="AY364" s="231">
        <v>0</v>
      </c>
      <c r="AZ364" s="230">
        <v>0</v>
      </c>
      <c r="BA364" s="2" t="s">
        <v>1265</v>
      </c>
    </row>
    <row r="365" spans="1:56" ht="15" customHeight="1" x14ac:dyDescent="0.25">
      <c r="A365" s="241" t="s">
        <v>260</v>
      </c>
      <c r="B365" s="2" t="s">
        <v>26</v>
      </c>
      <c r="C365" s="2" t="s">
        <v>1037</v>
      </c>
      <c r="D365" s="241" t="s">
        <v>261</v>
      </c>
      <c r="E365" s="241" t="s">
        <v>262</v>
      </c>
      <c r="H365" s="349" t="s">
        <v>1057</v>
      </c>
      <c r="I365" s="367" t="s">
        <v>1048</v>
      </c>
      <c r="J365" s="2">
        <v>522531</v>
      </c>
      <c r="K365" s="2">
        <v>177884</v>
      </c>
      <c r="L365" s="293"/>
      <c r="M365" s="293">
        <v>0</v>
      </c>
      <c r="N365" s="293">
        <v>0</v>
      </c>
      <c r="O365" s="293">
        <v>0</v>
      </c>
      <c r="P365" s="293">
        <v>0</v>
      </c>
      <c r="Q365" s="293"/>
      <c r="R365" s="293"/>
      <c r="S365" s="293"/>
      <c r="T365" s="381">
        <v>0</v>
      </c>
      <c r="U365" s="293"/>
      <c r="V365" s="293">
        <v>0</v>
      </c>
      <c r="W365" s="293">
        <v>2</v>
      </c>
      <c r="X365" s="293">
        <v>0</v>
      </c>
      <c r="Y365" s="293">
        <v>0</v>
      </c>
      <c r="AA365" s="364"/>
      <c r="AB365" s="364"/>
      <c r="AC365" s="365">
        <v>2</v>
      </c>
      <c r="AD365" s="364"/>
      <c r="AE365" s="364">
        <f t="shared" si="90"/>
        <v>0</v>
      </c>
      <c r="AF365" s="364">
        <f t="shared" si="91"/>
        <v>2</v>
      </c>
      <c r="AG365" s="364">
        <f t="shared" si="92"/>
        <v>0</v>
      </c>
      <c r="AH365" s="364">
        <f t="shared" si="93"/>
        <v>0</v>
      </c>
      <c r="AI365" s="364">
        <f t="shared" si="94"/>
        <v>0</v>
      </c>
      <c r="AJ365" s="364">
        <f t="shared" si="95"/>
        <v>0</v>
      </c>
      <c r="AK365" s="364">
        <f t="shared" si="96"/>
        <v>0</v>
      </c>
      <c r="AL365" s="348">
        <f t="shared" si="89"/>
        <v>2</v>
      </c>
      <c r="AM365" s="232"/>
      <c r="AN365" s="322">
        <v>0</v>
      </c>
      <c r="AO365" s="231">
        <v>0.5</v>
      </c>
      <c r="AP365" s="228">
        <v>0.5</v>
      </c>
      <c r="AQ365" s="231">
        <v>0.5</v>
      </c>
      <c r="AR365" s="231">
        <v>0.5</v>
      </c>
      <c r="AS365" s="231">
        <v>0</v>
      </c>
      <c r="AT365" s="231">
        <v>0</v>
      </c>
      <c r="AU365" s="323" t="s">
        <v>39</v>
      </c>
      <c r="AV365" s="231">
        <v>0</v>
      </c>
      <c r="AW365" s="231">
        <v>0</v>
      </c>
      <c r="AX365" s="231">
        <v>0</v>
      </c>
      <c r="AY365" s="231">
        <v>0</v>
      </c>
      <c r="AZ365" s="230">
        <v>0</v>
      </c>
      <c r="BA365" s="2" t="s">
        <v>1225</v>
      </c>
    </row>
    <row r="366" spans="1:56" ht="15" customHeight="1" x14ac:dyDescent="0.25">
      <c r="A366" s="241" t="s">
        <v>358</v>
      </c>
      <c r="B366" s="2" t="s">
        <v>26</v>
      </c>
      <c r="C366" s="2" t="s">
        <v>1037</v>
      </c>
      <c r="D366" s="241" t="s">
        <v>359</v>
      </c>
      <c r="E366" s="241" t="s">
        <v>360</v>
      </c>
      <c r="H366" s="349" t="s">
        <v>1057</v>
      </c>
      <c r="I366" s="367" t="s">
        <v>1048</v>
      </c>
      <c r="J366" s="2">
        <v>520540</v>
      </c>
      <c r="K366" s="2">
        <v>175748</v>
      </c>
      <c r="L366" s="293"/>
      <c r="M366" s="293">
        <v>0</v>
      </c>
      <c r="N366" s="293">
        <v>0</v>
      </c>
      <c r="O366" s="293">
        <v>0</v>
      </c>
      <c r="P366" s="293">
        <v>0</v>
      </c>
      <c r="Q366" s="293"/>
      <c r="R366" s="293"/>
      <c r="S366" s="293"/>
      <c r="T366" s="381">
        <v>0</v>
      </c>
      <c r="U366" s="293"/>
      <c r="V366" s="293">
        <v>1</v>
      </c>
      <c r="W366" s="293">
        <v>0</v>
      </c>
      <c r="X366" s="293">
        <v>0</v>
      </c>
      <c r="Y366" s="293">
        <v>0</v>
      </c>
      <c r="AA366" s="364"/>
      <c r="AB366" s="364"/>
      <c r="AC366" s="365">
        <v>1</v>
      </c>
      <c r="AD366" s="364"/>
      <c r="AE366" s="364">
        <f t="shared" si="90"/>
        <v>1</v>
      </c>
      <c r="AF366" s="364">
        <f t="shared" si="91"/>
        <v>0</v>
      </c>
      <c r="AG366" s="364">
        <f t="shared" si="92"/>
        <v>0</v>
      </c>
      <c r="AH366" s="364">
        <f t="shared" si="93"/>
        <v>0</v>
      </c>
      <c r="AI366" s="364">
        <f t="shared" si="94"/>
        <v>0</v>
      </c>
      <c r="AJ366" s="364">
        <f t="shared" si="95"/>
        <v>0</v>
      </c>
      <c r="AK366" s="364">
        <f t="shared" si="96"/>
        <v>0</v>
      </c>
      <c r="AL366" s="348">
        <f t="shared" si="89"/>
        <v>1</v>
      </c>
      <c r="AM366" s="232"/>
      <c r="AN366" s="322">
        <v>0</v>
      </c>
      <c r="AO366" s="231">
        <v>0.25</v>
      </c>
      <c r="AP366" s="228">
        <v>0.25</v>
      </c>
      <c r="AQ366" s="231">
        <v>0.25</v>
      </c>
      <c r="AR366" s="231">
        <v>0.25</v>
      </c>
      <c r="AS366" s="231">
        <v>0</v>
      </c>
      <c r="AT366" s="231">
        <v>0</v>
      </c>
      <c r="AU366" s="323" t="s">
        <v>39</v>
      </c>
      <c r="AV366" s="231">
        <v>0</v>
      </c>
      <c r="AW366" s="231">
        <v>0</v>
      </c>
      <c r="AX366" s="231">
        <v>0</v>
      </c>
      <c r="AY366" s="231">
        <v>0</v>
      </c>
      <c r="AZ366" s="230">
        <v>0</v>
      </c>
      <c r="BA366" s="2" t="s">
        <v>1212</v>
      </c>
      <c r="BD366" s="2" t="s">
        <v>1212</v>
      </c>
    </row>
    <row r="367" spans="1:56" ht="15" customHeight="1" x14ac:dyDescent="0.25">
      <c r="A367" s="2" t="s">
        <v>1334</v>
      </c>
      <c r="C367" s="2" t="s">
        <v>1335</v>
      </c>
      <c r="D367" s="2" t="s">
        <v>1336</v>
      </c>
      <c r="E367" s="2"/>
      <c r="F367" s="2"/>
      <c r="G367" s="318"/>
      <c r="H367" s="2" t="s">
        <v>1337</v>
      </c>
      <c r="I367" s="2" t="s">
        <v>1</v>
      </c>
      <c r="L367" s="293">
        <v>0</v>
      </c>
      <c r="M367" s="293">
        <v>0</v>
      </c>
      <c r="N367" s="293">
        <v>0</v>
      </c>
      <c r="O367" s="293">
        <v>0</v>
      </c>
      <c r="P367" s="293">
        <v>0</v>
      </c>
      <c r="Q367" s="293">
        <v>0</v>
      </c>
      <c r="R367" s="293">
        <v>0</v>
      </c>
      <c r="S367" s="293">
        <v>0</v>
      </c>
      <c r="T367" s="368">
        <v>0</v>
      </c>
      <c r="U367" s="293">
        <v>0</v>
      </c>
      <c r="V367" s="293">
        <v>0</v>
      </c>
      <c r="W367" s="293">
        <v>0</v>
      </c>
      <c r="X367" s="293">
        <v>0</v>
      </c>
      <c r="Y367" s="293">
        <v>0</v>
      </c>
      <c r="Z367" s="293">
        <v>0</v>
      </c>
      <c r="AA367" s="293">
        <v>0</v>
      </c>
      <c r="AB367" s="293">
        <v>0</v>
      </c>
      <c r="AC367" s="368">
        <v>0</v>
      </c>
      <c r="AD367" s="293">
        <v>0</v>
      </c>
      <c r="AE367" s="293">
        <v>0</v>
      </c>
      <c r="AF367" s="293">
        <v>0</v>
      </c>
      <c r="AG367" s="293">
        <v>0</v>
      </c>
      <c r="AH367" s="293">
        <v>0</v>
      </c>
      <c r="AI367" s="293">
        <v>0</v>
      </c>
      <c r="AJ367" s="293">
        <v>0</v>
      </c>
      <c r="AK367" s="293">
        <v>0</v>
      </c>
      <c r="AL367" s="348">
        <v>10</v>
      </c>
      <c r="AM367" s="232"/>
      <c r="AN367" s="322">
        <v>0</v>
      </c>
      <c r="AO367" s="231">
        <v>0</v>
      </c>
      <c r="AP367" s="228">
        <v>0</v>
      </c>
      <c r="AQ367" s="231">
        <v>0</v>
      </c>
      <c r="AR367" s="231">
        <v>0</v>
      </c>
      <c r="AS367" s="231">
        <v>0</v>
      </c>
      <c r="AT367" s="231">
        <v>0</v>
      </c>
      <c r="AU367" s="323">
        <v>0</v>
      </c>
      <c r="AV367" s="231">
        <v>2</v>
      </c>
      <c r="AW367" s="231">
        <v>2</v>
      </c>
      <c r="AX367" s="231">
        <v>2</v>
      </c>
      <c r="AY367" s="231">
        <v>2</v>
      </c>
      <c r="AZ367" s="230">
        <v>2</v>
      </c>
      <c r="BA367" s="2" t="s">
        <v>1236</v>
      </c>
    </row>
    <row r="368" spans="1:56" ht="15" customHeight="1" x14ac:dyDescent="0.25">
      <c r="A368" s="2" t="s">
        <v>1334</v>
      </c>
      <c r="C368" s="2" t="s">
        <v>1335</v>
      </c>
      <c r="D368" s="2" t="s">
        <v>1336</v>
      </c>
      <c r="E368" s="2"/>
      <c r="F368" s="2"/>
      <c r="G368" s="318"/>
      <c r="H368" s="2" t="s">
        <v>1337</v>
      </c>
      <c r="I368" s="2" t="s">
        <v>1048</v>
      </c>
      <c r="L368" s="293">
        <v>0</v>
      </c>
      <c r="M368" s="293">
        <v>0</v>
      </c>
      <c r="N368" s="293">
        <v>0</v>
      </c>
      <c r="O368" s="293">
        <v>0</v>
      </c>
      <c r="P368" s="293">
        <v>0</v>
      </c>
      <c r="Q368" s="293">
        <v>0</v>
      </c>
      <c r="R368" s="293">
        <v>0</v>
      </c>
      <c r="S368" s="293">
        <v>0</v>
      </c>
      <c r="T368" s="368">
        <v>0</v>
      </c>
      <c r="U368" s="293">
        <v>0</v>
      </c>
      <c r="V368" s="293">
        <v>0</v>
      </c>
      <c r="W368" s="293">
        <v>0</v>
      </c>
      <c r="X368" s="293">
        <v>0</v>
      </c>
      <c r="Y368" s="293">
        <v>0</v>
      </c>
      <c r="Z368" s="293">
        <v>0</v>
      </c>
      <c r="AA368" s="293">
        <v>0</v>
      </c>
      <c r="AB368" s="293">
        <v>0</v>
      </c>
      <c r="AC368" s="368">
        <v>0</v>
      </c>
      <c r="AD368" s="293">
        <v>0</v>
      </c>
      <c r="AE368" s="293">
        <v>0</v>
      </c>
      <c r="AF368" s="293">
        <v>0</v>
      </c>
      <c r="AG368" s="293">
        <v>0</v>
      </c>
      <c r="AH368" s="293">
        <v>0</v>
      </c>
      <c r="AI368" s="293">
        <v>0</v>
      </c>
      <c r="AJ368" s="293">
        <v>0</v>
      </c>
      <c r="AK368" s="293">
        <v>0</v>
      </c>
      <c r="AL368" s="348">
        <v>10</v>
      </c>
      <c r="AM368" s="232"/>
      <c r="AN368" s="322">
        <v>0</v>
      </c>
      <c r="AO368" s="231">
        <v>0</v>
      </c>
      <c r="AP368" s="228">
        <v>0</v>
      </c>
      <c r="AQ368" s="231">
        <v>0</v>
      </c>
      <c r="AR368" s="231">
        <v>0</v>
      </c>
      <c r="AS368" s="231">
        <v>0</v>
      </c>
      <c r="AT368" s="231">
        <v>0</v>
      </c>
      <c r="AU368" s="323">
        <v>0</v>
      </c>
      <c r="AV368" s="231">
        <v>2</v>
      </c>
      <c r="AW368" s="231">
        <v>2</v>
      </c>
      <c r="AX368" s="231">
        <v>2</v>
      </c>
      <c r="AY368" s="231">
        <v>2</v>
      </c>
      <c r="AZ368" s="230">
        <v>2</v>
      </c>
      <c r="BA368" s="2" t="s">
        <v>1236</v>
      </c>
    </row>
    <row r="369" spans="1:53" ht="15" customHeight="1" x14ac:dyDescent="0.25">
      <c r="A369" s="2" t="s">
        <v>1338</v>
      </c>
      <c r="C369" s="2" t="s">
        <v>1335</v>
      </c>
      <c r="D369" s="2" t="s">
        <v>1339</v>
      </c>
      <c r="E369" s="2"/>
      <c r="F369" s="2"/>
      <c r="G369" s="318"/>
      <c r="H369" s="2" t="s">
        <v>1337</v>
      </c>
      <c r="I369" s="2" t="s">
        <v>1</v>
      </c>
      <c r="L369" s="293">
        <v>0</v>
      </c>
      <c r="M369" s="293">
        <v>0</v>
      </c>
      <c r="N369" s="293">
        <v>0</v>
      </c>
      <c r="O369" s="293">
        <v>0</v>
      </c>
      <c r="P369" s="293">
        <v>0</v>
      </c>
      <c r="Q369" s="293">
        <v>0</v>
      </c>
      <c r="R369" s="293">
        <v>0</v>
      </c>
      <c r="S369" s="293">
        <v>0</v>
      </c>
      <c r="T369" s="368">
        <v>0</v>
      </c>
      <c r="U369" s="293">
        <v>0</v>
      </c>
      <c r="V369" s="293">
        <v>0</v>
      </c>
      <c r="W369" s="293">
        <v>0</v>
      </c>
      <c r="X369" s="293">
        <v>0</v>
      </c>
      <c r="Y369" s="293">
        <v>0</v>
      </c>
      <c r="Z369" s="293">
        <v>0</v>
      </c>
      <c r="AA369" s="293">
        <v>0</v>
      </c>
      <c r="AB369" s="293">
        <v>0</v>
      </c>
      <c r="AC369" s="368">
        <v>0</v>
      </c>
      <c r="AD369" s="293">
        <v>0</v>
      </c>
      <c r="AE369" s="293">
        <v>0</v>
      </c>
      <c r="AF369" s="293">
        <v>0</v>
      </c>
      <c r="AG369" s="293">
        <v>0</v>
      </c>
      <c r="AH369" s="293">
        <v>0</v>
      </c>
      <c r="AI369" s="293">
        <v>0</v>
      </c>
      <c r="AJ369" s="293">
        <v>0</v>
      </c>
      <c r="AK369" s="293">
        <v>0</v>
      </c>
      <c r="AL369" s="348">
        <v>10</v>
      </c>
      <c r="AM369" s="232"/>
      <c r="AN369" s="322">
        <v>0</v>
      </c>
      <c r="AO369" s="231">
        <v>0</v>
      </c>
      <c r="AP369" s="228">
        <v>0</v>
      </c>
      <c r="AQ369" s="231">
        <v>0</v>
      </c>
      <c r="AR369" s="231">
        <v>0</v>
      </c>
      <c r="AS369" s="231">
        <v>0</v>
      </c>
      <c r="AT369" s="231">
        <v>0</v>
      </c>
      <c r="AU369" s="323">
        <v>0</v>
      </c>
      <c r="AV369" s="231">
        <v>2</v>
      </c>
      <c r="AW369" s="231">
        <v>2</v>
      </c>
      <c r="AX369" s="231">
        <v>2</v>
      </c>
      <c r="AY369" s="231">
        <v>2</v>
      </c>
      <c r="AZ369" s="230">
        <v>2</v>
      </c>
      <c r="BA369" s="2" t="s">
        <v>1219</v>
      </c>
    </row>
    <row r="370" spans="1:53" ht="15" customHeight="1" x14ac:dyDescent="0.25">
      <c r="A370" s="2" t="s">
        <v>1338</v>
      </c>
      <c r="C370" s="2" t="s">
        <v>1335</v>
      </c>
      <c r="D370" s="2" t="s">
        <v>1339</v>
      </c>
      <c r="E370" s="2"/>
      <c r="F370" s="2"/>
      <c r="G370" s="318"/>
      <c r="H370" s="2" t="s">
        <v>1337</v>
      </c>
      <c r="I370" s="2" t="s">
        <v>1048</v>
      </c>
      <c r="L370" s="293">
        <v>0</v>
      </c>
      <c r="M370" s="293">
        <v>0</v>
      </c>
      <c r="N370" s="293">
        <v>0</v>
      </c>
      <c r="O370" s="293">
        <v>0</v>
      </c>
      <c r="P370" s="293">
        <v>0</v>
      </c>
      <c r="Q370" s="293">
        <v>0</v>
      </c>
      <c r="R370" s="293">
        <v>0</v>
      </c>
      <c r="S370" s="293">
        <v>0</v>
      </c>
      <c r="T370" s="368">
        <v>0</v>
      </c>
      <c r="U370" s="293">
        <v>0</v>
      </c>
      <c r="V370" s="293">
        <v>0</v>
      </c>
      <c r="W370" s="293">
        <v>0</v>
      </c>
      <c r="X370" s="293">
        <v>0</v>
      </c>
      <c r="Y370" s="293">
        <v>0</v>
      </c>
      <c r="Z370" s="293">
        <v>0</v>
      </c>
      <c r="AA370" s="293">
        <v>0</v>
      </c>
      <c r="AB370" s="293">
        <v>0</v>
      </c>
      <c r="AC370" s="368">
        <v>0</v>
      </c>
      <c r="AD370" s="293">
        <v>0</v>
      </c>
      <c r="AE370" s="293">
        <v>0</v>
      </c>
      <c r="AF370" s="293">
        <v>0</v>
      </c>
      <c r="AG370" s="293">
        <v>0</v>
      </c>
      <c r="AH370" s="293">
        <v>0</v>
      </c>
      <c r="AI370" s="293">
        <v>0</v>
      </c>
      <c r="AJ370" s="293">
        <v>0</v>
      </c>
      <c r="AK370" s="293">
        <v>0</v>
      </c>
      <c r="AL370" s="348">
        <v>10</v>
      </c>
      <c r="AM370" s="232"/>
      <c r="AN370" s="322">
        <v>0</v>
      </c>
      <c r="AO370" s="231">
        <v>0</v>
      </c>
      <c r="AP370" s="228">
        <v>0</v>
      </c>
      <c r="AQ370" s="231">
        <v>0</v>
      </c>
      <c r="AR370" s="231">
        <v>0</v>
      </c>
      <c r="AS370" s="231">
        <v>0</v>
      </c>
      <c r="AT370" s="231">
        <v>0</v>
      </c>
      <c r="AU370" s="323">
        <v>0</v>
      </c>
      <c r="AV370" s="231">
        <v>2</v>
      </c>
      <c r="AW370" s="231">
        <v>2</v>
      </c>
      <c r="AX370" s="231">
        <v>2</v>
      </c>
      <c r="AY370" s="231">
        <v>2</v>
      </c>
      <c r="AZ370" s="230">
        <v>2</v>
      </c>
      <c r="BA370" s="2" t="s">
        <v>1219</v>
      </c>
    </row>
    <row r="371" spans="1:53" ht="15" customHeight="1" x14ac:dyDescent="0.25">
      <c r="A371" s="2" t="s">
        <v>1340</v>
      </c>
      <c r="C371" s="2" t="s">
        <v>1335</v>
      </c>
      <c r="D371" s="2" t="s">
        <v>1341</v>
      </c>
      <c r="E371" s="2"/>
      <c r="F371" s="319"/>
      <c r="G371" s="318"/>
      <c r="H371" s="2" t="s">
        <v>1337</v>
      </c>
      <c r="I371" s="2" t="s">
        <v>1</v>
      </c>
      <c r="L371" s="293">
        <v>0</v>
      </c>
      <c r="M371" s="293">
        <v>0</v>
      </c>
      <c r="N371" s="293">
        <v>0</v>
      </c>
      <c r="O371" s="293">
        <v>0</v>
      </c>
      <c r="P371" s="293">
        <v>0</v>
      </c>
      <c r="Q371" s="293">
        <v>0</v>
      </c>
      <c r="R371" s="293">
        <v>0</v>
      </c>
      <c r="S371" s="293">
        <v>0</v>
      </c>
      <c r="T371" s="368">
        <v>0</v>
      </c>
      <c r="U371" s="293">
        <v>0</v>
      </c>
      <c r="V371" s="293">
        <v>0</v>
      </c>
      <c r="W371" s="293">
        <v>0</v>
      </c>
      <c r="X371" s="293">
        <v>0</v>
      </c>
      <c r="Y371" s="293">
        <v>0</v>
      </c>
      <c r="Z371" s="293">
        <v>0</v>
      </c>
      <c r="AA371" s="293">
        <v>0</v>
      </c>
      <c r="AB371" s="293">
        <v>0</v>
      </c>
      <c r="AC371" s="368">
        <v>0</v>
      </c>
      <c r="AD371" s="293">
        <v>0</v>
      </c>
      <c r="AE371" s="293">
        <v>0</v>
      </c>
      <c r="AF371" s="293">
        <v>0</v>
      </c>
      <c r="AG371" s="293">
        <v>0</v>
      </c>
      <c r="AH371" s="293">
        <v>0</v>
      </c>
      <c r="AI371" s="293">
        <v>0</v>
      </c>
      <c r="AJ371" s="293">
        <v>0</v>
      </c>
      <c r="AK371" s="293">
        <v>0</v>
      </c>
      <c r="AL371" s="348">
        <v>15</v>
      </c>
      <c r="AM371" s="232"/>
      <c r="AN371" s="322">
        <v>0</v>
      </c>
      <c r="AO371" s="231">
        <v>0</v>
      </c>
      <c r="AP371" s="228">
        <v>0</v>
      </c>
      <c r="AQ371" s="231">
        <v>0</v>
      </c>
      <c r="AR371" s="231">
        <v>0</v>
      </c>
      <c r="AS371" s="231">
        <v>0</v>
      </c>
      <c r="AT371" s="231">
        <v>0</v>
      </c>
      <c r="AU371" s="323">
        <v>0</v>
      </c>
      <c r="AV371" s="231">
        <v>3</v>
      </c>
      <c r="AW371" s="231">
        <v>3</v>
      </c>
      <c r="AX371" s="231">
        <v>3</v>
      </c>
      <c r="AY371" s="231">
        <v>3</v>
      </c>
      <c r="AZ371" s="230">
        <v>3</v>
      </c>
      <c r="BA371" s="2" t="s">
        <v>1219</v>
      </c>
    </row>
    <row r="372" spans="1:53" ht="15" customHeight="1" x14ac:dyDescent="0.25">
      <c r="A372" s="2" t="s">
        <v>1340</v>
      </c>
      <c r="C372" s="2" t="s">
        <v>1335</v>
      </c>
      <c r="D372" s="2" t="s">
        <v>1341</v>
      </c>
      <c r="E372" s="2"/>
      <c r="F372" s="2"/>
      <c r="G372" s="318"/>
      <c r="H372" s="2" t="s">
        <v>1337</v>
      </c>
      <c r="I372" s="2" t="s">
        <v>1048</v>
      </c>
      <c r="L372" s="293">
        <v>0</v>
      </c>
      <c r="M372" s="293">
        <v>0</v>
      </c>
      <c r="N372" s="293">
        <v>0</v>
      </c>
      <c r="O372" s="293">
        <v>0</v>
      </c>
      <c r="P372" s="293">
        <v>0</v>
      </c>
      <c r="Q372" s="293">
        <v>0</v>
      </c>
      <c r="R372" s="293">
        <v>0</v>
      </c>
      <c r="S372" s="293">
        <v>0</v>
      </c>
      <c r="T372" s="368">
        <v>0</v>
      </c>
      <c r="U372" s="293">
        <v>0</v>
      </c>
      <c r="V372" s="293">
        <v>0</v>
      </c>
      <c r="W372" s="293">
        <v>0</v>
      </c>
      <c r="X372" s="293">
        <v>0</v>
      </c>
      <c r="Y372" s="293">
        <v>0</v>
      </c>
      <c r="Z372" s="293">
        <v>0</v>
      </c>
      <c r="AA372" s="293">
        <v>0</v>
      </c>
      <c r="AB372" s="293">
        <v>0</v>
      </c>
      <c r="AC372" s="368">
        <v>0</v>
      </c>
      <c r="AD372" s="293">
        <v>0</v>
      </c>
      <c r="AE372" s="293">
        <v>0</v>
      </c>
      <c r="AF372" s="293">
        <v>0</v>
      </c>
      <c r="AG372" s="293">
        <v>0</v>
      </c>
      <c r="AH372" s="293">
        <v>0</v>
      </c>
      <c r="AI372" s="293">
        <v>0</v>
      </c>
      <c r="AJ372" s="293">
        <v>0</v>
      </c>
      <c r="AK372" s="293">
        <v>0</v>
      </c>
      <c r="AL372" s="348">
        <v>15</v>
      </c>
      <c r="AM372" s="232"/>
      <c r="AN372" s="322">
        <v>0</v>
      </c>
      <c r="AO372" s="231">
        <v>0</v>
      </c>
      <c r="AP372" s="228">
        <v>0</v>
      </c>
      <c r="AQ372" s="231">
        <v>0</v>
      </c>
      <c r="AR372" s="231">
        <v>0</v>
      </c>
      <c r="AS372" s="231">
        <v>0</v>
      </c>
      <c r="AT372" s="231">
        <v>0</v>
      </c>
      <c r="AU372" s="323">
        <v>0</v>
      </c>
      <c r="AV372" s="231">
        <v>3</v>
      </c>
      <c r="AW372" s="231">
        <v>3</v>
      </c>
      <c r="AX372" s="231">
        <v>3</v>
      </c>
      <c r="AY372" s="231">
        <v>3</v>
      </c>
      <c r="AZ372" s="230">
        <v>3</v>
      </c>
      <c r="BA372" s="2" t="s">
        <v>1219</v>
      </c>
    </row>
    <row r="373" spans="1:53" ht="15" customHeight="1" x14ac:dyDescent="0.25">
      <c r="A373" s="2" t="s">
        <v>1342</v>
      </c>
      <c r="C373" s="2" t="s">
        <v>1335</v>
      </c>
      <c r="D373" s="2" t="s">
        <v>1343</v>
      </c>
      <c r="E373" s="2"/>
      <c r="F373" s="2"/>
      <c r="G373" s="318"/>
      <c r="H373" s="2" t="s">
        <v>1337</v>
      </c>
      <c r="I373" s="2" t="s">
        <v>1</v>
      </c>
      <c r="L373" s="293">
        <v>0</v>
      </c>
      <c r="M373" s="293">
        <v>0</v>
      </c>
      <c r="N373" s="293">
        <v>0</v>
      </c>
      <c r="O373" s="293">
        <v>0</v>
      </c>
      <c r="P373" s="293">
        <v>0</v>
      </c>
      <c r="Q373" s="293">
        <v>0</v>
      </c>
      <c r="R373" s="293">
        <v>0</v>
      </c>
      <c r="S373" s="293">
        <v>0</v>
      </c>
      <c r="T373" s="368">
        <v>0</v>
      </c>
      <c r="U373" s="293">
        <v>0</v>
      </c>
      <c r="V373" s="293">
        <v>0</v>
      </c>
      <c r="W373" s="293">
        <v>0</v>
      </c>
      <c r="X373" s="293">
        <v>0</v>
      </c>
      <c r="Y373" s="293">
        <v>0</v>
      </c>
      <c r="Z373" s="293">
        <v>0</v>
      </c>
      <c r="AA373" s="293">
        <v>0</v>
      </c>
      <c r="AB373" s="293">
        <v>0</v>
      </c>
      <c r="AC373" s="368">
        <v>0</v>
      </c>
      <c r="AD373" s="293">
        <v>0</v>
      </c>
      <c r="AE373" s="293">
        <v>0</v>
      </c>
      <c r="AF373" s="293">
        <v>0</v>
      </c>
      <c r="AG373" s="293">
        <v>0</v>
      </c>
      <c r="AH373" s="293">
        <v>0</v>
      </c>
      <c r="AI373" s="293">
        <v>0</v>
      </c>
      <c r="AJ373" s="293">
        <v>0</v>
      </c>
      <c r="AK373" s="293">
        <v>0</v>
      </c>
      <c r="AL373" s="348">
        <v>80</v>
      </c>
      <c r="AM373" s="232"/>
      <c r="AN373" s="322">
        <v>0</v>
      </c>
      <c r="AO373" s="231">
        <v>0</v>
      </c>
      <c r="AP373" s="228">
        <v>0</v>
      </c>
      <c r="AQ373" s="231">
        <v>0</v>
      </c>
      <c r="AR373" s="231">
        <v>20</v>
      </c>
      <c r="AS373" s="231">
        <v>20</v>
      </c>
      <c r="AT373" s="231">
        <v>20</v>
      </c>
      <c r="AU373" s="323" t="s">
        <v>39</v>
      </c>
      <c r="AV373" s="231">
        <v>20</v>
      </c>
      <c r="AW373" s="231">
        <v>0</v>
      </c>
      <c r="AX373" s="231">
        <v>0</v>
      </c>
      <c r="AY373" s="231">
        <v>0</v>
      </c>
      <c r="AZ373" s="230">
        <v>0</v>
      </c>
      <c r="BA373" s="2" t="s">
        <v>1443</v>
      </c>
    </row>
    <row r="374" spans="1:53" ht="15" customHeight="1" x14ac:dyDescent="0.25">
      <c r="A374" s="2" t="s">
        <v>1342</v>
      </c>
      <c r="C374" s="2" t="s">
        <v>1335</v>
      </c>
      <c r="D374" s="2" t="s">
        <v>1343</v>
      </c>
      <c r="E374" s="2"/>
      <c r="F374" s="2"/>
      <c r="G374" s="318"/>
      <c r="H374" s="2" t="s">
        <v>1337</v>
      </c>
      <c r="I374" s="2" t="s">
        <v>1048</v>
      </c>
      <c r="L374" s="293">
        <v>0</v>
      </c>
      <c r="M374" s="293">
        <v>0</v>
      </c>
      <c r="N374" s="293">
        <v>0</v>
      </c>
      <c r="O374" s="293">
        <v>0</v>
      </c>
      <c r="P374" s="293">
        <v>0</v>
      </c>
      <c r="Q374" s="293">
        <v>0</v>
      </c>
      <c r="R374" s="293">
        <v>0</v>
      </c>
      <c r="S374" s="293">
        <v>0</v>
      </c>
      <c r="T374" s="368">
        <v>0</v>
      </c>
      <c r="U374" s="293">
        <v>0</v>
      </c>
      <c r="V374" s="293">
        <v>0</v>
      </c>
      <c r="W374" s="293">
        <v>0</v>
      </c>
      <c r="X374" s="293">
        <v>0</v>
      </c>
      <c r="Y374" s="293">
        <v>0</v>
      </c>
      <c r="Z374" s="293">
        <v>0</v>
      </c>
      <c r="AA374" s="293">
        <v>0</v>
      </c>
      <c r="AB374" s="293">
        <v>0</v>
      </c>
      <c r="AC374" s="368">
        <v>0</v>
      </c>
      <c r="AD374" s="293">
        <v>0</v>
      </c>
      <c r="AE374" s="293">
        <v>0</v>
      </c>
      <c r="AF374" s="293">
        <v>0</v>
      </c>
      <c r="AG374" s="293">
        <v>0</v>
      </c>
      <c r="AH374" s="293">
        <v>0</v>
      </c>
      <c r="AI374" s="293">
        <v>0</v>
      </c>
      <c r="AJ374" s="293">
        <v>0</v>
      </c>
      <c r="AK374" s="293">
        <v>0</v>
      </c>
      <c r="AL374" s="348">
        <v>160</v>
      </c>
      <c r="AM374" s="232"/>
      <c r="AN374" s="322">
        <v>0</v>
      </c>
      <c r="AO374" s="231">
        <v>0</v>
      </c>
      <c r="AP374" s="228">
        <v>0</v>
      </c>
      <c r="AQ374" s="231">
        <v>0</v>
      </c>
      <c r="AR374" s="231">
        <v>40</v>
      </c>
      <c r="AS374" s="231">
        <v>40</v>
      </c>
      <c r="AT374" s="231">
        <v>40</v>
      </c>
      <c r="AU374" s="323" t="s">
        <v>39</v>
      </c>
      <c r="AV374" s="231">
        <v>40</v>
      </c>
      <c r="AW374" s="231">
        <v>0</v>
      </c>
      <c r="AX374" s="231">
        <v>0</v>
      </c>
      <c r="AY374" s="231">
        <v>0</v>
      </c>
      <c r="AZ374" s="230">
        <v>0</v>
      </c>
      <c r="BA374" s="2" t="s">
        <v>1443</v>
      </c>
    </row>
    <row r="375" spans="1:53" ht="15" customHeight="1" x14ac:dyDescent="0.25">
      <c r="A375" s="2" t="s">
        <v>1344</v>
      </c>
      <c r="C375" s="2" t="s">
        <v>1335</v>
      </c>
      <c r="D375" s="2" t="s">
        <v>1345</v>
      </c>
      <c r="E375" s="2"/>
      <c r="F375" s="2"/>
      <c r="G375" s="318"/>
      <c r="H375" s="2" t="s">
        <v>1337</v>
      </c>
      <c r="I375" s="2" t="s">
        <v>1</v>
      </c>
      <c r="L375" s="293">
        <v>0</v>
      </c>
      <c r="M375" s="293">
        <v>0</v>
      </c>
      <c r="N375" s="293">
        <v>0</v>
      </c>
      <c r="O375" s="293">
        <v>0</v>
      </c>
      <c r="P375" s="293">
        <v>0</v>
      </c>
      <c r="Q375" s="293">
        <v>0</v>
      </c>
      <c r="R375" s="293">
        <v>0</v>
      </c>
      <c r="S375" s="293">
        <v>0</v>
      </c>
      <c r="T375" s="368">
        <v>0</v>
      </c>
      <c r="U375" s="293">
        <v>0</v>
      </c>
      <c r="V375" s="293">
        <v>0</v>
      </c>
      <c r="W375" s="293">
        <v>0</v>
      </c>
      <c r="X375" s="293">
        <v>0</v>
      </c>
      <c r="Y375" s="293">
        <v>0</v>
      </c>
      <c r="Z375" s="293">
        <v>0</v>
      </c>
      <c r="AA375" s="293">
        <v>0</v>
      </c>
      <c r="AB375" s="293">
        <v>0</v>
      </c>
      <c r="AC375" s="368">
        <v>0</v>
      </c>
      <c r="AD375" s="293">
        <v>0</v>
      </c>
      <c r="AE375" s="293">
        <v>0</v>
      </c>
      <c r="AF375" s="293">
        <v>0</v>
      </c>
      <c r="AG375" s="293">
        <v>0</v>
      </c>
      <c r="AH375" s="293">
        <v>0</v>
      </c>
      <c r="AI375" s="293">
        <v>0</v>
      </c>
      <c r="AJ375" s="293">
        <v>0</v>
      </c>
      <c r="AK375" s="293">
        <v>0</v>
      </c>
      <c r="AL375" s="348">
        <v>10</v>
      </c>
      <c r="AM375" s="232"/>
      <c r="AN375" s="322">
        <v>0</v>
      </c>
      <c r="AO375" s="231">
        <v>0</v>
      </c>
      <c r="AP375" s="228">
        <v>0</v>
      </c>
      <c r="AQ375" s="231">
        <v>0</v>
      </c>
      <c r="AR375" s="231">
        <v>0</v>
      </c>
      <c r="AS375" s="231">
        <v>0</v>
      </c>
      <c r="AT375" s="231">
        <v>0</v>
      </c>
      <c r="AU375" s="323">
        <v>0</v>
      </c>
      <c r="AV375" s="231">
        <v>2</v>
      </c>
      <c r="AW375" s="231">
        <v>2</v>
      </c>
      <c r="AX375" s="231">
        <v>2</v>
      </c>
      <c r="AY375" s="231">
        <v>2</v>
      </c>
      <c r="AZ375" s="230">
        <v>2</v>
      </c>
      <c r="BA375" s="2" t="s">
        <v>1443</v>
      </c>
    </row>
    <row r="376" spans="1:53" ht="15" customHeight="1" x14ac:dyDescent="0.25">
      <c r="A376" s="2" t="s">
        <v>1344</v>
      </c>
      <c r="C376" s="2" t="s">
        <v>1335</v>
      </c>
      <c r="D376" s="2" t="s">
        <v>1345</v>
      </c>
      <c r="E376" s="2"/>
      <c r="F376" s="2"/>
      <c r="G376" s="318"/>
      <c r="H376" s="2" t="s">
        <v>1337</v>
      </c>
      <c r="I376" s="2" t="s">
        <v>1048</v>
      </c>
      <c r="L376" s="293">
        <v>0</v>
      </c>
      <c r="M376" s="293">
        <v>0</v>
      </c>
      <c r="N376" s="293">
        <v>0</v>
      </c>
      <c r="O376" s="293">
        <v>0</v>
      </c>
      <c r="P376" s="293">
        <v>0</v>
      </c>
      <c r="Q376" s="293">
        <v>0</v>
      </c>
      <c r="R376" s="293">
        <v>0</v>
      </c>
      <c r="S376" s="293">
        <v>0</v>
      </c>
      <c r="T376" s="368">
        <v>0</v>
      </c>
      <c r="U376" s="293">
        <v>0</v>
      </c>
      <c r="V376" s="293">
        <v>0</v>
      </c>
      <c r="W376" s="293">
        <v>0</v>
      </c>
      <c r="X376" s="293">
        <v>0</v>
      </c>
      <c r="Y376" s="293">
        <v>0</v>
      </c>
      <c r="Z376" s="293">
        <v>0</v>
      </c>
      <c r="AA376" s="293">
        <v>0</v>
      </c>
      <c r="AB376" s="293">
        <v>0</v>
      </c>
      <c r="AC376" s="368">
        <v>0</v>
      </c>
      <c r="AD376" s="293">
        <v>0</v>
      </c>
      <c r="AE376" s="293">
        <v>0</v>
      </c>
      <c r="AF376" s="293">
        <v>0</v>
      </c>
      <c r="AG376" s="293">
        <v>0</v>
      </c>
      <c r="AH376" s="293">
        <v>0</v>
      </c>
      <c r="AI376" s="293">
        <v>0</v>
      </c>
      <c r="AJ376" s="293">
        <v>0</v>
      </c>
      <c r="AK376" s="293">
        <v>0</v>
      </c>
      <c r="AL376" s="348">
        <v>10</v>
      </c>
      <c r="AM376" s="232"/>
      <c r="AN376" s="322">
        <v>0</v>
      </c>
      <c r="AO376" s="231">
        <v>0</v>
      </c>
      <c r="AP376" s="228">
        <v>0</v>
      </c>
      <c r="AQ376" s="231">
        <v>0</v>
      </c>
      <c r="AR376" s="231">
        <v>0</v>
      </c>
      <c r="AS376" s="231">
        <v>0</v>
      </c>
      <c r="AT376" s="231">
        <v>0</v>
      </c>
      <c r="AU376" s="323">
        <v>0</v>
      </c>
      <c r="AV376" s="231">
        <v>2</v>
      </c>
      <c r="AW376" s="231">
        <v>2</v>
      </c>
      <c r="AX376" s="231">
        <v>2</v>
      </c>
      <c r="AY376" s="231">
        <v>2</v>
      </c>
      <c r="AZ376" s="230">
        <v>2</v>
      </c>
      <c r="BA376" s="2" t="s">
        <v>1443</v>
      </c>
    </row>
    <row r="377" spans="1:53" ht="15" customHeight="1" x14ac:dyDescent="0.25">
      <c r="A377" s="2" t="s">
        <v>1346</v>
      </c>
      <c r="C377" s="2" t="s">
        <v>1335</v>
      </c>
      <c r="D377" s="2" t="s">
        <v>1347</v>
      </c>
      <c r="E377" s="2"/>
      <c r="F377" s="2"/>
      <c r="G377" s="318"/>
      <c r="H377" s="2" t="s">
        <v>1337</v>
      </c>
      <c r="I377" s="2" t="s">
        <v>1</v>
      </c>
      <c r="L377" s="293">
        <v>0</v>
      </c>
      <c r="M377" s="293">
        <v>0</v>
      </c>
      <c r="N377" s="293">
        <v>0</v>
      </c>
      <c r="O377" s="293">
        <v>0</v>
      </c>
      <c r="P377" s="293">
        <v>0</v>
      </c>
      <c r="Q377" s="293">
        <v>0</v>
      </c>
      <c r="R377" s="293">
        <v>0</v>
      </c>
      <c r="S377" s="293">
        <v>0</v>
      </c>
      <c r="T377" s="368">
        <v>0</v>
      </c>
      <c r="U377" s="293">
        <v>0</v>
      </c>
      <c r="V377" s="293">
        <v>0</v>
      </c>
      <c r="W377" s="293">
        <v>0</v>
      </c>
      <c r="X377" s="293">
        <v>0</v>
      </c>
      <c r="Y377" s="293">
        <v>0</v>
      </c>
      <c r="Z377" s="293">
        <v>0</v>
      </c>
      <c r="AA377" s="293">
        <v>0</v>
      </c>
      <c r="AB377" s="293">
        <v>0</v>
      </c>
      <c r="AC377" s="368">
        <v>0</v>
      </c>
      <c r="AD377" s="293">
        <v>0</v>
      </c>
      <c r="AE377" s="293">
        <v>0</v>
      </c>
      <c r="AF377" s="293">
        <v>0</v>
      </c>
      <c r="AG377" s="293">
        <v>0</v>
      </c>
      <c r="AH377" s="293">
        <v>0</v>
      </c>
      <c r="AI377" s="293">
        <v>0</v>
      </c>
      <c r="AJ377" s="293">
        <v>0</v>
      </c>
      <c r="AK377" s="293">
        <v>0</v>
      </c>
      <c r="AL377" s="348">
        <v>10</v>
      </c>
      <c r="AM377" s="232"/>
      <c r="AN377" s="322">
        <v>0</v>
      </c>
      <c r="AO377" s="231">
        <v>0</v>
      </c>
      <c r="AP377" s="228">
        <v>0</v>
      </c>
      <c r="AQ377" s="231">
        <v>0</v>
      </c>
      <c r="AR377" s="231">
        <v>0</v>
      </c>
      <c r="AS377" s="231">
        <v>0</v>
      </c>
      <c r="AT377" s="231">
        <v>0</v>
      </c>
      <c r="AU377" s="323">
        <v>0</v>
      </c>
      <c r="AV377" s="231">
        <v>2</v>
      </c>
      <c r="AW377" s="231">
        <v>2</v>
      </c>
      <c r="AX377" s="231">
        <v>2</v>
      </c>
      <c r="AY377" s="231">
        <v>2</v>
      </c>
      <c r="AZ377" s="230">
        <v>2</v>
      </c>
      <c r="BA377" s="2" t="s">
        <v>1235</v>
      </c>
    </row>
    <row r="378" spans="1:53" ht="15" customHeight="1" x14ac:dyDescent="0.25">
      <c r="A378" s="2" t="s">
        <v>1346</v>
      </c>
      <c r="C378" s="2" t="s">
        <v>1335</v>
      </c>
      <c r="D378" s="2" t="s">
        <v>1347</v>
      </c>
      <c r="E378" s="2"/>
      <c r="F378" s="2"/>
      <c r="G378" s="318"/>
      <c r="H378" s="2" t="s">
        <v>1337</v>
      </c>
      <c r="I378" s="2" t="s">
        <v>1048</v>
      </c>
      <c r="L378" s="293">
        <v>0</v>
      </c>
      <c r="M378" s="293">
        <v>0</v>
      </c>
      <c r="N378" s="293">
        <v>0</v>
      </c>
      <c r="O378" s="293">
        <v>0</v>
      </c>
      <c r="P378" s="293">
        <v>0</v>
      </c>
      <c r="Q378" s="293">
        <v>0</v>
      </c>
      <c r="R378" s="293">
        <v>0</v>
      </c>
      <c r="S378" s="293">
        <v>0</v>
      </c>
      <c r="T378" s="368">
        <v>0</v>
      </c>
      <c r="U378" s="293">
        <v>0</v>
      </c>
      <c r="V378" s="293">
        <v>0</v>
      </c>
      <c r="W378" s="293">
        <v>0</v>
      </c>
      <c r="X378" s="293">
        <v>0</v>
      </c>
      <c r="Y378" s="293">
        <v>0</v>
      </c>
      <c r="Z378" s="293">
        <v>0</v>
      </c>
      <c r="AA378" s="293">
        <v>0</v>
      </c>
      <c r="AB378" s="293">
        <v>0</v>
      </c>
      <c r="AC378" s="368">
        <v>0</v>
      </c>
      <c r="AD378" s="293">
        <v>0</v>
      </c>
      <c r="AE378" s="293">
        <v>0</v>
      </c>
      <c r="AF378" s="293">
        <v>0</v>
      </c>
      <c r="AG378" s="293">
        <v>0</v>
      </c>
      <c r="AH378" s="293">
        <v>0</v>
      </c>
      <c r="AI378" s="293">
        <v>0</v>
      </c>
      <c r="AJ378" s="293">
        <v>0</v>
      </c>
      <c r="AK378" s="293">
        <v>0</v>
      </c>
      <c r="AL378" s="348">
        <v>10</v>
      </c>
      <c r="AM378" s="232"/>
      <c r="AN378" s="322">
        <v>0</v>
      </c>
      <c r="AO378" s="231">
        <v>0</v>
      </c>
      <c r="AP378" s="228">
        <v>0</v>
      </c>
      <c r="AQ378" s="231">
        <v>0</v>
      </c>
      <c r="AR378" s="231">
        <v>0</v>
      </c>
      <c r="AS378" s="231">
        <v>0</v>
      </c>
      <c r="AT378" s="231">
        <v>0</v>
      </c>
      <c r="AU378" s="323">
        <v>0</v>
      </c>
      <c r="AV378" s="231">
        <v>2</v>
      </c>
      <c r="AW378" s="231">
        <v>2</v>
      </c>
      <c r="AX378" s="231">
        <v>2</v>
      </c>
      <c r="AY378" s="231">
        <v>2</v>
      </c>
      <c r="AZ378" s="230">
        <v>2</v>
      </c>
      <c r="BA378" s="2" t="s">
        <v>1235</v>
      </c>
    </row>
    <row r="379" spans="1:53" ht="15" customHeight="1" x14ac:dyDescent="0.25">
      <c r="A379" s="2" t="s">
        <v>1348</v>
      </c>
      <c r="C379" s="2" t="s">
        <v>1335</v>
      </c>
      <c r="D379" s="2" t="s">
        <v>1570</v>
      </c>
      <c r="E379" s="2"/>
      <c r="F379" s="2"/>
      <c r="G379" s="318"/>
      <c r="H379" s="2" t="s">
        <v>1337</v>
      </c>
      <c r="I379" s="2" t="s">
        <v>1048</v>
      </c>
      <c r="L379" s="293">
        <v>0</v>
      </c>
      <c r="M379" s="293">
        <v>0</v>
      </c>
      <c r="N379" s="293">
        <v>0</v>
      </c>
      <c r="O379" s="293">
        <v>0</v>
      </c>
      <c r="P379" s="293">
        <v>0</v>
      </c>
      <c r="Q379" s="293">
        <v>0</v>
      </c>
      <c r="R379" s="293">
        <v>0</v>
      </c>
      <c r="S379" s="293">
        <v>0</v>
      </c>
      <c r="T379" s="368">
        <v>0</v>
      </c>
      <c r="U379" s="293">
        <v>0</v>
      </c>
      <c r="V379" s="293">
        <v>0</v>
      </c>
      <c r="W379" s="293">
        <v>0</v>
      </c>
      <c r="X379" s="293">
        <v>0</v>
      </c>
      <c r="Y379" s="293">
        <v>0</v>
      </c>
      <c r="Z379" s="293">
        <v>0</v>
      </c>
      <c r="AA379" s="293">
        <v>0</v>
      </c>
      <c r="AB379" s="293">
        <v>0</v>
      </c>
      <c r="AC379" s="368">
        <v>0</v>
      </c>
      <c r="AD379" s="293">
        <v>0</v>
      </c>
      <c r="AE379" s="293">
        <v>0</v>
      </c>
      <c r="AF379" s="293">
        <v>0</v>
      </c>
      <c r="AG379" s="293">
        <v>0</v>
      </c>
      <c r="AH379" s="293">
        <v>0</v>
      </c>
      <c r="AI379" s="293">
        <v>0</v>
      </c>
      <c r="AJ379" s="293">
        <v>0</v>
      </c>
      <c r="AK379" s="293">
        <v>0</v>
      </c>
      <c r="AL379" s="348">
        <v>20</v>
      </c>
      <c r="AM379" s="232"/>
      <c r="AN379" s="322">
        <v>0</v>
      </c>
      <c r="AO379" s="322">
        <v>0</v>
      </c>
      <c r="AP379" s="231">
        <v>0</v>
      </c>
      <c r="AQ379" s="231">
        <v>0</v>
      </c>
      <c r="AR379" s="231">
        <v>0</v>
      </c>
      <c r="AS379" s="231">
        <v>0</v>
      </c>
      <c r="AT379" s="231">
        <v>0</v>
      </c>
      <c r="AU379" s="323">
        <v>0</v>
      </c>
      <c r="AV379" s="231">
        <v>4</v>
      </c>
      <c r="AW379" s="231">
        <v>4</v>
      </c>
      <c r="AX379" s="231">
        <v>4</v>
      </c>
      <c r="AY379" s="231">
        <v>4</v>
      </c>
      <c r="AZ379" s="230">
        <v>4</v>
      </c>
      <c r="BA379" s="2" t="s">
        <v>1228</v>
      </c>
    </row>
    <row r="380" spans="1:53" ht="15" customHeight="1" x14ac:dyDescent="0.25">
      <c r="A380" s="2" t="s">
        <v>1349</v>
      </c>
      <c r="C380" s="2" t="s">
        <v>1335</v>
      </c>
      <c r="D380" s="2" t="s">
        <v>1350</v>
      </c>
      <c r="E380" s="2"/>
      <c r="F380" s="2"/>
      <c r="G380" s="318"/>
      <c r="H380" s="2" t="s">
        <v>1337</v>
      </c>
      <c r="I380" s="2" t="s">
        <v>1</v>
      </c>
      <c r="L380" s="293">
        <v>0</v>
      </c>
      <c r="M380" s="293">
        <v>0</v>
      </c>
      <c r="N380" s="293">
        <v>0</v>
      </c>
      <c r="O380" s="293">
        <v>0</v>
      </c>
      <c r="P380" s="293">
        <v>0</v>
      </c>
      <c r="Q380" s="293">
        <v>0</v>
      </c>
      <c r="R380" s="293">
        <v>0</v>
      </c>
      <c r="S380" s="293">
        <v>0</v>
      </c>
      <c r="T380" s="368">
        <v>0</v>
      </c>
      <c r="U380" s="293">
        <v>0</v>
      </c>
      <c r="V380" s="293">
        <v>0</v>
      </c>
      <c r="W380" s="293">
        <v>0</v>
      </c>
      <c r="X380" s="293">
        <v>0</v>
      </c>
      <c r="Y380" s="293">
        <v>0</v>
      </c>
      <c r="Z380" s="293">
        <v>0</v>
      </c>
      <c r="AA380" s="293">
        <v>0</v>
      </c>
      <c r="AB380" s="293">
        <v>0</v>
      </c>
      <c r="AC380" s="368">
        <v>0</v>
      </c>
      <c r="AD380" s="293">
        <v>0</v>
      </c>
      <c r="AE380" s="293">
        <v>0</v>
      </c>
      <c r="AF380" s="293">
        <v>0</v>
      </c>
      <c r="AG380" s="293">
        <v>0</v>
      </c>
      <c r="AH380" s="293">
        <v>0</v>
      </c>
      <c r="AI380" s="293">
        <v>0</v>
      </c>
      <c r="AJ380" s="293">
        <v>0</v>
      </c>
      <c r="AK380" s="293">
        <v>0</v>
      </c>
      <c r="AL380" s="348">
        <v>10</v>
      </c>
      <c r="AM380" s="232"/>
      <c r="AN380" s="322">
        <v>0</v>
      </c>
      <c r="AO380" s="322">
        <v>0</v>
      </c>
      <c r="AP380" s="231">
        <v>0</v>
      </c>
      <c r="AQ380" s="231">
        <v>0</v>
      </c>
      <c r="AR380" s="231">
        <v>0</v>
      </c>
      <c r="AS380" s="231">
        <v>0</v>
      </c>
      <c r="AT380" s="231">
        <v>0</v>
      </c>
      <c r="AU380" s="323">
        <v>0</v>
      </c>
      <c r="AV380" s="231">
        <v>2</v>
      </c>
      <c r="AW380" s="231">
        <v>2</v>
      </c>
      <c r="AX380" s="231">
        <v>2</v>
      </c>
      <c r="AY380" s="231">
        <v>2</v>
      </c>
      <c r="AZ380" s="230">
        <v>2</v>
      </c>
      <c r="BA380" s="2" t="s">
        <v>1235</v>
      </c>
    </row>
    <row r="381" spans="1:53" ht="15" customHeight="1" x14ac:dyDescent="0.25">
      <c r="A381" s="2" t="s">
        <v>1349</v>
      </c>
      <c r="C381" s="2" t="s">
        <v>1335</v>
      </c>
      <c r="D381" s="2" t="s">
        <v>1350</v>
      </c>
      <c r="E381" s="2"/>
      <c r="F381" s="2"/>
      <c r="G381" s="318"/>
      <c r="H381" s="2" t="s">
        <v>1337</v>
      </c>
      <c r="I381" s="2" t="s">
        <v>1048</v>
      </c>
      <c r="L381" s="293">
        <v>0</v>
      </c>
      <c r="M381" s="293">
        <v>0</v>
      </c>
      <c r="N381" s="293">
        <v>0</v>
      </c>
      <c r="O381" s="293">
        <v>0</v>
      </c>
      <c r="P381" s="293">
        <v>0</v>
      </c>
      <c r="Q381" s="293">
        <v>0</v>
      </c>
      <c r="R381" s="293">
        <v>0</v>
      </c>
      <c r="S381" s="293">
        <v>0</v>
      </c>
      <c r="T381" s="368">
        <v>0</v>
      </c>
      <c r="U381" s="293">
        <v>0</v>
      </c>
      <c r="V381" s="293">
        <v>0</v>
      </c>
      <c r="W381" s="293">
        <v>0</v>
      </c>
      <c r="X381" s="293">
        <v>0</v>
      </c>
      <c r="Y381" s="293">
        <v>0</v>
      </c>
      <c r="Z381" s="293">
        <v>0</v>
      </c>
      <c r="AA381" s="293">
        <v>0</v>
      </c>
      <c r="AB381" s="293">
        <v>0</v>
      </c>
      <c r="AC381" s="368">
        <v>0</v>
      </c>
      <c r="AD381" s="293">
        <v>0</v>
      </c>
      <c r="AE381" s="293">
        <v>0</v>
      </c>
      <c r="AF381" s="293">
        <v>0</v>
      </c>
      <c r="AG381" s="293">
        <v>0</v>
      </c>
      <c r="AH381" s="293">
        <v>0</v>
      </c>
      <c r="AI381" s="293">
        <v>0</v>
      </c>
      <c r="AJ381" s="293">
        <v>0</v>
      </c>
      <c r="AK381" s="293">
        <v>0</v>
      </c>
      <c r="AL381" s="348">
        <v>10</v>
      </c>
      <c r="AM381" s="232"/>
      <c r="AN381" s="322">
        <v>0</v>
      </c>
      <c r="AO381" s="322">
        <v>0</v>
      </c>
      <c r="AP381" s="231">
        <v>0</v>
      </c>
      <c r="AQ381" s="231">
        <v>0</v>
      </c>
      <c r="AR381" s="231">
        <v>0</v>
      </c>
      <c r="AS381" s="231">
        <v>0</v>
      </c>
      <c r="AT381" s="231">
        <v>0</v>
      </c>
      <c r="AU381" s="323">
        <v>0</v>
      </c>
      <c r="AV381" s="231">
        <v>2</v>
      </c>
      <c r="AW381" s="231">
        <v>2</v>
      </c>
      <c r="AX381" s="231">
        <v>2</v>
      </c>
      <c r="AY381" s="231">
        <v>2</v>
      </c>
      <c r="AZ381" s="230">
        <v>2</v>
      </c>
      <c r="BA381" s="2" t="s">
        <v>1235</v>
      </c>
    </row>
    <row r="382" spans="1:53" ht="15" customHeight="1" x14ac:dyDescent="0.25">
      <c r="A382" s="2" t="s">
        <v>1351</v>
      </c>
      <c r="C382" s="2" t="s">
        <v>1335</v>
      </c>
      <c r="D382" s="2" t="s">
        <v>1352</v>
      </c>
      <c r="E382" s="2"/>
      <c r="F382" s="2"/>
      <c r="G382" s="318"/>
      <c r="H382" s="2" t="s">
        <v>1337</v>
      </c>
      <c r="I382" s="2" t="s">
        <v>1</v>
      </c>
      <c r="L382" s="293">
        <v>0</v>
      </c>
      <c r="M382" s="293">
        <v>0</v>
      </c>
      <c r="N382" s="293">
        <v>0</v>
      </c>
      <c r="O382" s="293">
        <v>0</v>
      </c>
      <c r="P382" s="293">
        <v>0</v>
      </c>
      <c r="Q382" s="293">
        <v>0</v>
      </c>
      <c r="R382" s="293">
        <v>0</v>
      </c>
      <c r="S382" s="293">
        <v>0</v>
      </c>
      <c r="T382" s="368">
        <v>0</v>
      </c>
      <c r="U382" s="293">
        <v>0</v>
      </c>
      <c r="V382" s="293">
        <v>0</v>
      </c>
      <c r="W382" s="293">
        <v>0</v>
      </c>
      <c r="X382" s="293">
        <v>0</v>
      </c>
      <c r="Y382" s="293">
        <v>0</v>
      </c>
      <c r="Z382" s="293">
        <v>0</v>
      </c>
      <c r="AA382" s="293">
        <v>0</v>
      </c>
      <c r="AB382" s="293">
        <v>0</v>
      </c>
      <c r="AC382" s="368">
        <v>0</v>
      </c>
      <c r="AD382" s="293">
        <v>0</v>
      </c>
      <c r="AE382" s="293">
        <v>0</v>
      </c>
      <c r="AF382" s="293">
        <v>0</v>
      </c>
      <c r="AG382" s="293">
        <v>0</v>
      </c>
      <c r="AH382" s="293">
        <v>0</v>
      </c>
      <c r="AI382" s="293">
        <v>0</v>
      </c>
      <c r="AJ382" s="293">
        <v>0</v>
      </c>
      <c r="AK382" s="293">
        <v>0</v>
      </c>
      <c r="AL382" s="348">
        <v>350</v>
      </c>
      <c r="AM382" s="232"/>
      <c r="AN382" s="322">
        <v>0</v>
      </c>
      <c r="AO382" s="231">
        <v>0</v>
      </c>
      <c r="AP382" s="228">
        <v>0</v>
      </c>
      <c r="AQ382" s="231">
        <v>0</v>
      </c>
      <c r="AR382" s="231">
        <v>0</v>
      </c>
      <c r="AS382" s="231">
        <v>75</v>
      </c>
      <c r="AT382" s="231">
        <v>75</v>
      </c>
      <c r="AU382" s="323" t="s">
        <v>39</v>
      </c>
      <c r="AV382" s="231">
        <v>40</v>
      </c>
      <c r="AW382" s="231">
        <v>40</v>
      </c>
      <c r="AX382" s="231">
        <v>40</v>
      </c>
      <c r="AY382" s="231">
        <v>40</v>
      </c>
      <c r="AZ382" s="230">
        <v>40</v>
      </c>
      <c r="BA382" s="2" t="s">
        <v>1267</v>
      </c>
    </row>
    <row r="383" spans="1:53" ht="15" customHeight="1" x14ac:dyDescent="0.25">
      <c r="A383" s="2" t="s">
        <v>1351</v>
      </c>
      <c r="C383" s="2" t="s">
        <v>1335</v>
      </c>
      <c r="D383" s="2" t="s">
        <v>1352</v>
      </c>
      <c r="E383" s="2"/>
      <c r="F383" s="319"/>
      <c r="G383" s="318"/>
      <c r="H383" s="2" t="s">
        <v>1337</v>
      </c>
      <c r="I383" s="2" t="s">
        <v>1048</v>
      </c>
      <c r="L383" s="293">
        <v>0</v>
      </c>
      <c r="M383" s="293">
        <v>0</v>
      </c>
      <c r="N383" s="293">
        <v>0</v>
      </c>
      <c r="O383" s="293">
        <v>0</v>
      </c>
      <c r="P383" s="293">
        <v>0</v>
      </c>
      <c r="Q383" s="293">
        <v>0</v>
      </c>
      <c r="R383" s="293">
        <v>0</v>
      </c>
      <c r="S383" s="293">
        <v>0</v>
      </c>
      <c r="T383" s="368">
        <v>0</v>
      </c>
      <c r="U383" s="293">
        <v>0</v>
      </c>
      <c r="V383" s="293">
        <v>0</v>
      </c>
      <c r="W383" s="293">
        <v>0</v>
      </c>
      <c r="X383" s="293">
        <v>0</v>
      </c>
      <c r="Y383" s="293">
        <v>0</v>
      </c>
      <c r="Z383" s="293">
        <v>0</v>
      </c>
      <c r="AA383" s="293">
        <v>0</v>
      </c>
      <c r="AB383" s="293">
        <v>0</v>
      </c>
      <c r="AC383" s="368">
        <v>0</v>
      </c>
      <c r="AD383" s="293">
        <v>0</v>
      </c>
      <c r="AE383" s="293">
        <v>0</v>
      </c>
      <c r="AF383" s="293">
        <v>0</v>
      </c>
      <c r="AG383" s="293">
        <v>0</v>
      </c>
      <c r="AH383" s="293">
        <v>0</v>
      </c>
      <c r="AI383" s="293">
        <v>0</v>
      </c>
      <c r="AJ383" s="293">
        <v>0</v>
      </c>
      <c r="AK383" s="293">
        <v>0</v>
      </c>
      <c r="AL383" s="348">
        <v>350</v>
      </c>
      <c r="AM383" s="232"/>
      <c r="AN383" s="322">
        <v>0</v>
      </c>
      <c r="AO383" s="231">
        <v>0</v>
      </c>
      <c r="AP383" s="228">
        <v>0</v>
      </c>
      <c r="AQ383" s="231">
        <v>0</v>
      </c>
      <c r="AR383" s="231">
        <v>0</v>
      </c>
      <c r="AS383" s="231">
        <v>75</v>
      </c>
      <c r="AT383" s="231">
        <v>75</v>
      </c>
      <c r="AU383" s="323" t="s">
        <v>39</v>
      </c>
      <c r="AV383" s="231">
        <v>40</v>
      </c>
      <c r="AW383" s="231">
        <v>40</v>
      </c>
      <c r="AX383" s="231">
        <v>40</v>
      </c>
      <c r="AY383" s="231">
        <v>40</v>
      </c>
      <c r="AZ383" s="230">
        <v>40</v>
      </c>
      <c r="BA383" s="2" t="s">
        <v>1267</v>
      </c>
    </row>
    <row r="384" spans="1:53" ht="15" customHeight="1" x14ac:dyDescent="0.25">
      <c r="A384" s="2" t="s">
        <v>1353</v>
      </c>
      <c r="C384" s="2" t="s">
        <v>1335</v>
      </c>
      <c r="D384" s="2" t="s">
        <v>1354</v>
      </c>
      <c r="E384" s="2"/>
      <c r="F384" s="2"/>
      <c r="G384" s="318"/>
      <c r="H384" s="2" t="s">
        <v>1337</v>
      </c>
      <c r="I384" s="2" t="s">
        <v>1</v>
      </c>
      <c r="L384" s="293">
        <v>0</v>
      </c>
      <c r="M384" s="293">
        <v>0</v>
      </c>
      <c r="N384" s="293">
        <v>0</v>
      </c>
      <c r="O384" s="293">
        <v>0</v>
      </c>
      <c r="P384" s="293">
        <v>0</v>
      </c>
      <c r="Q384" s="293">
        <v>0</v>
      </c>
      <c r="R384" s="293">
        <v>0</v>
      </c>
      <c r="S384" s="293">
        <v>0</v>
      </c>
      <c r="T384" s="368">
        <v>0</v>
      </c>
      <c r="U384" s="293">
        <v>0</v>
      </c>
      <c r="V384" s="293">
        <v>0</v>
      </c>
      <c r="W384" s="293">
        <v>0</v>
      </c>
      <c r="X384" s="293">
        <v>0</v>
      </c>
      <c r="Y384" s="293">
        <v>0</v>
      </c>
      <c r="Z384" s="293">
        <v>0</v>
      </c>
      <c r="AA384" s="293">
        <v>0</v>
      </c>
      <c r="AB384" s="293">
        <v>0</v>
      </c>
      <c r="AC384" s="368">
        <v>0</v>
      </c>
      <c r="AD384" s="293">
        <v>0</v>
      </c>
      <c r="AE384" s="293">
        <v>0</v>
      </c>
      <c r="AF384" s="293">
        <v>0</v>
      </c>
      <c r="AG384" s="293">
        <v>0</v>
      </c>
      <c r="AH384" s="293">
        <v>0</v>
      </c>
      <c r="AI384" s="293">
        <v>0</v>
      </c>
      <c r="AJ384" s="293">
        <v>0</v>
      </c>
      <c r="AK384" s="293">
        <v>0</v>
      </c>
      <c r="AL384" s="348">
        <v>5</v>
      </c>
      <c r="AM384" s="232"/>
      <c r="AN384" s="322">
        <v>0</v>
      </c>
      <c r="AO384" s="231">
        <v>0</v>
      </c>
      <c r="AP384" s="228">
        <v>0</v>
      </c>
      <c r="AQ384" s="231">
        <v>0</v>
      </c>
      <c r="AR384" s="231">
        <v>0</v>
      </c>
      <c r="AS384" s="231">
        <v>0</v>
      </c>
      <c r="AT384" s="231">
        <v>0</v>
      </c>
      <c r="AU384" s="323">
        <v>0</v>
      </c>
      <c r="AV384" s="231">
        <v>1</v>
      </c>
      <c r="AW384" s="231">
        <v>1</v>
      </c>
      <c r="AX384" s="231">
        <v>1</v>
      </c>
      <c r="AY384" s="231">
        <v>1</v>
      </c>
      <c r="AZ384" s="230">
        <v>1</v>
      </c>
      <c r="BA384" s="2" t="s">
        <v>1267</v>
      </c>
    </row>
    <row r="385" spans="1:53" ht="15" customHeight="1" x14ac:dyDescent="0.25">
      <c r="A385" s="2" t="s">
        <v>1353</v>
      </c>
      <c r="C385" s="2" t="s">
        <v>1335</v>
      </c>
      <c r="D385" s="2" t="s">
        <v>1354</v>
      </c>
      <c r="E385" s="2"/>
      <c r="F385" s="319"/>
      <c r="G385" s="318"/>
      <c r="H385" s="2" t="s">
        <v>1337</v>
      </c>
      <c r="I385" s="2" t="s">
        <v>1048</v>
      </c>
      <c r="L385" s="293">
        <v>0</v>
      </c>
      <c r="M385" s="293">
        <v>0</v>
      </c>
      <c r="N385" s="293">
        <v>0</v>
      </c>
      <c r="O385" s="293">
        <v>0</v>
      </c>
      <c r="P385" s="293">
        <v>0</v>
      </c>
      <c r="Q385" s="293">
        <v>0</v>
      </c>
      <c r="R385" s="293">
        <v>0</v>
      </c>
      <c r="S385" s="293">
        <v>0</v>
      </c>
      <c r="T385" s="368">
        <v>0</v>
      </c>
      <c r="U385" s="293">
        <v>0</v>
      </c>
      <c r="V385" s="293">
        <v>0</v>
      </c>
      <c r="W385" s="293">
        <v>0</v>
      </c>
      <c r="X385" s="293">
        <v>0</v>
      </c>
      <c r="Y385" s="293">
        <v>0</v>
      </c>
      <c r="Z385" s="293">
        <v>0</v>
      </c>
      <c r="AA385" s="293">
        <v>0</v>
      </c>
      <c r="AB385" s="293">
        <v>0</v>
      </c>
      <c r="AC385" s="368">
        <v>0</v>
      </c>
      <c r="AD385" s="293">
        <v>0</v>
      </c>
      <c r="AE385" s="293">
        <v>0</v>
      </c>
      <c r="AF385" s="293">
        <v>0</v>
      </c>
      <c r="AG385" s="293">
        <v>0</v>
      </c>
      <c r="AH385" s="293">
        <v>0</v>
      </c>
      <c r="AI385" s="293">
        <v>0</v>
      </c>
      <c r="AJ385" s="293">
        <v>0</v>
      </c>
      <c r="AK385" s="293">
        <v>0</v>
      </c>
      <c r="AL385" s="348">
        <v>5</v>
      </c>
      <c r="AM385" s="232"/>
      <c r="AN385" s="322">
        <v>0</v>
      </c>
      <c r="AO385" s="231">
        <v>0</v>
      </c>
      <c r="AP385" s="228">
        <v>0</v>
      </c>
      <c r="AQ385" s="231">
        <v>0</v>
      </c>
      <c r="AR385" s="231">
        <v>0</v>
      </c>
      <c r="AS385" s="231">
        <v>0</v>
      </c>
      <c r="AT385" s="231">
        <v>0</v>
      </c>
      <c r="AU385" s="323">
        <v>0</v>
      </c>
      <c r="AV385" s="231">
        <v>1</v>
      </c>
      <c r="AW385" s="231">
        <v>1</v>
      </c>
      <c r="AX385" s="231">
        <v>1</v>
      </c>
      <c r="AY385" s="231">
        <v>1</v>
      </c>
      <c r="AZ385" s="230">
        <v>1</v>
      </c>
      <c r="BA385" s="2" t="s">
        <v>1267</v>
      </c>
    </row>
    <row r="386" spans="1:53" ht="15" customHeight="1" x14ac:dyDescent="0.25">
      <c r="A386" s="2" t="s">
        <v>1355</v>
      </c>
      <c r="C386" s="2" t="s">
        <v>1335</v>
      </c>
      <c r="D386" s="2" t="s">
        <v>1356</v>
      </c>
      <c r="E386" s="2"/>
      <c r="F386" s="319"/>
      <c r="G386" s="318"/>
      <c r="H386" s="2" t="s">
        <v>1337</v>
      </c>
      <c r="I386" s="2" t="s">
        <v>1</v>
      </c>
      <c r="L386" s="293">
        <v>0</v>
      </c>
      <c r="M386" s="293">
        <v>0</v>
      </c>
      <c r="N386" s="293">
        <v>0</v>
      </c>
      <c r="O386" s="293">
        <v>0</v>
      </c>
      <c r="P386" s="293">
        <v>0</v>
      </c>
      <c r="Q386" s="293">
        <v>0</v>
      </c>
      <c r="R386" s="293">
        <v>0</v>
      </c>
      <c r="S386" s="293">
        <v>0</v>
      </c>
      <c r="T386" s="368">
        <v>0</v>
      </c>
      <c r="U386" s="293">
        <v>0</v>
      </c>
      <c r="V386" s="293">
        <v>0</v>
      </c>
      <c r="W386" s="293">
        <v>0</v>
      </c>
      <c r="X386" s="293">
        <v>0</v>
      </c>
      <c r="Y386" s="293">
        <v>0</v>
      </c>
      <c r="Z386" s="293">
        <v>0</v>
      </c>
      <c r="AA386" s="293">
        <v>0</v>
      </c>
      <c r="AB386" s="293">
        <v>0</v>
      </c>
      <c r="AC386" s="368">
        <v>0</v>
      </c>
      <c r="AD386" s="293">
        <v>0</v>
      </c>
      <c r="AE386" s="293">
        <v>0</v>
      </c>
      <c r="AF386" s="293">
        <v>0</v>
      </c>
      <c r="AG386" s="293">
        <v>0</v>
      </c>
      <c r="AH386" s="293">
        <v>0</v>
      </c>
      <c r="AI386" s="293">
        <v>0</v>
      </c>
      <c r="AJ386" s="293">
        <v>0</v>
      </c>
      <c r="AK386" s="293">
        <v>0</v>
      </c>
      <c r="AL386" s="348">
        <v>10</v>
      </c>
      <c r="AM386" s="232"/>
      <c r="AN386" s="322">
        <v>0</v>
      </c>
      <c r="AO386" s="231">
        <v>0</v>
      </c>
      <c r="AP386" s="228">
        <v>0</v>
      </c>
      <c r="AQ386" s="231">
        <v>0</v>
      </c>
      <c r="AR386" s="231">
        <v>0</v>
      </c>
      <c r="AS386" s="231">
        <v>0</v>
      </c>
      <c r="AT386" s="231">
        <v>0</v>
      </c>
      <c r="AU386" s="323">
        <v>0</v>
      </c>
      <c r="AV386" s="231">
        <v>2</v>
      </c>
      <c r="AW386" s="231">
        <v>2</v>
      </c>
      <c r="AX386" s="231">
        <v>2</v>
      </c>
      <c r="AY386" s="231">
        <v>2</v>
      </c>
      <c r="AZ386" s="230">
        <v>2</v>
      </c>
      <c r="BA386" s="2" t="s">
        <v>1232</v>
      </c>
    </row>
    <row r="387" spans="1:53" ht="15" customHeight="1" x14ac:dyDescent="0.25">
      <c r="A387" s="2" t="s">
        <v>1355</v>
      </c>
      <c r="C387" s="2" t="s">
        <v>1335</v>
      </c>
      <c r="D387" s="2" t="s">
        <v>1356</v>
      </c>
      <c r="E387" s="2"/>
      <c r="F387" s="319"/>
      <c r="G387" s="318"/>
      <c r="H387" s="2" t="s">
        <v>1337</v>
      </c>
      <c r="I387" s="2" t="s">
        <v>1048</v>
      </c>
      <c r="L387" s="293">
        <v>0</v>
      </c>
      <c r="M387" s="293">
        <v>0</v>
      </c>
      <c r="N387" s="293">
        <v>0</v>
      </c>
      <c r="O387" s="293">
        <v>0</v>
      </c>
      <c r="P387" s="293">
        <v>0</v>
      </c>
      <c r="Q387" s="293">
        <v>0</v>
      </c>
      <c r="R387" s="293">
        <v>0</v>
      </c>
      <c r="S387" s="293">
        <v>0</v>
      </c>
      <c r="T387" s="368">
        <v>0</v>
      </c>
      <c r="U387" s="293">
        <v>0</v>
      </c>
      <c r="V387" s="293">
        <v>0</v>
      </c>
      <c r="W387" s="293">
        <v>0</v>
      </c>
      <c r="X387" s="293">
        <v>0</v>
      </c>
      <c r="Y387" s="293">
        <v>0</v>
      </c>
      <c r="Z387" s="293">
        <v>0</v>
      </c>
      <c r="AA387" s="293">
        <v>0</v>
      </c>
      <c r="AB387" s="293">
        <v>0</v>
      </c>
      <c r="AC387" s="368">
        <v>0</v>
      </c>
      <c r="AD387" s="293">
        <v>0</v>
      </c>
      <c r="AE387" s="293">
        <v>0</v>
      </c>
      <c r="AF387" s="293">
        <v>0</v>
      </c>
      <c r="AG387" s="293">
        <v>0</v>
      </c>
      <c r="AH387" s="293">
        <v>0</v>
      </c>
      <c r="AI387" s="293">
        <v>0</v>
      </c>
      <c r="AJ387" s="293">
        <v>0</v>
      </c>
      <c r="AK387" s="293">
        <v>0</v>
      </c>
      <c r="AL387" s="348">
        <v>10</v>
      </c>
      <c r="AM387" s="232"/>
      <c r="AN387" s="322">
        <v>0</v>
      </c>
      <c r="AO387" s="231">
        <v>0</v>
      </c>
      <c r="AP387" s="228">
        <v>0</v>
      </c>
      <c r="AQ387" s="231">
        <v>0</v>
      </c>
      <c r="AR387" s="231">
        <v>0</v>
      </c>
      <c r="AS387" s="231">
        <v>0</v>
      </c>
      <c r="AT387" s="231">
        <v>0</v>
      </c>
      <c r="AU387" s="323">
        <v>0</v>
      </c>
      <c r="AV387" s="231">
        <v>2</v>
      </c>
      <c r="AW387" s="231">
        <v>2</v>
      </c>
      <c r="AX387" s="231">
        <v>2</v>
      </c>
      <c r="AY387" s="231">
        <v>2</v>
      </c>
      <c r="AZ387" s="230">
        <v>2</v>
      </c>
      <c r="BA387" s="2" t="s">
        <v>1232</v>
      </c>
    </row>
    <row r="388" spans="1:53" ht="15" customHeight="1" x14ac:dyDescent="0.25">
      <c r="A388" s="2" t="s">
        <v>1357</v>
      </c>
      <c r="C388" s="2" t="s">
        <v>1335</v>
      </c>
      <c r="D388" s="2" t="s">
        <v>1358</v>
      </c>
      <c r="E388" s="2"/>
      <c r="F388" s="319"/>
      <c r="G388" s="318"/>
      <c r="H388" s="2" t="s">
        <v>1337</v>
      </c>
      <c r="I388" s="2" t="s">
        <v>1</v>
      </c>
      <c r="L388" s="293">
        <v>0</v>
      </c>
      <c r="M388" s="293">
        <v>0</v>
      </c>
      <c r="N388" s="293">
        <v>0</v>
      </c>
      <c r="O388" s="293">
        <v>0</v>
      </c>
      <c r="P388" s="293">
        <v>0</v>
      </c>
      <c r="Q388" s="293">
        <v>0</v>
      </c>
      <c r="R388" s="293">
        <v>0</v>
      </c>
      <c r="S388" s="293">
        <v>0</v>
      </c>
      <c r="T388" s="368">
        <v>0</v>
      </c>
      <c r="U388" s="293">
        <v>0</v>
      </c>
      <c r="V388" s="293">
        <v>0</v>
      </c>
      <c r="W388" s="293">
        <v>0</v>
      </c>
      <c r="X388" s="293">
        <v>0</v>
      </c>
      <c r="Y388" s="293">
        <v>0</v>
      </c>
      <c r="Z388" s="293">
        <v>0</v>
      </c>
      <c r="AA388" s="293">
        <v>0</v>
      </c>
      <c r="AB388" s="293">
        <v>0</v>
      </c>
      <c r="AC388" s="368">
        <v>0</v>
      </c>
      <c r="AD388" s="293">
        <v>0</v>
      </c>
      <c r="AE388" s="293">
        <v>0</v>
      </c>
      <c r="AF388" s="293">
        <v>0</v>
      </c>
      <c r="AG388" s="293">
        <v>0</v>
      </c>
      <c r="AH388" s="293">
        <v>0</v>
      </c>
      <c r="AI388" s="293">
        <v>0</v>
      </c>
      <c r="AJ388" s="293">
        <v>0</v>
      </c>
      <c r="AK388" s="293">
        <v>0</v>
      </c>
      <c r="AL388" s="348">
        <v>5</v>
      </c>
      <c r="AM388" s="232"/>
      <c r="AN388" s="322">
        <v>0</v>
      </c>
      <c r="AO388" s="231">
        <v>0</v>
      </c>
      <c r="AP388" s="228">
        <v>0</v>
      </c>
      <c r="AQ388" s="231">
        <v>0</v>
      </c>
      <c r="AR388" s="231">
        <v>0</v>
      </c>
      <c r="AS388" s="231">
        <v>0</v>
      </c>
      <c r="AT388" s="231">
        <v>0</v>
      </c>
      <c r="AU388" s="323">
        <v>0</v>
      </c>
      <c r="AV388" s="231">
        <v>1</v>
      </c>
      <c r="AW388" s="231">
        <v>1</v>
      </c>
      <c r="AX388" s="231">
        <v>1</v>
      </c>
      <c r="AY388" s="231">
        <v>1</v>
      </c>
      <c r="AZ388" s="230">
        <v>1</v>
      </c>
      <c r="BA388" s="2" t="s">
        <v>1212</v>
      </c>
    </row>
    <row r="389" spans="1:53" ht="15" customHeight="1" x14ac:dyDescent="0.25">
      <c r="A389" s="2" t="s">
        <v>1357</v>
      </c>
      <c r="C389" s="2" t="s">
        <v>1335</v>
      </c>
      <c r="D389" s="2" t="s">
        <v>1358</v>
      </c>
      <c r="E389" s="2"/>
      <c r="F389" s="319"/>
      <c r="G389" s="318"/>
      <c r="H389" s="2" t="s">
        <v>1337</v>
      </c>
      <c r="I389" s="2" t="s">
        <v>1048</v>
      </c>
      <c r="L389" s="293">
        <v>0</v>
      </c>
      <c r="M389" s="293">
        <v>0</v>
      </c>
      <c r="N389" s="293">
        <v>0</v>
      </c>
      <c r="O389" s="293">
        <v>0</v>
      </c>
      <c r="P389" s="293">
        <v>0</v>
      </c>
      <c r="Q389" s="293">
        <v>0</v>
      </c>
      <c r="R389" s="293">
        <v>0</v>
      </c>
      <c r="S389" s="293">
        <v>0</v>
      </c>
      <c r="T389" s="368">
        <v>0</v>
      </c>
      <c r="U389" s="293">
        <v>0</v>
      </c>
      <c r="V389" s="293">
        <v>0</v>
      </c>
      <c r="W389" s="293">
        <v>0</v>
      </c>
      <c r="X389" s="293">
        <v>0</v>
      </c>
      <c r="Y389" s="293">
        <v>0</v>
      </c>
      <c r="Z389" s="293">
        <v>0</v>
      </c>
      <c r="AA389" s="293">
        <v>0</v>
      </c>
      <c r="AB389" s="293">
        <v>0</v>
      </c>
      <c r="AC389" s="368">
        <v>0</v>
      </c>
      <c r="AD389" s="293">
        <v>0</v>
      </c>
      <c r="AE389" s="293">
        <v>0</v>
      </c>
      <c r="AF389" s="293">
        <v>0</v>
      </c>
      <c r="AG389" s="293">
        <v>0</v>
      </c>
      <c r="AH389" s="293">
        <v>0</v>
      </c>
      <c r="AI389" s="293">
        <v>0</v>
      </c>
      <c r="AJ389" s="293">
        <v>0</v>
      </c>
      <c r="AK389" s="293">
        <v>0</v>
      </c>
      <c r="AL389" s="348">
        <v>5</v>
      </c>
      <c r="AM389" s="232"/>
      <c r="AN389" s="322">
        <v>0</v>
      </c>
      <c r="AO389" s="231">
        <v>0</v>
      </c>
      <c r="AP389" s="228">
        <v>0</v>
      </c>
      <c r="AQ389" s="231">
        <v>0</v>
      </c>
      <c r="AR389" s="231">
        <v>0</v>
      </c>
      <c r="AS389" s="231">
        <v>0</v>
      </c>
      <c r="AT389" s="231">
        <v>0</v>
      </c>
      <c r="AU389" s="323">
        <v>0</v>
      </c>
      <c r="AV389" s="231">
        <v>1</v>
      </c>
      <c r="AW389" s="231">
        <v>1</v>
      </c>
      <c r="AX389" s="231">
        <v>1</v>
      </c>
      <c r="AY389" s="231">
        <v>1</v>
      </c>
      <c r="AZ389" s="230">
        <v>1</v>
      </c>
      <c r="BA389" s="2" t="s">
        <v>1212</v>
      </c>
    </row>
    <row r="390" spans="1:53" ht="15" customHeight="1" x14ac:dyDescent="0.25">
      <c r="A390" s="2" t="s">
        <v>1359</v>
      </c>
      <c r="C390" s="2" t="s">
        <v>1335</v>
      </c>
      <c r="D390" s="2" t="s">
        <v>1360</v>
      </c>
      <c r="E390" s="2"/>
      <c r="F390" s="2"/>
      <c r="G390" s="318"/>
      <c r="H390" s="2" t="s">
        <v>1337</v>
      </c>
      <c r="I390" s="2" t="s">
        <v>1</v>
      </c>
      <c r="L390" s="293">
        <v>0</v>
      </c>
      <c r="M390" s="293">
        <v>0</v>
      </c>
      <c r="N390" s="293">
        <v>0</v>
      </c>
      <c r="O390" s="293">
        <v>0</v>
      </c>
      <c r="P390" s="293">
        <v>0</v>
      </c>
      <c r="Q390" s="293">
        <v>0</v>
      </c>
      <c r="R390" s="293">
        <v>0</v>
      </c>
      <c r="S390" s="293">
        <v>0</v>
      </c>
      <c r="T390" s="368">
        <v>0</v>
      </c>
      <c r="U390" s="293">
        <v>0</v>
      </c>
      <c r="V390" s="293">
        <v>0</v>
      </c>
      <c r="W390" s="293">
        <v>0</v>
      </c>
      <c r="X390" s="293">
        <v>0</v>
      </c>
      <c r="Y390" s="293">
        <v>0</v>
      </c>
      <c r="Z390" s="293">
        <v>0</v>
      </c>
      <c r="AA390" s="293">
        <v>0</v>
      </c>
      <c r="AB390" s="293">
        <v>0</v>
      </c>
      <c r="AC390" s="368">
        <v>0</v>
      </c>
      <c r="AD390" s="293">
        <v>0</v>
      </c>
      <c r="AE390" s="293">
        <v>0</v>
      </c>
      <c r="AF390" s="293">
        <v>0</v>
      </c>
      <c r="AG390" s="293">
        <v>0</v>
      </c>
      <c r="AH390" s="293">
        <v>0</v>
      </c>
      <c r="AI390" s="293">
        <v>0</v>
      </c>
      <c r="AJ390" s="293">
        <v>0</v>
      </c>
      <c r="AK390" s="293">
        <v>0</v>
      </c>
      <c r="AL390" s="348">
        <v>65</v>
      </c>
      <c r="AM390" s="232"/>
      <c r="AN390" s="322">
        <v>0</v>
      </c>
      <c r="AO390" s="231">
        <v>0</v>
      </c>
      <c r="AP390" s="228">
        <v>13</v>
      </c>
      <c r="AQ390" s="231">
        <v>13</v>
      </c>
      <c r="AR390" s="231">
        <v>13</v>
      </c>
      <c r="AS390" s="231">
        <v>13</v>
      </c>
      <c r="AT390" s="231">
        <v>13</v>
      </c>
      <c r="AU390" s="323" t="s">
        <v>39</v>
      </c>
      <c r="AV390" s="231">
        <v>0</v>
      </c>
      <c r="AW390" s="231">
        <v>0</v>
      </c>
      <c r="AX390" s="231">
        <v>0</v>
      </c>
      <c r="AY390" s="231">
        <v>0</v>
      </c>
      <c r="AZ390" s="230">
        <v>0</v>
      </c>
      <c r="BA390" s="2" t="s">
        <v>1267</v>
      </c>
    </row>
    <row r="391" spans="1:53" ht="15" customHeight="1" x14ac:dyDescent="0.25">
      <c r="A391" s="2" t="s">
        <v>1359</v>
      </c>
      <c r="C391" s="2" t="s">
        <v>1335</v>
      </c>
      <c r="D391" s="2" t="s">
        <v>1360</v>
      </c>
      <c r="E391" s="2"/>
      <c r="F391" s="2"/>
      <c r="G391" s="318"/>
      <c r="H391" s="2" t="s">
        <v>1337</v>
      </c>
      <c r="I391" s="2" t="s">
        <v>1048</v>
      </c>
      <c r="L391" s="293">
        <v>0</v>
      </c>
      <c r="M391" s="293">
        <v>0</v>
      </c>
      <c r="N391" s="293">
        <v>0</v>
      </c>
      <c r="O391" s="293">
        <v>0</v>
      </c>
      <c r="P391" s="293">
        <v>0</v>
      </c>
      <c r="Q391" s="293">
        <v>0</v>
      </c>
      <c r="R391" s="293">
        <v>0</v>
      </c>
      <c r="S391" s="293">
        <v>0</v>
      </c>
      <c r="T391" s="368">
        <v>0</v>
      </c>
      <c r="U391" s="293">
        <v>0</v>
      </c>
      <c r="V391" s="293">
        <v>0</v>
      </c>
      <c r="W391" s="293">
        <v>0</v>
      </c>
      <c r="X391" s="293">
        <v>0</v>
      </c>
      <c r="Y391" s="293">
        <v>0</v>
      </c>
      <c r="Z391" s="293">
        <v>0</v>
      </c>
      <c r="AA391" s="293">
        <v>0</v>
      </c>
      <c r="AB391" s="293">
        <v>0</v>
      </c>
      <c r="AC391" s="368">
        <v>0</v>
      </c>
      <c r="AD391" s="293">
        <v>0</v>
      </c>
      <c r="AE391" s="293">
        <v>0</v>
      </c>
      <c r="AF391" s="293">
        <v>0</v>
      </c>
      <c r="AG391" s="293">
        <v>0</v>
      </c>
      <c r="AH391" s="293">
        <v>0</v>
      </c>
      <c r="AI391" s="293">
        <v>0</v>
      </c>
      <c r="AJ391" s="293">
        <v>0</v>
      </c>
      <c r="AK391" s="293">
        <v>0</v>
      </c>
      <c r="AL391" s="348">
        <v>18</v>
      </c>
      <c r="AM391" s="232"/>
      <c r="AN391" s="322">
        <v>0</v>
      </c>
      <c r="AO391" s="231">
        <v>0</v>
      </c>
      <c r="AP391" s="228">
        <v>3.6</v>
      </c>
      <c r="AQ391" s="231">
        <v>3.6</v>
      </c>
      <c r="AR391" s="231">
        <v>3.6</v>
      </c>
      <c r="AS391" s="231">
        <v>3.6</v>
      </c>
      <c r="AT391" s="231">
        <v>3.6</v>
      </c>
      <c r="AU391" s="323" t="s">
        <v>39</v>
      </c>
      <c r="AV391" s="231">
        <v>0</v>
      </c>
      <c r="AW391" s="231">
        <v>0</v>
      </c>
      <c r="AX391" s="231">
        <v>0</v>
      </c>
      <c r="AY391" s="231">
        <v>0</v>
      </c>
      <c r="AZ391" s="230">
        <v>0</v>
      </c>
      <c r="BA391" s="2" t="s">
        <v>1267</v>
      </c>
    </row>
    <row r="392" spans="1:53" ht="15" customHeight="1" x14ac:dyDescent="0.25">
      <c r="A392" s="2" t="s">
        <v>1361</v>
      </c>
      <c r="C392" s="2" t="s">
        <v>1335</v>
      </c>
      <c r="D392" s="2" t="s">
        <v>1362</v>
      </c>
      <c r="E392" s="2"/>
      <c r="F392" s="2"/>
      <c r="G392" s="318"/>
      <c r="H392" s="2" t="s">
        <v>1337</v>
      </c>
      <c r="I392" s="2" t="s">
        <v>1</v>
      </c>
      <c r="L392" s="293">
        <v>0</v>
      </c>
      <c r="M392" s="293">
        <v>0</v>
      </c>
      <c r="N392" s="293">
        <v>0</v>
      </c>
      <c r="O392" s="293">
        <v>0</v>
      </c>
      <c r="P392" s="293">
        <v>0</v>
      </c>
      <c r="Q392" s="293">
        <v>0</v>
      </c>
      <c r="R392" s="293">
        <v>0</v>
      </c>
      <c r="S392" s="293">
        <v>0</v>
      </c>
      <c r="T392" s="368">
        <v>0</v>
      </c>
      <c r="U392" s="293">
        <v>0</v>
      </c>
      <c r="V392" s="293">
        <v>0</v>
      </c>
      <c r="W392" s="293">
        <v>0</v>
      </c>
      <c r="X392" s="293">
        <v>0</v>
      </c>
      <c r="Y392" s="293">
        <v>0</v>
      </c>
      <c r="Z392" s="293">
        <v>0</v>
      </c>
      <c r="AA392" s="293">
        <v>0</v>
      </c>
      <c r="AB392" s="293">
        <v>0</v>
      </c>
      <c r="AC392" s="368">
        <v>0</v>
      </c>
      <c r="AD392" s="293">
        <v>0</v>
      </c>
      <c r="AE392" s="293">
        <v>0</v>
      </c>
      <c r="AF392" s="293">
        <v>0</v>
      </c>
      <c r="AG392" s="293">
        <v>0</v>
      </c>
      <c r="AH392" s="293">
        <v>0</v>
      </c>
      <c r="AI392" s="293">
        <v>0</v>
      </c>
      <c r="AJ392" s="293">
        <v>0</v>
      </c>
      <c r="AK392" s="293">
        <v>0</v>
      </c>
      <c r="AL392" s="348">
        <v>5</v>
      </c>
      <c r="AM392" s="232"/>
      <c r="AN392" s="322">
        <v>0</v>
      </c>
      <c r="AO392" s="231">
        <v>0</v>
      </c>
      <c r="AP392" s="228">
        <v>0</v>
      </c>
      <c r="AQ392" s="231">
        <v>0</v>
      </c>
      <c r="AR392" s="231">
        <v>0</v>
      </c>
      <c r="AS392" s="231">
        <v>0</v>
      </c>
      <c r="AT392" s="231">
        <v>0</v>
      </c>
      <c r="AU392" s="323">
        <v>0</v>
      </c>
      <c r="AV392" s="231">
        <v>1</v>
      </c>
      <c r="AW392" s="231">
        <v>1</v>
      </c>
      <c r="AX392" s="231">
        <v>1</v>
      </c>
      <c r="AY392" s="231">
        <v>1</v>
      </c>
      <c r="AZ392" s="230">
        <v>1</v>
      </c>
      <c r="BA392" s="2" t="s">
        <v>1228</v>
      </c>
    </row>
    <row r="393" spans="1:53" ht="15" customHeight="1" x14ac:dyDescent="0.25">
      <c r="A393" s="2" t="s">
        <v>1361</v>
      </c>
      <c r="C393" s="2" t="s">
        <v>1335</v>
      </c>
      <c r="D393" s="2" t="s">
        <v>1362</v>
      </c>
      <c r="E393" s="2"/>
      <c r="F393" s="319"/>
      <c r="G393" s="318"/>
      <c r="H393" s="2" t="s">
        <v>1337</v>
      </c>
      <c r="I393" s="2" t="s">
        <v>1048</v>
      </c>
      <c r="L393" s="293">
        <v>0</v>
      </c>
      <c r="M393" s="293">
        <v>0</v>
      </c>
      <c r="N393" s="293">
        <v>0</v>
      </c>
      <c r="O393" s="293">
        <v>0</v>
      </c>
      <c r="P393" s="293">
        <v>0</v>
      </c>
      <c r="Q393" s="293">
        <v>0</v>
      </c>
      <c r="R393" s="293">
        <v>0</v>
      </c>
      <c r="S393" s="293">
        <v>0</v>
      </c>
      <c r="T393" s="368">
        <v>0</v>
      </c>
      <c r="U393" s="293">
        <v>0</v>
      </c>
      <c r="V393" s="293">
        <v>0</v>
      </c>
      <c r="W393" s="293">
        <v>0</v>
      </c>
      <c r="X393" s="293">
        <v>0</v>
      </c>
      <c r="Y393" s="293">
        <v>0</v>
      </c>
      <c r="Z393" s="293">
        <v>0</v>
      </c>
      <c r="AA393" s="293">
        <v>0</v>
      </c>
      <c r="AB393" s="293">
        <v>0</v>
      </c>
      <c r="AC393" s="368">
        <v>0</v>
      </c>
      <c r="AD393" s="293">
        <v>0</v>
      </c>
      <c r="AE393" s="293">
        <v>0</v>
      </c>
      <c r="AF393" s="293">
        <v>0</v>
      </c>
      <c r="AG393" s="293">
        <v>0</v>
      </c>
      <c r="AH393" s="293">
        <v>0</v>
      </c>
      <c r="AI393" s="293">
        <v>0</v>
      </c>
      <c r="AJ393" s="293">
        <v>0</v>
      </c>
      <c r="AK393" s="293">
        <v>0</v>
      </c>
      <c r="AL393" s="348">
        <v>5</v>
      </c>
      <c r="AM393" s="232"/>
      <c r="AN393" s="322">
        <v>0</v>
      </c>
      <c r="AO393" s="231">
        <v>0</v>
      </c>
      <c r="AP393" s="228">
        <v>0</v>
      </c>
      <c r="AQ393" s="231">
        <v>0</v>
      </c>
      <c r="AR393" s="231">
        <v>0</v>
      </c>
      <c r="AS393" s="231">
        <v>0</v>
      </c>
      <c r="AT393" s="231">
        <v>0</v>
      </c>
      <c r="AU393" s="323">
        <v>0</v>
      </c>
      <c r="AV393" s="231">
        <v>1</v>
      </c>
      <c r="AW393" s="231">
        <v>1</v>
      </c>
      <c r="AX393" s="231">
        <v>1</v>
      </c>
      <c r="AY393" s="231">
        <v>1</v>
      </c>
      <c r="AZ393" s="230">
        <v>1</v>
      </c>
      <c r="BA393" s="2" t="s">
        <v>1228</v>
      </c>
    </row>
    <row r="394" spans="1:53" ht="15" customHeight="1" x14ac:dyDescent="0.25">
      <c r="A394" s="2" t="s">
        <v>1361</v>
      </c>
      <c r="C394" s="2" t="s">
        <v>1335</v>
      </c>
      <c r="D394" s="2" t="s">
        <v>1363</v>
      </c>
      <c r="E394" s="2"/>
      <c r="F394" s="2"/>
      <c r="G394" s="318"/>
      <c r="H394" s="2" t="s">
        <v>1337</v>
      </c>
      <c r="I394" s="2" t="s">
        <v>1</v>
      </c>
      <c r="L394" s="293">
        <v>0</v>
      </c>
      <c r="M394" s="293">
        <v>0</v>
      </c>
      <c r="N394" s="293">
        <v>0</v>
      </c>
      <c r="O394" s="293">
        <v>0</v>
      </c>
      <c r="P394" s="293">
        <v>0</v>
      </c>
      <c r="Q394" s="293">
        <v>0</v>
      </c>
      <c r="R394" s="293">
        <v>0</v>
      </c>
      <c r="S394" s="293">
        <v>0</v>
      </c>
      <c r="T394" s="368">
        <v>0</v>
      </c>
      <c r="U394" s="293">
        <v>0</v>
      </c>
      <c r="V394" s="293">
        <v>0</v>
      </c>
      <c r="W394" s="293">
        <v>0</v>
      </c>
      <c r="X394" s="293">
        <v>0</v>
      </c>
      <c r="Y394" s="293">
        <v>0</v>
      </c>
      <c r="Z394" s="293">
        <v>0</v>
      </c>
      <c r="AA394" s="293">
        <v>0</v>
      </c>
      <c r="AB394" s="293">
        <v>0</v>
      </c>
      <c r="AC394" s="368">
        <v>0</v>
      </c>
      <c r="AD394" s="293">
        <v>0</v>
      </c>
      <c r="AE394" s="293">
        <v>0</v>
      </c>
      <c r="AF394" s="293">
        <v>0</v>
      </c>
      <c r="AG394" s="293">
        <v>0</v>
      </c>
      <c r="AH394" s="293">
        <v>0</v>
      </c>
      <c r="AI394" s="293">
        <v>0</v>
      </c>
      <c r="AJ394" s="293">
        <v>0</v>
      </c>
      <c r="AK394" s="293">
        <v>0</v>
      </c>
      <c r="AL394" s="348">
        <v>5</v>
      </c>
      <c r="AM394" s="232"/>
      <c r="AN394" s="322">
        <v>0</v>
      </c>
      <c r="AO394" s="231">
        <v>0</v>
      </c>
      <c r="AP394" s="228">
        <v>0</v>
      </c>
      <c r="AQ394" s="231">
        <v>0</v>
      </c>
      <c r="AR394" s="231">
        <v>0</v>
      </c>
      <c r="AS394" s="231">
        <v>0</v>
      </c>
      <c r="AT394" s="231">
        <v>0</v>
      </c>
      <c r="AU394" s="323">
        <v>0</v>
      </c>
      <c r="AV394" s="231">
        <v>1</v>
      </c>
      <c r="AW394" s="231">
        <v>1</v>
      </c>
      <c r="AX394" s="231">
        <v>1</v>
      </c>
      <c r="AY394" s="231">
        <v>1</v>
      </c>
      <c r="AZ394" s="230">
        <v>1</v>
      </c>
      <c r="BA394" s="2" t="s">
        <v>1215</v>
      </c>
    </row>
    <row r="395" spans="1:53" ht="15" customHeight="1" x14ac:dyDescent="0.25">
      <c r="A395" s="2" t="s">
        <v>1361</v>
      </c>
      <c r="C395" s="2" t="s">
        <v>1335</v>
      </c>
      <c r="D395" s="2" t="s">
        <v>1363</v>
      </c>
      <c r="E395" s="2"/>
      <c r="F395" s="319"/>
      <c r="G395" s="318"/>
      <c r="H395" s="2" t="s">
        <v>1337</v>
      </c>
      <c r="I395" s="2" t="s">
        <v>1048</v>
      </c>
      <c r="L395" s="293">
        <v>0</v>
      </c>
      <c r="M395" s="293">
        <v>0</v>
      </c>
      <c r="N395" s="293">
        <v>0</v>
      </c>
      <c r="O395" s="293">
        <v>0</v>
      </c>
      <c r="P395" s="293">
        <v>0</v>
      </c>
      <c r="Q395" s="293">
        <v>0</v>
      </c>
      <c r="R395" s="293">
        <v>0</v>
      </c>
      <c r="S395" s="293">
        <v>0</v>
      </c>
      <c r="T395" s="368">
        <v>0</v>
      </c>
      <c r="U395" s="293">
        <v>0</v>
      </c>
      <c r="V395" s="293">
        <v>0</v>
      </c>
      <c r="W395" s="293">
        <v>0</v>
      </c>
      <c r="X395" s="293">
        <v>0</v>
      </c>
      <c r="Y395" s="293">
        <v>0</v>
      </c>
      <c r="Z395" s="293">
        <v>0</v>
      </c>
      <c r="AA395" s="293">
        <v>0</v>
      </c>
      <c r="AB395" s="293">
        <v>0</v>
      </c>
      <c r="AC395" s="368">
        <v>0</v>
      </c>
      <c r="AD395" s="293">
        <v>0</v>
      </c>
      <c r="AE395" s="293">
        <v>0</v>
      </c>
      <c r="AF395" s="293">
        <v>0</v>
      </c>
      <c r="AG395" s="293">
        <v>0</v>
      </c>
      <c r="AH395" s="293">
        <v>0</v>
      </c>
      <c r="AI395" s="293">
        <v>0</v>
      </c>
      <c r="AJ395" s="293">
        <v>0</v>
      </c>
      <c r="AK395" s="293">
        <v>0</v>
      </c>
      <c r="AL395" s="348">
        <v>5</v>
      </c>
      <c r="AM395" s="232"/>
      <c r="AN395" s="322">
        <v>0</v>
      </c>
      <c r="AO395" s="231">
        <v>0</v>
      </c>
      <c r="AP395" s="228">
        <v>0</v>
      </c>
      <c r="AQ395" s="231">
        <v>0</v>
      </c>
      <c r="AR395" s="231">
        <v>0</v>
      </c>
      <c r="AS395" s="231">
        <v>0</v>
      </c>
      <c r="AT395" s="231">
        <v>0</v>
      </c>
      <c r="AU395" s="323">
        <v>0</v>
      </c>
      <c r="AV395" s="231">
        <v>1</v>
      </c>
      <c r="AW395" s="231">
        <v>1</v>
      </c>
      <c r="AX395" s="231">
        <v>1</v>
      </c>
      <c r="AY395" s="231">
        <v>1</v>
      </c>
      <c r="AZ395" s="230">
        <v>1</v>
      </c>
      <c r="BA395" s="2" t="s">
        <v>1215</v>
      </c>
    </row>
    <row r="396" spans="1:53" ht="15" customHeight="1" x14ac:dyDescent="0.25">
      <c r="A396" s="2" t="s">
        <v>1364</v>
      </c>
      <c r="C396" s="2" t="s">
        <v>1335</v>
      </c>
      <c r="D396" s="2" t="s">
        <v>1365</v>
      </c>
      <c r="E396" s="2"/>
      <c r="F396" s="2"/>
      <c r="G396" s="318"/>
      <c r="H396" s="2" t="s">
        <v>1337</v>
      </c>
      <c r="I396" s="2" t="s">
        <v>1</v>
      </c>
      <c r="L396" s="293">
        <v>0</v>
      </c>
      <c r="M396" s="293">
        <v>0</v>
      </c>
      <c r="N396" s="293">
        <v>0</v>
      </c>
      <c r="O396" s="293">
        <v>0</v>
      </c>
      <c r="P396" s="293">
        <v>0</v>
      </c>
      <c r="Q396" s="293">
        <v>0</v>
      </c>
      <c r="R396" s="293">
        <v>0</v>
      </c>
      <c r="S396" s="293">
        <v>0</v>
      </c>
      <c r="T396" s="368">
        <v>0</v>
      </c>
      <c r="U396" s="293">
        <v>0</v>
      </c>
      <c r="V396" s="293">
        <v>0</v>
      </c>
      <c r="W396" s="293">
        <v>0</v>
      </c>
      <c r="X396" s="293">
        <v>0</v>
      </c>
      <c r="Y396" s="293">
        <v>0</v>
      </c>
      <c r="Z396" s="293">
        <v>0</v>
      </c>
      <c r="AA396" s="293">
        <v>0</v>
      </c>
      <c r="AB396" s="293">
        <v>0</v>
      </c>
      <c r="AC396" s="368">
        <v>0</v>
      </c>
      <c r="AD396" s="293">
        <v>0</v>
      </c>
      <c r="AE396" s="293">
        <v>0</v>
      </c>
      <c r="AF396" s="293">
        <v>0</v>
      </c>
      <c r="AG396" s="293">
        <v>0</v>
      </c>
      <c r="AH396" s="293">
        <v>0</v>
      </c>
      <c r="AI396" s="293">
        <v>0</v>
      </c>
      <c r="AJ396" s="293">
        <v>0</v>
      </c>
      <c r="AK396" s="293">
        <v>0</v>
      </c>
      <c r="AL396" s="348">
        <v>10</v>
      </c>
      <c r="AM396" s="232"/>
      <c r="AN396" s="322">
        <v>0</v>
      </c>
      <c r="AO396" s="231">
        <v>0</v>
      </c>
      <c r="AP396" s="228">
        <v>0</v>
      </c>
      <c r="AQ396" s="231">
        <v>0</v>
      </c>
      <c r="AR396" s="231">
        <v>0</v>
      </c>
      <c r="AS396" s="231">
        <v>0</v>
      </c>
      <c r="AT396" s="231">
        <v>0</v>
      </c>
      <c r="AU396" s="323">
        <v>0</v>
      </c>
      <c r="AV396" s="231">
        <v>2</v>
      </c>
      <c r="AW396" s="231">
        <v>2</v>
      </c>
      <c r="AX396" s="231">
        <v>2</v>
      </c>
      <c r="AY396" s="231">
        <v>2</v>
      </c>
      <c r="AZ396" s="230">
        <v>2</v>
      </c>
      <c r="BA396" s="2" t="s">
        <v>1215</v>
      </c>
    </row>
    <row r="397" spans="1:53" ht="15" customHeight="1" x14ac:dyDescent="0.25">
      <c r="A397" s="2" t="s">
        <v>1364</v>
      </c>
      <c r="C397" s="2" t="s">
        <v>1335</v>
      </c>
      <c r="D397" s="2" t="s">
        <v>1365</v>
      </c>
      <c r="E397" s="2"/>
      <c r="F397" s="319"/>
      <c r="G397" s="318"/>
      <c r="H397" s="2" t="s">
        <v>1337</v>
      </c>
      <c r="I397" s="2" t="s">
        <v>1048</v>
      </c>
      <c r="L397" s="293">
        <v>0</v>
      </c>
      <c r="M397" s="293">
        <v>0</v>
      </c>
      <c r="N397" s="293">
        <v>0</v>
      </c>
      <c r="O397" s="293">
        <v>0</v>
      </c>
      <c r="P397" s="293">
        <v>0</v>
      </c>
      <c r="Q397" s="293">
        <v>0</v>
      </c>
      <c r="R397" s="293">
        <v>0</v>
      </c>
      <c r="S397" s="293">
        <v>0</v>
      </c>
      <c r="T397" s="368">
        <v>0</v>
      </c>
      <c r="U397" s="293">
        <v>0</v>
      </c>
      <c r="V397" s="293">
        <v>0</v>
      </c>
      <c r="W397" s="293">
        <v>0</v>
      </c>
      <c r="X397" s="293">
        <v>0</v>
      </c>
      <c r="Y397" s="293">
        <v>0</v>
      </c>
      <c r="Z397" s="293">
        <v>0</v>
      </c>
      <c r="AA397" s="293">
        <v>0</v>
      </c>
      <c r="AB397" s="293">
        <v>0</v>
      </c>
      <c r="AC397" s="368">
        <v>0</v>
      </c>
      <c r="AD397" s="293">
        <v>0</v>
      </c>
      <c r="AE397" s="293">
        <v>0</v>
      </c>
      <c r="AF397" s="293">
        <v>0</v>
      </c>
      <c r="AG397" s="293">
        <v>0</v>
      </c>
      <c r="AH397" s="293">
        <v>0</v>
      </c>
      <c r="AI397" s="293">
        <v>0</v>
      </c>
      <c r="AJ397" s="293">
        <v>0</v>
      </c>
      <c r="AK397" s="293">
        <v>0</v>
      </c>
      <c r="AL397" s="348">
        <v>10</v>
      </c>
      <c r="AM397" s="232"/>
      <c r="AN397" s="322">
        <v>0</v>
      </c>
      <c r="AO397" s="231">
        <v>0</v>
      </c>
      <c r="AP397" s="228">
        <v>0</v>
      </c>
      <c r="AQ397" s="231">
        <v>0</v>
      </c>
      <c r="AR397" s="231">
        <v>0</v>
      </c>
      <c r="AS397" s="231">
        <v>0</v>
      </c>
      <c r="AT397" s="231">
        <v>0</v>
      </c>
      <c r="AU397" s="323">
        <v>0</v>
      </c>
      <c r="AV397" s="231">
        <v>2</v>
      </c>
      <c r="AW397" s="231">
        <v>2</v>
      </c>
      <c r="AX397" s="231">
        <v>2</v>
      </c>
      <c r="AY397" s="231">
        <v>2</v>
      </c>
      <c r="AZ397" s="230">
        <v>2</v>
      </c>
      <c r="BA397" s="2" t="s">
        <v>1215</v>
      </c>
    </row>
    <row r="398" spans="1:53" ht="15" customHeight="1" x14ac:dyDescent="0.25">
      <c r="A398" s="2" t="s">
        <v>1366</v>
      </c>
      <c r="C398" s="2" t="s">
        <v>1335</v>
      </c>
      <c r="D398" s="2" t="s">
        <v>1367</v>
      </c>
      <c r="E398" s="2"/>
      <c r="F398" s="2"/>
      <c r="G398" s="318"/>
      <c r="H398" s="2" t="s">
        <v>1337</v>
      </c>
      <c r="I398" s="2" t="s">
        <v>1</v>
      </c>
      <c r="L398" s="293">
        <v>0</v>
      </c>
      <c r="M398" s="293">
        <v>0</v>
      </c>
      <c r="N398" s="293">
        <v>0</v>
      </c>
      <c r="O398" s="293">
        <v>0</v>
      </c>
      <c r="P398" s="293">
        <v>0</v>
      </c>
      <c r="Q398" s="293">
        <v>0</v>
      </c>
      <c r="R398" s="293">
        <v>0</v>
      </c>
      <c r="S398" s="293">
        <v>0</v>
      </c>
      <c r="T398" s="368">
        <v>0</v>
      </c>
      <c r="U398" s="293">
        <v>0</v>
      </c>
      <c r="V398" s="293">
        <v>0</v>
      </c>
      <c r="W398" s="293">
        <v>0</v>
      </c>
      <c r="X398" s="293">
        <v>0</v>
      </c>
      <c r="Y398" s="293">
        <v>0</v>
      </c>
      <c r="Z398" s="293">
        <v>0</v>
      </c>
      <c r="AA398" s="293">
        <v>0</v>
      </c>
      <c r="AB398" s="293">
        <v>0</v>
      </c>
      <c r="AC398" s="368">
        <v>0</v>
      </c>
      <c r="AD398" s="293">
        <v>0</v>
      </c>
      <c r="AE398" s="293">
        <v>0</v>
      </c>
      <c r="AF398" s="293">
        <v>0</v>
      </c>
      <c r="AG398" s="293">
        <v>0</v>
      </c>
      <c r="AH398" s="293">
        <v>0</v>
      </c>
      <c r="AI398" s="293">
        <v>0</v>
      </c>
      <c r="AJ398" s="293">
        <v>0</v>
      </c>
      <c r="AK398" s="293">
        <v>0</v>
      </c>
      <c r="AL398" s="348">
        <v>15</v>
      </c>
      <c r="AM398" s="232"/>
      <c r="AN398" s="322">
        <v>0</v>
      </c>
      <c r="AO398" s="231">
        <v>0</v>
      </c>
      <c r="AP398" s="228">
        <v>0</v>
      </c>
      <c r="AQ398" s="231">
        <v>0</v>
      </c>
      <c r="AR398" s="231">
        <v>0</v>
      </c>
      <c r="AS398" s="231">
        <v>0</v>
      </c>
      <c r="AT398" s="231">
        <v>0</v>
      </c>
      <c r="AU398" s="323">
        <v>0</v>
      </c>
      <c r="AV398" s="231">
        <v>3</v>
      </c>
      <c r="AW398" s="231">
        <v>3</v>
      </c>
      <c r="AX398" s="231">
        <v>3</v>
      </c>
      <c r="AY398" s="231">
        <v>3</v>
      </c>
      <c r="AZ398" s="230">
        <v>3</v>
      </c>
      <c r="BA398" s="2" t="s">
        <v>1265</v>
      </c>
    </row>
    <row r="399" spans="1:53" ht="15" customHeight="1" x14ac:dyDescent="0.25">
      <c r="A399" s="2" t="s">
        <v>1366</v>
      </c>
      <c r="C399" s="2" t="s">
        <v>1335</v>
      </c>
      <c r="D399" s="2" t="s">
        <v>1367</v>
      </c>
      <c r="E399" s="2"/>
      <c r="F399" s="2"/>
      <c r="G399" s="318"/>
      <c r="H399" s="2" t="s">
        <v>1337</v>
      </c>
      <c r="I399" s="2" t="s">
        <v>1048</v>
      </c>
      <c r="L399" s="293">
        <v>0</v>
      </c>
      <c r="M399" s="293">
        <v>0</v>
      </c>
      <c r="N399" s="293">
        <v>0</v>
      </c>
      <c r="O399" s="293">
        <v>0</v>
      </c>
      <c r="P399" s="293">
        <v>0</v>
      </c>
      <c r="Q399" s="293">
        <v>0</v>
      </c>
      <c r="R399" s="293">
        <v>0</v>
      </c>
      <c r="S399" s="293">
        <v>0</v>
      </c>
      <c r="T399" s="368">
        <v>0</v>
      </c>
      <c r="U399" s="293">
        <v>0</v>
      </c>
      <c r="V399" s="293">
        <v>0</v>
      </c>
      <c r="W399" s="293">
        <v>0</v>
      </c>
      <c r="X399" s="293">
        <v>0</v>
      </c>
      <c r="Y399" s="293">
        <v>0</v>
      </c>
      <c r="Z399" s="293">
        <v>0</v>
      </c>
      <c r="AA399" s="293">
        <v>0</v>
      </c>
      <c r="AB399" s="293">
        <v>0</v>
      </c>
      <c r="AC399" s="368">
        <v>0</v>
      </c>
      <c r="AD399" s="293">
        <v>0</v>
      </c>
      <c r="AE399" s="293">
        <v>0</v>
      </c>
      <c r="AF399" s="293">
        <v>0</v>
      </c>
      <c r="AG399" s="293">
        <v>0</v>
      </c>
      <c r="AH399" s="293">
        <v>0</v>
      </c>
      <c r="AI399" s="293">
        <v>0</v>
      </c>
      <c r="AJ399" s="293">
        <v>0</v>
      </c>
      <c r="AK399" s="293">
        <v>0</v>
      </c>
      <c r="AL399" s="348">
        <v>15</v>
      </c>
      <c r="AM399" s="232"/>
      <c r="AN399" s="322">
        <v>0</v>
      </c>
      <c r="AO399" s="231">
        <v>0</v>
      </c>
      <c r="AP399" s="228">
        <v>0</v>
      </c>
      <c r="AQ399" s="231">
        <v>0</v>
      </c>
      <c r="AR399" s="231">
        <v>0</v>
      </c>
      <c r="AS399" s="231">
        <v>0</v>
      </c>
      <c r="AT399" s="231">
        <v>0</v>
      </c>
      <c r="AU399" s="323">
        <v>0</v>
      </c>
      <c r="AV399" s="231">
        <v>3</v>
      </c>
      <c r="AW399" s="231">
        <v>3</v>
      </c>
      <c r="AX399" s="231">
        <v>3</v>
      </c>
      <c r="AY399" s="231">
        <v>3</v>
      </c>
      <c r="AZ399" s="230">
        <v>3</v>
      </c>
      <c r="BA399" s="2" t="s">
        <v>1265</v>
      </c>
    </row>
    <row r="400" spans="1:53" ht="15" customHeight="1" x14ac:dyDescent="0.25">
      <c r="A400" s="2" t="s">
        <v>1368</v>
      </c>
      <c r="C400" s="2" t="s">
        <v>1335</v>
      </c>
      <c r="D400" s="2" t="s">
        <v>1556</v>
      </c>
      <c r="E400" s="2"/>
      <c r="F400" s="2"/>
      <c r="G400" s="318"/>
      <c r="H400" s="2" t="s">
        <v>1337</v>
      </c>
      <c r="I400" s="2" t="s">
        <v>1048</v>
      </c>
      <c r="L400" s="293">
        <v>0</v>
      </c>
      <c r="M400" s="293">
        <v>0</v>
      </c>
      <c r="N400" s="293">
        <v>0</v>
      </c>
      <c r="O400" s="293">
        <v>0</v>
      </c>
      <c r="P400" s="293">
        <v>0</v>
      </c>
      <c r="Q400" s="293">
        <v>0</v>
      </c>
      <c r="R400" s="293">
        <v>0</v>
      </c>
      <c r="S400" s="293">
        <v>0</v>
      </c>
      <c r="T400" s="368">
        <v>0</v>
      </c>
      <c r="U400" s="293">
        <v>0</v>
      </c>
      <c r="V400" s="293">
        <v>0</v>
      </c>
      <c r="W400" s="293">
        <v>0</v>
      </c>
      <c r="X400" s="293">
        <v>0</v>
      </c>
      <c r="Y400" s="293">
        <v>0</v>
      </c>
      <c r="Z400" s="293">
        <v>0</v>
      </c>
      <c r="AA400" s="293">
        <v>0</v>
      </c>
      <c r="AB400" s="293">
        <v>0</v>
      </c>
      <c r="AC400" s="368">
        <v>0</v>
      </c>
      <c r="AD400" s="293">
        <v>0</v>
      </c>
      <c r="AE400" s="293">
        <v>0</v>
      </c>
      <c r="AF400" s="293">
        <v>0</v>
      </c>
      <c r="AG400" s="293">
        <v>0</v>
      </c>
      <c r="AH400" s="293">
        <v>0</v>
      </c>
      <c r="AI400" s="293">
        <v>0</v>
      </c>
      <c r="AJ400" s="293">
        <v>0</v>
      </c>
      <c r="AK400" s="293">
        <v>0</v>
      </c>
      <c r="AL400" s="348">
        <v>56</v>
      </c>
      <c r="AM400" s="232"/>
      <c r="AN400" s="322">
        <v>0</v>
      </c>
      <c r="AO400" s="231">
        <v>0</v>
      </c>
      <c r="AP400" s="228">
        <v>0</v>
      </c>
      <c r="AQ400" s="231">
        <v>14</v>
      </c>
      <c r="AR400" s="231">
        <v>14</v>
      </c>
      <c r="AS400" s="231">
        <v>14</v>
      </c>
      <c r="AT400" s="231">
        <v>14</v>
      </c>
      <c r="AU400" s="323" t="s">
        <v>39</v>
      </c>
      <c r="AV400" s="231">
        <v>0</v>
      </c>
      <c r="AW400" s="231">
        <v>0</v>
      </c>
      <c r="AX400" s="231">
        <v>0</v>
      </c>
      <c r="AY400" s="231">
        <v>0</v>
      </c>
      <c r="AZ400" s="230">
        <v>0</v>
      </c>
      <c r="BA400" s="2" t="s">
        <v>1234</v>
      </c>
    </row>
    <row r="401" spans="1:53" ht="15" customHeight="1" x14ac:dyDescent="0.25">
      <c r="A401" s="2" t="s">
        <v>1368</v>
      </c>
      <c r="C401" s="2" t="s">
        <v>1335</v>
      </c>
      <c r="D401" s="2" t="s">
        <v>1556</v>
      </c>
      <c r="E401" s="2"/>
      <c r="F401" s="2"/>
      <c r="G401" s="318"/>
      <c r="H401" s="2" t="s">
        <v>1337</v>
      </c>
      <c r="I401" s="2" t="s">
        <v>1</v>
      </c>
      <c r="L401" s="293">
        <v>0</v>
      </c>
      <c r="M401" s="293">
        <v>0</v>
      </c>
      <c r="N401" s="293">
        <v>0</v>
      </c>
      <c r="O401" s="293">
        <v>0</v>
      </c>
      <c r="P401" s="293">
        <v>0</v>
      </c>
      <c r="Q401" s="293">
        <v>0</v>
      </c>
      <c r="R401" s="293">
        <v>0</v>
      </c>
      <c r="S401" s="293">
        <v>0</v>
      </c>
      <c r="T401" s="368">
        <v>0</v>
      </c>
      <c r="U401" s="293">
        <v>0</v>
      </c>
      <c r="V401" s="293">
        <v>0</v>
      </c>
      <c r="W401" s="293">
        <v>0</v>
      </c>
      <c r="X401" s="293">
        <v>0</v>
      </c>
      <c r="Y401" s="293">
        <v>0</v>
      </c>
      <c r="Z401" s="293">
        <v>0</v>
      </c>
      <c r="AA401" s="293">
        <v>0</v>
      </c>
      <c r="AB401" s="293">
        <v>0</v>
      </c>
      <c r="AC401" s="368">
        <v>0</v>
      </c>
      <c r="AD401" s="293">
        <v>0</v>
      </c>
      <c r="AE401" s="293">
        <v>0</v>
      </c>
      <c r="AF401" s="293">
        <v>0</v>
      </c>
      <c r="AG401" s="293">
        <v>0</v>
      </c>
      <c r="AH401" s="293">
        <v>0</v>
      </c>
      <c r="AI401" s="293">
        <v>0</v>
      </c>
      <c r="AJ401" s="293">
        <v>0</v>
      </c>
      <c r="AK401" s="293">
        <v>0</v>
      </c>
      <c r="AL401" s="348">
        <v>15</v>
      </c>
      <c r="AM401" s="232"/>
      <c r="AN401" s="322">
        <v>0</v>
      </c>
      <c r="AO401" s="231">
        <v>0</v>
      </c>
      <c r="AP401" s="228">
        <v>0</v>
      </c>
      <c r="AQ401" s="231">
        <v>3.75</v>
      </c>
      <c r="AR401" s="231">
        <v>3.75</v>
      </c>
      <c r="AS401" s="231">
        <v>3.75</v>
      </c>
      <c r="AT401" s="231">
        <v>3.75</v>
      </c>
      <c r="AU401" s="323" t="s">
        <v>39</v>
      </c>
      <c r="AV401" s="231">
        <v>0</v>
      </c>
      <c r="AW401" s="231">
        <v>0</v>
      </c>
      <c r="AX401" s="231">
        <v>0</v>
      </c>
      <c r="AY401" s="231">
        <v>0</v>
      </c>
      <c r="AZ401" s="230">
        <v>0</v>
      </c>
      <c r="BA401" s="2" t="s">
        <v>1234</v>
      </c>
    </row>
    <row r="402" spans="1:53" ht="15" customHeight="1" x14ac:dyDescent="0.25">
      <c r="A402" s="2" t="s">
        <v>1368</v>
      </c>
      <c r="C402" s="2" t="s">
        <v>1335</v>
      </c>
      <c r="D402" s="2" t="s">
        <v>1369</v>
      </c>
      <c r="E402" s="2"/>
      <c r="F402" s="319"/>
      <c r="G402" s="318"/>
      <c r="H402" s="2" t="s">
        <v>1337</v>
      </c>
      <c r="I402" s="2" t="s">
        <v>1048</v>
      </c>
      <c r="L402" s="293">
        <v>0</v>
      </c>
      <c r="M402" s="293">
        <v>0</v>
      </c>
      <c r="N402" s="293">
        <v>0</v>
      </c>
      <c r="O402" s="293">
        <v>0</v>
      </c>
      <c r="P402" s="293">
        <v>0</v>
      </c>
      <c r="Q402" s="293">
        <v>0</v>
      </c>
      <c r="R402" s="293">
        <v>0</v>
      </c>
      <c r="S402" s="293">
        <v>0</v>
      </c>
      <c r="T402" s="368">
        <v>0</v>
      </c>
      <c r="U402" s="293">
        <v>0</v>
      </c>
      <c r="V402" s="293">
        <v>0</v>
      </c>
      <c r="W402" s="293">
        <v>0</v>
      </c>
      <c r="X402" s="293">
        <v>0</v>
      </c>
      <c r="Y402" s="293">
        <v>0</v>
      </c>
      <c r="Z402" s="293">
        <v>0</v>
      </c>
      <c r="AA402" s="293">
        <v>0</v>
      </c>
      <c r="AB402" s="293">
        <v>0</v>
      </c>
      <c r="AC402" s="368">
        <v>0</v>
      </c>
      <c r="AD402" s="293">
        <v>0</v>
      </c>
      <c r="AE402" s="293">
        <v>0</v>
      </c>
      <c r="AF402" s="293">
        <v>0</v>
      </c>
      <c r="AG402" s="293">
        <v>0</v>
      </c>
      <c r="AH402" s="293">
        <v>0</v>
      </c>
      <c r="AI402" s="293">
        <v>0</v>
      </c>
      <c r="AJ402" s="293">
        <v>0</v>
      </c>
      <c r="AK402" s="293">
        <v>0</v>
      </c>
      <c r="AL402" s="348">
        <v>128</v>
      </c>
      <c r="AM402" s="232"/>
      <c r="AN402" s="322">
        <v>0</v>
      </c>
      <c r="AO402" s="231">
        <v>0</v>
      </c>
      <c r="AP402" s="228">
        <v>0</v>
      </c>
      <c r="AQ402" s="231">
        <v>0</v>
      </c>
      <c r="AR402" s="231">
        <v>0</v>
      </c>
      <c r="AS402" s="231">
        <v>0</v>
      </c>
      <c r="AT402" s="231">
        <v>0</v>
      </c>
      <c r="AU402" s="323">
        <v>0</v>
      </c>
      <c r="AV402" s="231">
        <v>25.6</v>
      </c>
      <c r="AW402" s="231">
        <v>25.6</v>
      </c>
      <c r="AX402" s="231">
        <v>25.6</v>
      </c>
      <c r="AY402" s="231">
        <v>25.6</v>
      </c>
      <c r="AZ402" s="230">
        <v>25.6</v>
      </c>
      <c r="BA402" s="2" t="s">
        <v>1234</v>
      </c>
    </row>
    <row r="403" spans="1:53" ht="15" customHeight="1" x14ac:dyDescent="0.25">
      <c r="A403" s="2" t="s">
        <v>1368</v>
      </c>
      <c r="C403" s="2" t="s">
        <v>1335</v>
      </c>
      <c r="D403" s="2" t="s">
        <v>1369</v>
      </c>
      <c r="E403" s="2"/>
      <c r="F403" s="2"/>
      <c r="G403" s="318"/>
      <c r="H403" s="2" t="s">
        <v>1337</v>
      </c>
      <c r="I403" s="2" t="s">
        <v>1</v>
      </c>
      <c r="L403" s="293">
        <v>0</v>
      </c>
      <c r="M403" s="293">
        <v>0</v>
      </c>
      <c r="N403" s="293">
        <v>0</v>
      </c>
      <c r="O403" s="293">
        <v>0</v>
      </c>
      <c r="P403" s="293">
        <v>0</v>
      </c>
      <c r="Q403" s="293">
        <v>0</v>
      </c>
      <c r="R403" s="293">
        <v>0</v>
      </c>
      <c r="S403" s="293">
        <v>0</v>
      </c>
      <c r="T403" s="368">
        <v>0</v>
      </c>
      <c r="U403" s="293">
        <v>0</v>
      </c>
      <c r="V403" s="293">
        <v>0</v>
      </c>
      <c r="W403" s="293">
        <v>0</v>
      </c>
      <c r="X403" s="293">
        <v>0</v>
      </c>
      <c r="Y403" s="293">
        <v>0</v>
      </c>
      <c r="Z403" s="293">
        <v>0</v>
      </c>
      <c r="AA403" s="293">
        <v>0</v>
      </c>
      <c r="AB403" s="293">
        <v>0</v>
      </c>
      <c r="AC403" s="368">
        <v>0</v>
      </c>
      <c r="AD403" s="293">
        <v>0</v>
      </c>
      <c r="AE403" s="293">
        <v>0</v>
      </c>
      <c r="AF403" s="293">
        <v>0</v>
      </c>
      <c r="AG403" s="293">
        <v>0</v>
      </c>
      <c r="AH403" s="293">
        <v>0</v>
      </c>
      <c r="AI403" s="293">
        <v>0</v>
      </c>
      <c r="AJ403" s="293">
        <v>0</v>
      </c>
      <c r="AK403" s="293">
        <v>0</v>
      </c>
      <c r="AL403" s="348">
        <v>127</v>
      </c>
      <c r="AM403" s="232"/>
      <c r="AN403" s="322">
        <v>0</v>
      </c>
      <c r="AO403" s="231">
        <v>0</v>
      </c>
      <c r="AP403" s="228">
        <v>0</v>
      </c>
      <c r="AQ403" s="231">
        <v>0</v>
      </c>
      <c r="AR403" s="231">
        <v>0</v>
      </c>
      <c r="AS403" s="231">
        <v>0</v>
      </c>
      <c r="AT403" s="231">
        <v>0</v>
      </c>
      <c r="AU403" s="323">
        <v>0</v>
      </c>
      <c r="AV403" s="231">
        <v>25.4</v>
      </c>
      <c r="AW403" s="231">
        <v>25.4</v>
      </c>
      <c r="AX403" s="231">
        <v>25.4</v>
      </c>
      <c r="AY403" s="231">
        <v>25.4</v>
      </c>
      <c r="AZ403" s="230">
        <v>25.4</v>
      </c>
      <c r="BA403" s="2" t="s">
        <v>1234</v>
      </c>
    </row>
    <row r="404" spans="1:53" ht="15" customHeight="1" x14ac:dyDescent="0.25">
      <c r="A404" s="2" t="s">
        <v>1368</v>
      </c>
      <c r="C404" s="2" t="s">
        <v>1335</v>
      </c>
      <c r="D404" s="2" t="s">
        <v>1568</v>
      </c>
      <c r="E404" s="2"/>
      <c r="F404" s="319"/>
      <c r="G404" s="318"/>
      <c r="H404" s="2" t="s">
        <v>1337</v>
      </c>
      <c r="I404" s="2" t="s">
        <v>1048</v>
      </c>
      <c r="L404" s="293">
        <v>0</v>
      </c>
      <c r="M404" s="293">
        <v>0</v>
      </c>
      <c r="N404" s="293">
        <v>0</v>
      </c>
      <c r="O404" s="293">
        <v>0</v>
      </c>
      <c r="P404" s="293">
        <v>0</v>
      </c>
      <c r="Q404" s="293">
        <v>0</v>
      </c>
      <c r="R404" s="293">
        <v>0</v>
      </c>
      <c r="S404" s="293">
        <v>0</v>
      </c>
      <c r="T404" s="368">
        <v>0</v>
      </c>
      <c r="U404" s="293">
        <v>0</v>
      </c>
      <c r="V404" s="293">
        <v>0</v>
      </c>
      <c r="W404" s="293">
        <v>0</v>
      </c>
      <c r="X404" s="293">
        <v>0</v>
      </c>
      <c r="Y404" s="293">
        <v>0</v>
      </c>
      <c r="Z404" s="293">
        <v>0</v>
      </c>
      <c r="AA404" s="293">
        <v>0</v>
      </c>
      <c r="AB404" s="293">
        <v>0</v>
      </c>
      <c r="AC404" s="368">
        <v>0</v>
      </c>
      <c r="AD404" s="293">
        <v>0</v>
      </c>
      <c r="AE404" s="293">
        <v>0</v>
      </c>
      <c r="AF404" s="293">
        <v>0</v>
      </c>
      <c r="AG404" s="293">
        <v>0</v>
      </c>
      <c r="AH404" s="293">
        <v>0</v>
      </c>
      <c r="AI404" s="293">
        <v>0</v>
      </c>
      <c r="AJ404" s="293">
        <v>0</v>
      </c>
      <c r="AK404" s="293">
        <v>0</v>
      </c>
      <c r="AL404" s="348">
        <v>150</v>
      </c>
      <c r="AM404" s="232"/>
      <c r="AN404" s="322">
        <v>0</v>
      </c>
      <c r="AO404" s="231">
        <v>0</v>
      </c>
      <c r="AP404" s="228">
        <v>0</v>
      </c>
      <c r="AQ404" s="231">
        <v>0</v>
      </c>
      <c r="AR404" s="231">
        <v>0</v>
      </c>
      <c r="AS404" s="231">
        <v>30</v>
      </c>
      <c r="AT404" s="231">
        <v>30</v>
      </c>
      <c r="AU404" s="323" t="s">
        <v>39</v>
      </c>
      <c r="AV404" s="231">
        <v>30</v>
      </c>
      <c r="AW404" s="231">
        <v>30</v>
      </c>
      <c r="AX404" s="231">
        <v>30</v>
      </c>
      <c r="AY404" s="231">
        <v>0</v>
      </c>
      <c r="AZ404" s="230">
        <v>0</v>
      </c>
      <c r="BA404" s="2" t="s">
        <v>1234</v>
      </c>
    </row>
    <row r="405" spans="1:53" ht="15" customHeight="1" x14ac:dyDescent="0.25">
      <c r="A405" s="2" t="s">
        <v>1368</v>
      </c>
      <c r="C405" s="2" t="s">
        <v>1335</v>
      </c>
      <c r="D405" s="2" t="s">
        <v>1568</v>
      </c>
      <c r="E405" s="2"/>
      <c r="F405" s="2"/>
      <c r="G405" s="318"/>
      <c r="H405" s="2" t="s">
        <v>1337</v>
      </c>
      <c r="I405" s="2" t="s">
        <v>1</v>
      </c>
      <c r="L405" s="293">
        <v>0</v>
      </c>
      <c r="M405" s="293">
        <v>0</v>
      </c>
      <c r="N405" s="293">
        <v>0</v>
      </c>
      <c r="O405" s="293">
        <v>0</v>
      </c>
      <c r="P405" s="293">
        <v>0</v>
      </c>
      <c r="Q405" s="293">
        <v>0</v>
      </c>
      <c r="R405" s="293">
        <v>0</v>
      </c>
      <c r="S405" s="293">
        <v>0</v>
      </c>
      <c r="T405" s="368">
        <v>0</v>
      </c>
      <c r="U405" s="293">
        <v>0</v>
      </c>
      <c r="V405" s="293">
        <v>0</v>
      </c>
      <c r="W405" s="293">
        <v>0</v>
      </c>
      <c r="X405" s="293">
        <v>0</v>
      </c>
      <c r="Y405" s="293">
        <v>0</v>
      </c>
      <c r="Z405" s="293">
        <v>0</v>
      </c>
      <c r="AA405" s="293">
        <v>0</v>
      </c>
      <c r="AB405" s="293">
        <v>0</v>
      </c>
      <c r="AC405" s="368">
        <v>0</v>
      </c>
      <c r="AD405" s="293">
        <v>0</v>
      </c>
      <c r="AE405" s="293">
        <v>0</v>
      </c>
      <c r="AF405" s="293">
        <v>0</v>
      </c>
      <c r="AG405" s="293">
        <v>0</v>
      </c>
      <c r="AH405" s="293">
        <v>0</v>
      </c>
      <c r="AI405" s="293">
        <v>0</v>
      </c>
      <c r="AJ405" s="293">
        <v>0</v>
      </c>
      <c r="AK405" s="293">
        <v>0</v>
      </c>
      <c r="AL405" s="348">
        <v>150</v>
      </c>
      <c r="AM405" s="232"/>
      <c r="AN405" s="322">
        <v>0</v>
      </c>
      <c r="AO405" s="231">
        <v>0</v>
      </c>
      <c r="AP405" s="228">
        <v>0</v>
      </c>
      <c r="AQ405" s="231">
        <v>0</v>
      </c>
      <c r="AR405" s="231">
        <v>0</v>
      </c>
      <c r="AS405" s="231">
        <v>30</v>
      </c>
      <c r="AT405" s="231">
        <v>30</v>
      </c>
      <c r="AU405" s="323" t="s">
        <v>39</v>
      </c>
      <c r="AV405" s="231">
        <v>30</v>
      </c>
      <c r="AW405" s="231">
        <v>30</v>
      </c>
      <c r="AX405" s="231">
        <v>30</v>
      </c>
      <c r="AY405" s="231">
        <v>0</v>
      </c>
      <c r="AZ405" s="230">
        <v>0</v>
      </c>
      <c r="BA405" s="2" t="s">
        <v>1234</v>
      </c>
    </row>
    <row r="406" spans="1:53" ht="15" customHeight="1" x14ac:dyDescent="0.25">
      <c r="A406" s="2" t="s">
        <v>1374</v>
      </c>
      <c r="C406" s="2" t="s">
        <v>1335</v>
      </c>
      <c r="D406" s="2" t="s">
        <v>1375</v>
      </c>
      <c r="E406" s="2"/>
      <c r="F406" s="2"/>
      <c r="G406" s="318"/>
      <c r="H406" s="2" t="s">
        <v>1337</v>
      </c>
      <c r="I406" s="2" t="s">
        <v>1</v>
      </c>
      <c r="L406" s="293">
        <v>0</v>
      </c>
      <c r="M406" s="293">
        <v>0</v>
      </c>
      <c r="N406" s="293">
        <v>0</v>
      </c>
      <c r="O406" s="293">
        <v>0</v>
      </c>
      <c r="P406" s="293">
        <v>0</v>
      </c>
      <c r="Q406" s="293">
        <v>0</v>
      </c>
      <c r="R406" s="293">
        <v>0</v>
      </c>
      <c r="S406" s="293">
        <v>0</v>
      </c>
      <c r="T406" s="368">
        <v>0</v>
      </c>
      <c r="U406" s="293">
        <v>0</v>
      </c>
      <c r="V406" s="293">
        <v>0</v>
      </c>
      <c r="W406" s="293">
        <v>0</v>
      </c>
      <c r="X406" s="293">
        <v>0</v>
      </c>
      <c r="Y406" s="293">
        <v>0</v>
      </c>
      <c r="Z406" s="293">
        <v>0</v>
      </c>
      <c r="AA406" s="293">
        <v>0</v>
      </c>
      <c r="AB406" s="293">
        <v>0</v>
      </c>
      <c r="AC406" s="368">
        <v>0</v>
      </c>
      <c r="AD406" s="293">
        <v>0</v>
      </c>
      <c r="AE406" s="293">
        <v>0</v>
      </c>
      <c r="AF406" s="293">
        <v>0</v>
      </c>
      <c r="AG406" s="293">
        <v>0</v>
      </c>
      <c r="AH406" s="293">
        <v>0</v>
      </c>
      <c r="AI406" s="293">
        <v>0</v>
      </c>
      <c r="AJ406" s="293">
        <v>0</v>
      </c>
      <c r="AK406" s="293">
        <v>0</v>
      </c>
      <c r="AL406" s="348">
        <v>10</v>
      </c>
      <c r="AM406" s="232"/>
      <c r="AN406" s="322">
        <v>0</v>
      </c>
      <c r="AO406" s="231">
        <v>0</v>
      </c>
      <c r="AP406" s="228">
        <v>0</v>
      </c>
      <c r="AQ406" s="231">
        <v>0</v>
      </c>
      <c r="AR406" s="231">
        <v>0</v>
      </c>
      <c r="AS406" s="231">
        <v>0</v>
      </c>
      <c r="AT406" s="231">
        <v>0</v>
      </c>
      <c r="AU406" s="323">
        <v>0</v>
      </c>
      <c r="AV406" s="231">
        <v>2</v>
      </c>
      <c r="AW406" s="231">
        <v>2</v>
      </c>
      <c r="AX406" s="231">
        <v>2</v>
      </c>
      <c r="AY406" s="231">
        <v>2</v>
      </c>
      <c r="AZ406" s="230">
        <v>2</v>
      </c>
      <c r="BA406" s="2" t="s">
        <v>1238</v>
      </c>
    </row>
    <row r="407" spans="1:53" ht="15" customHeight="1" x14ac:dyDescent="0.25">
      <c r="A407" s="2" t="s">
        <v>1374</v>
      </c>
      <c r="C407" s="2" t="s">
        <v>1335</v>
      </c>
      <c r="D407" s="2" t="s">
        <v>1375</v>
      </c>
      <c r="E407" s="2"/>
      <c r="F407" s="2"/>
      <c r="G407" s="318"/>
      <c r="H407" s="2" t="s">
        <v>1337</v>
      </c>
      <c r="I407" s="2" t="s">
        <v>1048</v>
      </c>
      <c r="L407" s="293">
        <v>0</v>
      </c>
      <c r="M407" s="293">
        <v>0</v>
      </c>
      <c r="N407" s="293">
        <v>0</v>
      </c>
      <c r="O407" s="293">
        <v>0</v>
      </c>
      <c r="P407" s="293">
        <v>0</v>
      </c>
      <c r="Q407" s="293">
        <v>0</v>
      </c>
      <c r="R407" s="293">
        <v>0</v>
      </c>
      <c r="S407" s="293">
        <v>0</v>
      </c>
      <c r="T407" s="368">
        <v>0</v>
      </c>
      <c r="U407" s="293">
        <v>0</v>
      </c>
      <c r="V407" s="293">
        <v>0</v>
      </c>
      <c r="W407" s="293">
        <v>0</v>
      </c>
      <c r="X407" s="293">
        <v>0</v>
      </c>
      <c r="Y407" s="293">
        <v>0</v>
      </c>
      <c r="Z407" s="293">
        <v>0</v>
      </c>
      <c r="AA407" s="293">
        <v>0</v>
      </c>
      <c r="AB407" s="293">
        <v>0</v>
      </c>
      <c r="AC407" s="368">
        <v>0</v>
      </c>
      <c r="AD407" s="293">
        <v>0</v>
      </c>
      <c r="AE407" s="293">
        <v>0</v>
      </c>
      <c r="AF407" s="293">
        <v>0</v>
      </c>
      <c r="AG407" s="293">
        <v>0</v>
      </c>
      <c r="AH407" s="293">
        <v>0</v>
      </c>
      <c r="AI407" s="293">
        <v>0</v>
      </c>
      <c r="AJ407" s="293">
        <v>0</v>
      </c>
      <c r="AK407" s="293">
        <v>0</v>
      </c>
      <c r="AL407" s="348">
        <v>10</v>
      </c>
      <c r="AM407" s="232"/>
      <c r="AN407" s="322">
        <v>0</v>
      </c>
      <c r="AO407" s="231">
        <v>0</v>
      </c>
      <c r="AP407" s="228">
        <v>0</v>
      </c>
      <c r="AQ407" s="231">
        <v>0</v>
      </c>
      <c r="AR407" s="231">
        <v>0</v>
      </c>
      <c r="AS407" s="231">
        <v>0</v>
      </c>
      <c r="AT407" s="231">
        <v>0</v>
      </c>
      <c r="AU407" s="323">
        <v>0</v>
      </c>
      <c r="AV407" s="231">
        <v>2</v>
      </c>
      <c r="AW407" s="231">
        <v>2</v>
      </c>
      <c r="AX407" s="231">
        <v>2</v>
      </c>
      <c r="AY407" s="231">
        <v>2</v>
      </c>
      <c r="AZ407" s="230">
        <v>2</v>
      </c>
      <c r="BA407" s="2" t="s">
        <v>1238</v>
      </c>
    </row>
    <row r="408" spans="1:53" ht="15" customHeight="1" x14ac:dyDescent="0.25">
      <c r="A408" s="2" t="s">
        <v>1376</v>
      </c>
      <c r="C408" s="2" t="s">
        <v>1335</v>
      </c>
      <c r="D408" s="2" t="s">
        <v>1377</v>
      </c>
      <c r="E408" s="2"/>
      <c r="F408" s="2"/>
      <c r="G408" s="318"/>
      <c r="H408" s="2" t="s">
        <v>1337</v>
      </c>
      <c r="I408" s="2" t="s">
        <v>1</v>
      </c>
      <c r="L408" s="293">
        <v>0</v>
      </c>
      <c r="M408" s="293">
        <v>0</v>
      </c>
      <c r="N408" s="293">
        <v>0</v>
      </c>
      <c r="O408" s="293">
        <v>0</v>
      </c>
      <c r="P408" s="293">
        <v>0</v>
      </c>
      <c r="Q408" s="293">
        <v>0</v>
      </c>
      <c r="R408" s="293">
        <v>0</v>
      </c>
      <c r="S408" s="293">
        <v>0</v>
      </c>
      <c r="T408" s="368">
        <v>0</v>
      </c>
      <c r="U408" s="293">
        <v>0</v>
      </c>
      <c r="V408" s="293">
        <v>0</v>
      </c>
      <c r="W408" s="293">
        <v>0</v>
      </c>
      <c r="X408" s="293">
        <v>0</v>
      </c>
      <c r="Y408" s="293">
        <v>0</v>
      </c>
      <c r="Z408" s="293">
        <v>0</v>
      </c>
      <c r="AA408" s="293">
        <v>0</v>
      </c>
      <c r="AB408" s="293">
        <v>0</v>
      </c>
      <c r="AC408" s="368">
        <v>0</v>
      </c>
      <c r="AD408" s="293">
        <v>0</v>
      </c>
      <c r="AE408" s="293">
        <v>0</v>
      </c>
      <c r="AF408" s="293">
        <v>0</v>
      </c>
      <c r="AG408" s="293">
        <v>0</v>
      </c>
      <c r="AH408" s="293">
        <v>0</v>
      </c>
      <c r="AI408" s="293">
        <v>0</v>
      </c>
      <c r="AJ408" s="293">
        <v>0</v>
      </c>
      <c r="AK408" s="293">
        <v>0</v>
      </c>
      <c r="AL408" s="348">
        <v>10</v>
      </c>
      <c r="AM408" s="232"/>
      <c r="AN408" s="322">
        <v>0</v>
      </c>
      <c r="AO408" s="231">
        <v>0</v>
      </c>
      <c r="AP408" s="228">
        <v>0</v>
      </c>
      <c r="AQ408" s="231">
        <v>0</v>
      </c>
      <c r="AR408" s="231">
        <v>0</v>
      </c>
      <c r="AS408" s="231">
        <v>0</v>
      </c>
      <c r="AT408" s="231">
        <v>0</v>
      </c>
      <c r="AU408" s="323">
        <v>0</v>
      </c>
      <c r="AV408" s="231">
        <v>2</v>
      </c>
      <c r="AW408" s="231">
        <v>2</v>
      </c>
      <c r="AX408" s="231">
        <v>2</v>
      </c>
      <c r="AY408" s="231">
        <v>2</v>
      </c>
      <c r="AZ408" s="230">
        <v>2</v>
      </c>
      <c r="BA408" s="2" t="s">
        <v>1238</v>
      </c>
    </row>
    <row r="409" spans="1:53" ht="15" customHeight="1" x14ac:dyDescent="0.25">
      <c r="A409" s="2" t="s">
        <v>1376</v>
      </c>
      <c r="C409" s="2" t="s">
        <v>1335</v>
      </c>
      <c r="D409" s="2" t="s">
        <v>1377</v>
      </c>
      <c r="E409" s="2"/>
      <c r="F409" s="2"/>
      <c r="G409" s="318"/>
      <c r="H409" s="2" t="s">
        <v>1337</v>
      </c>
      <c r="I409" s="2" t="s">
        <v>1048</v>
      </c>
      <c r="L409" s="293">
        <v>0</v>
      </c>
      <c r="M409" s="293">
        <v>0</v>
      </c>
      <c r="N409" s="293">
        <v>0</v>
      </c>
      <c r="O409" s="293">
        <v>0</v>
      </c>
      <c r="P409" s="293">
        <v>0</v>
      </c>
      <c r="Q409" s="293">
        <v>0</v>
      </c>
      <c r="R409" s="293">
        <v>0</v>
      </c>
      <c r="S409" s="293">
        <v>0</v>
      </c>
      <c r="T409" s="368">
        <v>0</v>
      </c>
      <c r="U409" s="293">
        <v>0</v>
      </c>
      <c r="V409" s="293">
        <v>0</v>
      </c>
      <c r="W409" s="293">
        <v>0</v>
      </c>
      <c r="X409" s="293">
        <v>0</v>
      </c>
      <c r="Y409" s="293">
        <v>0</v>
      </c>
      <c r="Z409" s="293">
        <v>0</v>
      </c>
      <c r="AA409" s="293">
        <v>0</v>
      </c>
      <c r="AB409" s="293">
        <v>0</v>
      </c>
      <c r="AC409" s="368">
        <v>0</v>
      </c>
      <c r="AD409" s="293">
        <v>0</v>
      </c>
      <c r="AE409" s="293">
        <v>0</v>
      </c>
      <c r="AF409" s="293">
        <v>0</v>
      </c>
      <c r="AG409" s="293">
        <v>0</v>
      </c>
      <c r="AH409" s="293">
        <v>0</v>
      </c>
      <c r="AI409" s="293">
        <v>0</v>
      </c>
      <c r="AJ409" s="293">
        <v>0</v>
      </c>
      <c r="AK409" s="293">
        <v>0</v>
      </c>
      <c r="AL409" s="348">
        <v>10</v>
      </c>
      <c r="AM409" s="232"/>
      <c r="AN409" s="322">
        <v>0</v>
      </c>
      <c r="AO409" s="231">
        <v>0</v>
      </c>
      <c r="AP409" s="228">
        <v>0</v>
      </c>
      <c r="AQ409" s="231">
        <v>0</v>
      </c>
      <c r="AR409" s="231">
        <v>0</v>
      </c>
      <c r="AS409" s="231">
        <v>0</v>
      </c>
      <c r="AT409" s="231">
        <v>0</v>
      </c>
      <c r="AU409" s="323">
        <v>0</v>
      </c>
      <c r="AV409" s="231">
        <v>2</v>
      </c>
      <c r="AW409" s="231">
        <v>2</v>
      </c>
      <c r="AX409" s="231">
        <v>2</v>
      </c>
      <c r="AY409" s="231">
        <v>2</v>
      </c>
      <c r="AZ409" s="230">
        <v>2</v>
      </c>
      <c r="BA409" s="2" t="s">
        <v>1238</v>
      </c>
    </row>
    <row r="410" spans="1:53" ht="15" customHeight="1" x14ac:dyDescent="0.25">
      <c r="A410" s="2" t="s">
        <v>1378</v>
      </c>
      <c r="C410" s="2" t="s">
        <v>1335</v>
      </c>
      <c r="D410" s="2" t="s">
        <v>1379</v>
      </c>
      <c r="E410" s="2"/>
      <c r="F410" s="2"/>
      <c r="G410" s="318"/>
      <c r="H410" s="2" t="s">
        <v>1337</v>
      </c>
      <c r="I410" s="2" t="s">
        <v>1</v>
      </c>
      <c r="L410" s="293">
        <v>0</v>
      </c>
      <c r="M410" s="293">
        <v>0</v>
      </c>
      <c r="N410" s="293">
        <v>0</v>
      </c>
      <c r="O410" s="293">
        <v>0</v>
      </c>
      <c r="P410" s="293">
        <v>0</v>
      </c>
      <c r="Q410" s="293">
        <v>0</v>
      </c>
      <c r="R410" s="293">
        <v>0</v>
      </c>
      <c r="S410" s="293">
        <v>0</v>
      </c>
      <c r="T410" s="368">
        <v>0</v>
      </c>
      <c r="U410" s="293">
        <v>0</v>
      </c>
      <c r="V410" s="293">
        <v>0</v>
      </c>
      <c r="W410" s="293">
        <v>0</v>
      </c>
      <c r="X410" s="293">
        <v>0</v>
      </c>
      <c r="Y410" s="293">
        <v>0</v>
      </c>
      <c r="Z410" s="293">
        <v>0</v>
      </c>
      <c r="AA410" s="293">
        <v>0</v>
      </c>
      <c r="AB410" s="293">
        <v>0</v>
      </c>
      <c r="AC410" s="368">
        <v>0</v>
      </c>
      <c r="AD410" s="293">
        <v>0</v>
      </c>
      <c r="AE410" s="293">
        <v>0</v>
      </c>
      <c r="AF410" s="293">
        <v>0</v>
      </c>
      <c r="AG410" s="293">
        <v>0</v>
      </c>
      <c r="AH410" s="293">
        <v>0</v>
      </c>
      <c r="AI410" s="293">
        <v>0</v>
      </c>
      <c r="AJ410" s="293">
        <v>0</v>
      </c>
      <c r="AK410" s="293">
        <v>0</v>
      </c>
      <c r="AL410" s="348">
        <v>10</v>
      </c>
      <c r="AM410" s="232"/>
      <c r="AN410" s="322">
        <v>0</v>
      </c>
      <c r="AO410" s="231">
        <v>0</v>
      </c>
      <c r="AP410" s="228">
        <v>0</v>
      </c>
      <c r="AQ410" s="231">
        <v>0</v>
      </c>
      <c r="AR410" s="231">
        <v>0</v>
      </c>
      <c r="AS410" s="231">
        <v>0</v>
      </c>
      <c r="AT410" s="231">
        <v>0</v>
      </c>
      <c r="AU410" s="323">
        <v>0</v>
      </c>
      <c r="AV410" s="231">
        <v>2</v>
      </c>
      <c r="AW410" s="231">
        <v>2</v>
      </c>
      <c r="AX410" s="231">
        <v>2</v>
      </c>
      <c r="AY410" s="231">
        <v>2</v>
      </c>
      <c r="AZ410" s="230">
        <v>2</v>
      </c>
      <c r="BA410" s="2" t="s">
        <v>1238</v>
      </c>
    </row>
    <row r="411" spans="1:53" ht="15" customHeight="1" x14ac:dyDescent="0.25">
      <c r="A411" s="2" t="s">
        <v>1378</v>
      </c>
      <c r="C411" s="2" t="s">
        <v>1335</v>
      </c>
      <c r="D411" s="2" t="s">
        <v>1379</v>
      </c>
      <c r="E411" s="2"/>
      <c r="F411" s="319"/>
      <c r="G411" s="318"/>
      <c r="H411" s="2" t="s">
        <v>1337</v>
      </c>
      <c r="I411" s="2" t="s">
        <v>1048</v>
      </c>
      <c r="L411" s="293">
        <v>0</v>
      </c>
      <c r="M411" s="293">
        <v>0</v>
      </c>
      <c r="N411" s="293">
        <v>0</v>
      </c>
      <c r="O411" s="293">
        <v>0</v>
      </c>
      <c r="P411" s="293">
        <v>0</v>
      </c>
      <c r="Q411" s="293">
        <v>0</v>
      </c>
      <c r="R411" s="293">
        <v>0</v>
      </c>
      <c r="S411" s="293">
        <v>0</v>
      </c>
      <c r="T411" s="368">
        <v>0</v>
      </c>
      <c r="U411" s="293">
        <v>0</v>
      </c>
      <c r="V411" s="293">
        <v>0</v>
      </c>
      <c r="W411" s="293">
        <v>0</v>
      </c>
      <c r="X411" s="293">
        <v>0</v>
      </c>
      <c r="Y411" s="293">
        <v>0</v>
      </c>
      <c r="Z411" s="293">
        <v>0</v>
      </c>
      <c r="AA411" s="293">
        <v>0</v>
      </c>
      <c r="AB411" s="293">
        <v>0</v>
      </c>
      <c r="AC411" s="368">
        <v>0</v>
      </c>
      <c r="AD411" s="293">
        <v>0</v>
      </c>
      <c r="AE411" s="293">
        <v>0</v>
      </c>
      <c r="AF411" s="293">
        <v>0</v>
      </c>
      <c r="AG411" s="293">
        <v>0</v>
      </c>
      <c r="AH411" s="293">
        <v>0</v>
      </c>
      <c r="AI411" s="293">
        <v>0</v>
      </c>
      <c r="AJ411" s="293">
        <v>0</v>
      </c>
      <c r="AK411" s="293">
        <v>0</v>
      </c>
      <c r="AL411" s="348">
        <v>10</v>
      </c>
      <c r="AM411" s="232"/>
      <c r="AN411" s="322">
        <v>0</v>
      </c>
      <c r="AO411" s="231">
        <v>0</v>
      </c>
      <c r="AP411" s="228">
        <v>0</v>
      </c>
      <c r="AQ411" s="231">
        <v>0</v>
      </c>
      <c r="AR411" s="231">
        <v>0</v>
      </c>
      <c r="AS411" s="231">
        <v>0</v>
      </c>
      <c r="AT411" s="231">
        <v>0</v>
      </c>
      <c r="AU411" s="323">
        <v>0</v>
      </c>
      <c r="AV411" s="231">
        <v>2</v>
      </c>
      <c r="AW411" s="231">
        <v>2</v>
      </c>
      <c r="AX411" s="231">
        <v>2</v>
      </c>
      <c r="AY411" s="231">
        <v>2</v>
      </c>
      <c r="AZ411" s="230">
        <v>2</v>
      </c>
      <c r="BA411" s="2" t="s">
        <v>1238</v>
      </c>
    </row>
    <row r="412" spans="1:53" ht="15" customHeight="1" x14ac:dyDescent="0.25">
      <c r="A412" s="2" t="s">
        <v>1380</v>
      </c>
      <c r="C412" s="2" t="s">
        <v>1335</v>
      </c>
      <c r="D412" s="2" t="s">
        <v>1381</v>
      </c>
      <c r="E412" s="2"/>
      <c r="F412" s="319"/>
      <c r="G412" s="318"/>
      <c r="H412" s="2" t="s">
        <v>1337</v>
      </c>
      <c r="I412" s="2" t="s">
        <v>1</v>
      </c>
      <c r="L412" s="293">
        <v>0</v>
      </c>
      <c r="M412" s="293">
        <v>0</v>
      </c>
      <c r="N412" s="293">
        <v>0</v>
      </c>
      <c r="O412" s="293">
        <v>0</v>
      </c>
      <c r="P412" s="293">
        <v>0</v>
      </c>
      <c r="Q412" s="293">
        <v>0</v>
      </c>
      <c r="R412" s="293">
        <v>0</v>
      </c>
      <c r="S412" s="293">
        <v>0</v>
      </c>
      <c r="T412" s="368">
        <v>0</v>
      </c>
      <c r="U412" s="293">
        <v>0</v>
      </c>
      <c r="V412" s="293">
        <v>0</v>
      </c>
      <c r="W412" s="293">
        <v>0</v>
      </c>
      <c r="X412" s="293">
        <v>0</v>
      </c>
      <c r="Y412" s="293">
        <v>0</v>
      </c>
      <c r="Z412" s="293">
        <v>0</v>
      </c>
      <c r="AA412" s="293">
        <v>0</v>
      </c>
      <c r="AB412" s="293">
        <v>0</v>
      </c>
      <c r="AC412" s="368">
        <v>0</v>
      </c>
      <c r="AD412" s="293">
        <v>0</v>
      </c>
      <c r="AE412" s="293">
        <v>0</v>
      </c>
      <c r="AF412" s="293">
        <v>0</v>
      </c>
      <c r="AG412" s="293">
        <v>0</v>
      </c>
      <c r="AH412" s="293">
        <v>0</v>
      </c>
      <c r="AI412" s="293">
        <v>0</v>
      </c>
      <c r="AJ412" s="293">
        <v>0</v>
      </c>
      <c r="AK412" s="293">
        <v>0</v>
      </c>
      <c r="AL412" s="348">
        <v>5</v>
      </c>
      <c r="AM412" s="232"/>
      <c r="AN412" s="322">
        <v>0</v>
      </c>
      <c r="AO412" s="231">
        <v>0</v>
      </c>
      <c r="AP412" s="228">
        <v>0</v>
      </c>
      <c r="AQ412" s="231">
        <v>0</v>
      </c>
      <c r="AR412" s="231">
        <v>0</v>
      </c>
      <c r="AS412" s="231">
        <v>0</v>
      </c>
      <c r="AT412" s="231">
        <v>0</v>
      </c>
      <c r="AU412" s="323">
        <v>0</v>
      </c>
      <c r="AV412" s="231">
        <v>1</v>
      </c>
      <c r="AW412" s="231">
        <v>1</v>
      </c>
      <c r="AX412" s="231">
        <v>1</v>
      </c>
      <c r="AY412" s="231">
        <v>1</v>
      </c>
      <c r="AZ412" s="230">
        <v>1</v>
      </c>
      <c r="BA412" s="2" t="s">
        <v>1238</v>
      </c>
    </row>
    <row r="413" spans="1:53" ht="15" customHeight="1" x14ac:dyDescent="0.25">
      <c r="A413" s="2" t="s">
        <v>1380</v>
      </c>
      <c r="C413" s="2" t="s">
        <v>1335</v>
      </c>
      <c r="D413" s="2" t="s">
        <v>1381</v>
      </c>
      <c r="E413" s="2"/>
      <c r="F413" s="2"/>
      <c r="G413" s="318"/>
      <c r="H413" s="2" t="s">
        <v>1337</v>
      </c>
      <c r="I413" s="2" t="s">
        <v>1048</v>
      </c>
      <c r="L413" s="293">
        <v>0</v>
      </c>
      <c r="M413" s="293">
        <v>0</v>
      </c>
      <c r="N413" s="293">
        <v>0</v>
      </c>
      <c r="O413" s="293">
        <v>0</v>
      </c>
      <c r="P413" s="293">
        <v>0</v>
      </c>
      <c r="Q413" s="293">
        <v>0</v>
      </c>
      <c r="R413" s="293">
        <v>0</v>
      </c>
      <c r="S413" s="293">
        <v>0</v>
      </c>
      <c r="T413" s="368">
        <v>0</v>
      </c>
      <c r="U413" s="293">
        <v>0</v>
      </c>
      <c r="V413" s="293">
        <v>0</v>
      </c>
      <c r="W413" s="293">
        <v>0</v>
      </c>
      <c r="X413" s="293">
        <v>0</v>
      </c>
      <c r="Y413" s="293">
        <v>0</v>
      </c>
      <c r="Z413" s="293">
        <v>0</v>
      </c>
      <c r="AA413" s="293">
        <v>0</v>
      </c>
      <c r="AB413" s="293">
        <v>0</v>
      </c>
      <c r="AC413" s="368">
        <v>0</v>
      </c>
      <c r="AD413" s="293">
        <v>0</v>
      </c>
      <c r="AE413" s="293">
        <v>0</v>
      </c>
      <c r="AF413" s="293">
        <v>0</v>
      </c>
      <c r="AG413" s="293">
        <v>0</v>
      </c>
      <c r="AH413" s="293">
        <v>0</v>
      </c>
      <c r="AI413" s="293">
        <v>0</v>
      </c>
      <c r="AJ413" s="293">
        <v>0</v>
      </c>
      <c r="AK413" s="293">
        <v>0</v>
      </c>
      <c r="AL413" s="348">
        <v>5</v>
      </c>
      <c r="AM413" s="232"/>
      <c r="AN413" s="322">
        <v>0</v>
      </c>
      <c r="AO413" s="231">
        <v>0</v>
      </c>
      <c r="AP413" s="228">
        <v>0</v>
      </c>
      <c r="AQ413" s="231">
        <v>0</v>
      </c>
      <c r="AR413" s="231">
        <v>0</v>
      </c>
      <c r="AS413" s="231">
        <v>0</v>
      </c>
      <c r="AT413" s="231">
        <v>0</v>
      </c>
      <c r="AU413" s="323">
        <v>0</v>
      </c>
      <c r="AV413" s="231">
        <v>1</v>
      </c>
      <c r="AW413" s="231">
        <v>1</v>
      </c>
      <c r="AX413" s="231">
        <v>1</v>
      </c>
      <c r="AY413" s="231">
        <v>1</v>
      </c>
      <c r="AZ413" s="230">
        <v>1</v>
      </c>
      <c r="BA413" s="2" t="s">
        <v>1238</v>
      </c>
    </row>
    <row r="414" spans="1:53" ht="15" customHeight="1" x14ac:dyDescent="0.25">
      <c r="A414" s="2" t="s">
        <v>1370</v>
      </c>
      <c r="D414" s="2" t="s">
        <v>1371</v>
      </c>
      <c r="E414" s="2"/>
      <c r="F414" s="2"/>
      <c r="G414" s="318"/>
      <c r="H414" s="2" t="s">
        <v>1372</v>
      </c>
      <c r="I414" s="2" t="s">
        <v>1373</v>
      </c>
      <c r="L414" s="293">
        <v>0</v>
      </c>
      <c r="M414" s="293">
        <v>0</v>
      </c>
      <c r="N414" s="293">
        <v>0</v>
      </c>
      <c r="O414" s="293">
        <v>0</v>
      </c>
      <c r="P414" s="293">
        <v>0</v>
      </c>
      <c r="Q414" s="293">
        <v>0</v>
      </c>
      <c r="R414" s="293">
        <v>0</v>
      </c>
      <c r="S414" s="293">
        <v>0</v>
      </c>
      <c r="T414" s="368">
        <v>0</v>
      </c>
      <c r="U414" s="293">
        <v>0</v>
      </c>
      <c r="V414" s="293">
        <v>0</v>
      </c>
      <c r="W414" s="293">
        <v>0</v>
      </c>
      <c r="X414" s="293">
        <v>0</v>
      </c>
      <c r="Y414" s="293">
        <v>0</v>
      </c>
      <c r="Z414" s="293">
        <v>0</v>
      </c>
      <c r="AA414" s="293">
        <v>0</v>
      </c>
      <c r="AB414" s="293">
        <v>0</v>
      </c>
      <c r="AC414" s="368">
        <v>0</v>
      </c>
      <c r="AD414" s="293">
        <v>0</v>
      </c>
      <c r="AE414" s="293">
        <v>0</v>
      </c>
      <c r="AF414" s="293">
        <v>0</v>
      </c>
      <c r="AG414" s="293">
        <v>0</v>
      </c>
      <c r="AH414" s="293">
        <v>0</v>
      </c>
      <c r="AI414" s="293">
        <v>0</v>
      </c>
      <c r="AJ414" s="293">
        <v>0</v>
      </c>
      <c r="AK414" s="293">
        <v>0</v>
      </c>
      <c r="AL414" s="348"/>
      <c r="AM414" s="232"/>
      <c r="AN414" s="322">
        <v>0</v>
      </c>
      <c r="AO414" s="231">
        <v>0</v>
      </c>
      <c r="AP414" s="228">
        <v>0</v>
      </c>
      <c r="AQ414" s="231">
        <v>0</v>
      </c>
      <c r="AR414" s="231">
        <v>0</v>
      </c>
      <c r="AS414" s="231">
        <v>0</v>
      </c>
      <c r="AT414" s="231">
        <v>0</v>
      </c>
      <c r="AU414" s="323">
        <v>0</v>
      </c>
      <c r="AV414" s="231">
        <v>204</v>
      </c>
      <c r="AW414" s="231">
        <v>204</v>
      </c>
      <c r="AX414" s="231">
        <v>204</v>
      </c>
      <c r="AY414" s="231">
        <v>204</v>
      </c>
      <c r="AZ414" s="230">
        <v>204</v>
      </c>
    </row>
    <row r="415" spans="1:53" ht="15" customHeight="1" x14ac:dyDescent="0.25">
      <c r="AD415" s="241"/>
      <c r="AP415" s="369"/>
      <c r="AQ415" s="369"/>
      <c r="AR415" s="369"/>
      <c r="AS415" s="369"/>
      <c r="AT415" s="369"/>
    </row>
  </sheetData>
  <autoFilter ref="A1:BF415" xr:uid="{B659E59F-6A36-46B2-8229-C82EF65320F7}">
    <sortState xmlns:xlrd2="http://schemas.microsoft.com/office/spreadsheetml/2017/richdata2" ref="A2:BF414">
      <sortCondition ref="H1:H414"/>
    </sortState>
  </autoFilter>
  <conditionalFormatting sqref="G45">
    <cfRule type="duplicateValues" dxfId="1405" priority="28"/>
  </conditionalFormatting>
  <conditionalFormatting sqref="A99">
    <cfRule type="duplicateValues" dxfId="1404" priority="22"/>
  </conditionalFormatting>
  <conditionalFormatting sqref="D220">
    <cfRule type="duplicateValues" dxfId="1403" priority="3"/>
  </conditionalFormatting>
  <conditionalFormatting sqref="D220">
    <cfRule type="duplicateValues" dxfId="1402" priority="2"/>
  </conditionalFormatting>
  <conditionalFormatting sqref="D220">
    <cfRule type="duplicateValues" dxfId="1401" priority="1"/>
  </conditionalFormatting>
  <printOptions horizontalCentered="1"/>
  <pageMargins left="0.19685039370078741" right="0.19685039370078741" top="0.39370078740157483" bottom="0.39370078740157483" header="0" footer="0"/>
  <pageSetup paperSize="9" scale="57" fitToHeight="0" orientation="landscape" r:id="rId1"/>
  <headerFooter>
    <oddHeader>&amp;L&amp;"Calibri"&amp;10&amp;K000000Official&amp;1#</oddHeader>
  </headerFooter>
  <rowBreaks count="8" manualBreakCount="8">
    <brk id="150" max="16383" man="1"/>
    <brk id="174" max="16383" man="1"/>
    <brk id="217" max="16383" man="1"/>
    <brk id="261" max="16383" man="1"/>
    <brk id="285" max="16383" man="1"/>
    <brk id="336" max="16383" man="1"/>
    <brk id="359" max="16383" man="1"/>
    <brk id="39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936A-1F62-4F06-A73C-6CB90DCFF370}">
  <dimension ref="B2:R497"/>
  <sheetViews>
    <sheetView zoomScale="85" zoomScaleNormal="85" workbookViewId="0"/>
  </sheetViews>
  <sheetFormatPr defaultRowHeight="15" x14ac:dyDescent="0.25"/>
  <cols>
    <col min="1" max="1" width="9.140625" style="324"/>
    <col min="2" max="18" width="20.7109375" style="324" customWidth="1"/>
    <col min="19" max="16384" width="9.140625" style="324"/>
  </cols>
  <sheetData>
    <row r="2" spans="2:7" ht="15.75" thickBot="1" x14ac:dyDescent="0.3">
      <c r="B2" s="1" t="s">
        <v>1092</v>
      </c>
      <c r="C2" s="2"/>
    </row>
    <row r="3" spans="2:7" ht="15.75" thickBot="1" x14ac:dyDescent="0.3">
      <c r="B3" s="3" t="s">
        <v>1091</v>
      </c>
      <c r="C3" s="4" t="s">
        <v>1027</v>
      </c>
    </row>
    <row r="4" spans="2:7" ht="15.75" thickBot="1" x14ac:dyDescent="0.3">
      <c r="B4" s="2"/>
      <c r="C4" s="2"/>
    </row>
    <row r="5" spans="2:7" x14ac:dyDescent="0.25">
      <c r="B5" s="5" t="s">
        <v>1055</v>
      </c>
      <c r="C5" s="2"/>
    </row>
    <row r="6" spans="2:7" ht="15.75" thickBot="1" x14ac:dyDescent="0.3">
      <c r="B6" s="6">
        <v>419</v>
      </c>
      <c r="C6" s="2"/>
    </row>
    <row r="8" spans="2:7" ht="15.75" thickBot="1" x14ac:dyDescent="0.3"/>
    <row r="9" spans="2:7" ht="15.75" thickBot="1" x14ac:dyDescent="0.3">
      <c r="B9" s="3" t="s">
        <v>1293</v>
      </c>
      <c r="C9" s="4" t="s">
        <v>39</v>
      </c>
    </row>
    <row r="10" spans="2:7" ht="15.75" thickBot="1" x14ac:dyDescent="0.3">
      <c r="B10" s="3" t="s">
        <v>1091</v>
      </c>
      <c r="C10" s="4" t="s">
        <v>1050</v>
      </c>
      <c r="D10" s="2"/>
      <c r="E10" s="2"/>
      <c r="F10" s="2"/>
    </row>
    <row r="11" spans="2:7" ht="15.75" thickBot="1" x14ac:dyDescent="0.3">
      <c r="B11" s="3" t="s">
        <v>1029</v>
      </c>
      <c r="C11" s="4" t="s">
        <v>1294</v>
      </c>
      <c r="D11" s="2"/>
      <c r="E11" s="2"/>
      <c r="F11" s="2"/>
    </row>
    <row r="12" spans="2:7" ht="15.75" thickBot="1" x14ac:dyDescent="0.3">
      <c r="B12" s="2"/>
      <c r="C12" s="2"/>
      <c r="D12" s="2"/>
      <c r="E12" s="2"/>
      <c r="F12" s="2"/>
    </row>
    <row r="13" spans="2:7" x14ac:dyDescent="0.25">
      <c r="B13" s="233" t="s">
        <v>1307</v>
      </c>
      <c r="C13" s="234" t="s">
        <v>1308</v>
      </c>
      <c r="D13" s="234" t="s">
        <v>1309</v>
      </c>
      <c r="E13" s="234" t="s">
        <v>1310</v>
      </c>
      <c r="F13" s="235" t="s">
        <v>1311</v>
      </c>
    </row>
    <row r="14" spans="2:7" ht="15.75" thickBot="1" x14ac:dyDescent="0.3">
      <c r="B14" s="236">
        <v>165.5</v>
      </c>
      <c r="C14" s="237">
        <v>143</v>
      </c>
      <c r="D14" s="237">
        <v>59.999999999999993</v>
      </c>
      <c r="E14" s="237">
        <v>59.999999999999993</v>
      </c>
      <c r="F14" s="238">
        <v>0</v>
      </c>
      <c r="G14" s="360">
        <f>SUM(B14:F14)</f>
        <v>428.5</v>
      </c>
    </row>
    <row r="15" spans="2:7" x14ac:dyDescent="0.25">
      <c r="B15" s="293"/>
      <c r="C15" s="293"/>
      <c r="D15" s="293"/>
      <c r="E15" s="293"/>
      <c r="F15" s="293"/>
      <c r="G15" s="360"/>
    </row>
    <row r="16" spans="2:7" ht="15.75" thickBot="1" x14ac:dyDescent="0.3"/>
    <row r="17" spans="2:7" ht="15.75" thickBot="1" x14ac:dyDescent="0.3">
      <c r="B17" s="3" t="s">
        <v>1293</v>
      </c>
      <c r="C17" s="4" t="s">
        <v>39</v>
      </c>
    </row>
    <row r="18" spans="2:7" ht="15.75" thickBot="1" x14ac:dyDescent="0.3">
      <c r="B18" s="3" t="s">
        <v>1091</v>
      </c>
      <c r="C18" s="4" t="s">
        <v>1057</v>
      </c>
      <c r="D18" s="2"/>
      <c r="E18" s="2"/>
      <c r="F18" s="2"/>
    </row>
    <row r="19" spans="2:7" ht="15.75" thickBot="1" x14ac:dyDescent="0.3">
      <c r="B19" s="3" t="s">
        <v>1029</v>
      </c>
      <c r="C19" s="4" t="s">
        <v>1294</v>
      </c>
      <c r="D19" s="2"/>
      <c r="E19" s="2"/>
      <c r="F19" s="2"/>
    </row>
    <row r="20" spans="2:7" ht="15.75" thickBot="1" x14ac:dyDescent="0.3">
      <c r="B20" s="2"/>
      <c r="C20" s="2"/>
      <c r="D20" s="2"/>
      <c r="E20" s="2"/>
      <c r="F20" s="2"/>
    </row>
    <row r="21" spans="2:7" x14ac:dyDescent="0.25">
      <c r="B21" s="233" t="s">
        <v>1307</v>
      </c>
      <c r="C21" s="234" t="s">
        <v>1308</v>
      </c>
      <c r="D21" s="234" t="s">
        <v>1309</v>
      </c>
      <c r="E21" s="234" t="s">
        <v>1310</v>
      </c>
      <c r="F21" s="235" t="s">
        <v>1311</v>
      </c>
    </row>
    <row r="22" spans="2:7" ht="15.75" thickBot="1" x14ac:dyDescent="0.3">
      <c r="B22" s="236">
        <v>66.999999999999986</v>
      </c>
      <c r="C22" s="237">
        <v>39.500000000000007</v>
      </c>
      <c r="D22" s="237">
        <v>50.500000000000007</v>
      </c>
      <c r="E22" s="237">
        <v>11</v>
      </c>
      <c r="F22" s="238">
        <v>0</v>
      </c>
      <c r="G22" s="360">
        <f>SUM(B22:F22)</f>
        <v>168</v>
      </c>
    </row>
    <row r="24" spans="2:7" ht="15.75" thickBot="1" x14ac:dyDescent="0.3"/>
    <row r="25" spans="2:7" ht="15.75" thickBot="1" x14ac:dyDescent="0.3">
      <c r="B25" s="3" t="s">
        <v>1293</v>
      </c>
      <c r="C25" s="4" t="s">
        <v>39</v>
      </c>
    </row>
    <row r="26" spans="2:7" ht="15.75" thickBot="1" x14ac:dyDescent="0.3">
      <c r="B26" s="3" t="s">
        <v>1091</v>
      </c>
      <c r="C26" s="4" t="s">
        <v>1050</v>
      </c>
      <c r="D26" s="2"/>
      <c r="E26" s="2"/>
      <c r="F26" s="2"/>
    </row>
    <row r="27" spans="2:7" ht="15.75" thickBot="1" x14ac:dyDescent="0.3">
      <c r="B27" s="3" t="s">
        <v>1029</v>
      </c>
      <c r="C27" s="4" t="s">
        <v>1294</v>
      </c>
      <c r="D27" s="2"/>
      <c r="E27" s="2"/>
      <c r="F27" s="2"/>
    </row>
    <row r="28" spans="2:7" ht="15.75" thickBot="1" x14ac:dyDescent="0.3">
      <c r="B28" s="2"/>
      <c r="C28" s="2"/>
      <c r="D28" s="2"/>
      <c r="E28" s="2"/>
      <c r="F28" s="2"/>
    </row>
    <row r="29" spans="2:7" x14ac:dyDescent="0.25">
      <c r="B29" s="233" t="s">
        <v>1307</v>
      </c>
      <c r="C29" s="234" t="s">
        <v>1308</v>
      </c>
      <c r="D29" s="234" t="s">
        <v>1309</v>
      </c>
      <c r="E29" s="234" t="s">
        <v>1310</v>
      </c>
      <c r="F29" s="235" t="s">
        <v>1311</v>
      </c>
    </row>
    <row r="30" spans="2:7" ht="15.75" thickBot="1" x14ac:dyDescent="0.3">
      <c r="B30" s="236">
        <v>30.5</v>
      </c>
      <c r="C30" s="237">
        <v>0</v>
      </c>
      <c r="D30" s="237">
        <v>0</v>
      </c>
      <c r="E30" s="237">
        <v>0</v>
      </c>
      <c r="F30" s="238">
        <v>0</v>
      </c>
      <c r="G30" s="360">
        <f>SUM(B30:F30)</f>
        <v>30.5</v>
      </c>
    </row>
    <row r="32" spans="2:7" ht="15.75" thickBot="1" x14ac:dyDescent="0.3"/>
    <row r="33" spans="2:7" ht="15.75" thickBot="1" x14ac:dyDescent="0.3">
      <c r="B33" s="3" t="s">
        <v>1293</v>
      </c>
      <c r="C33" s="4" t="s">
        <v>39</v>
      </c>
      <c r="D33" s="2"/>
      <c r="E33" s="2"/>
      <c r="F33" s="2"/>
      <c r="G33" s="2"/>
    </row>
    <row r="34" spans="2:7" ht="15.75" thickBot="1" x14ac:dyDescent="0.3">
      <c r="B34" s="3" t="s">
        <v>1036</v>
      </c>
      <c r="C34" s="4" t="s">
        <v>1430</v>
      </c>
      <c r="D34" s="2"/>
      <c r="E34" s="2"/>
      <c r="F34" s="2"/>
      <c r="G34" s="2"/>
    </row>
    <row r="35" spans="2:7" ht="15.75" thickBot="1" x14ac:dyDescent="0.3">
      <c r="B35" s="3" t="s">
        <v>1091</v>
      </c>
      <c r="C35" s="4" t="s">
        <v>1057</v>
      </c>
      <c r="D35" s="2"/>
      <c r="E35" s="2"/>
      <c r="F35" s="2"/>
      <c r="G35" s="2"/>
    </row>
    <row r="36" spans="2:7" ht="15.75" thickBot="1" x14ac:dyDescent="0.3">
      <c r="B36" s="3" t="s">
        <v>1029</v>
      </c>
      <c r="C36" s="4" t="s">
        <v>1294</v>
      </c>
      <c r="D36" s="2"/>
      <c r="E36" s="2"/>
      <c r="F36" s="2"/>
      <c r="G36" s="2"/>
    </row>
    <row r="37" spans="2:7" ht="15.75" thickBot="1" x14ac:dyDescent="0.3">
      <c r="B37" s="2"/>
      <c r="C37" s="2"/>
      <c r="D37" s="2"/>
      <c r="E37" s="2"/>
      <c r="F37" s="2"/>
      <c r="G37" s="2"/>
    </row>
    <row r="38" spans="2:7" x14ac:dyDescent="0.25">
      <c r="B38" s="233" t="s">
        <v>1307</v>
      </c>
      <c r="C38" s="234" t="s">
        <v>1308</v>
      </c>
      <c r="D38" s="234" t="s">
        <v>1309</v>
      </c>
      <c r="E38" s="234" t="s">
        <v>1310</v>
      </c>
      <c r="F38" s="235" t="s">
        <v>1311</v>
      </c>
      <c r="G38" s="2"/>
    </row>
    <row r="39" spans="2:7" ht="15.75" thickBot="1" x14ac:dyDescent="0.3">
      <c r="B39" s="236">
        <v>16</v>
      </c>
      <c r="C39" s="237">
        <v>16</v>
      </c>
      <c r="D39" s="237">
        <v>16</v>
      </c>
      <c r="E39" s="237">
        <v>0</v>
      </c>
      <c r="F39" s="238">
        <v>0</v>
      </c>
      <c r="G39" s="293">
        <f>SUM(B39:F39)</f>
        <v>48</v>
      </c>
    </row>
    <row r="41" spans="2:7" ht="15.75" thickBot="1" x14ac:dyDescent="0.3"/>
    <row r="42" spans="2:7" ht="15.75" thickBot="1" x14ac:dyDescent="0.3">
      <c r="B42" s="3" t="s">
        <v>1293</v>
      </c>
      <c r="C42" s="4" t="s">
        <v>39</v>
      </c>
      <c r="D42" s="2"/>
      <c r="E42" s="2"/>
      <c r="F42" s="2"/>
      <c r="G42" s="2"/>
    </row>
    <row r="43" spans="2:7" ht="15.75" thickBot="1" x14ac:dyDescent="0.3">
      <c r="B43" s="3" t="s">
        <v>1091</v>
      </c>
      <c r="C43" s="4" t="s">
        <v>1057</v>
      </c>
      <c r="D43" s="2"/>
      <c r="E43" s="2"/>
      <c r="F43" s="2"/>
      <c r="G43" s="2"/>
    </row>
    <row r="44" spans="2:7" ht="15.75" thickBot="1" x14ac:dyDescent="0.3">
      <c r="B44" s="3" t="s">
        <v>1029</v>
      </c>
      <c r="C44" s="4" t="s">
        <v>1420</v>
      </c>
      <c r="D44" s="2"/>
      <c r="E44" s="2"/>
      <c r="F44" s="2"/>
      <c r="G44" s="2"/>
    </row>
    <row r="45" spans="2:7" ht="15.75" thickBot="1" x14ac:dyDescent="0.3">
      <c r="B45" s="3" t="s">
        <v>1036</v>
      </c>
      <c r="C45" s="4" t="s">
        <v>1037</v>
      </c>
      <c r="D45" s="2"/>
      <c r="E45" s="2"/>
      <c r="F45" s="2"/>
      <c r="G45" s="2"/>
    </row>
    <row r="46" spans="2:7" ht="15.75" thickBot="1" x14ac:dyDescent="0.3">
      <c r="B46" s="2"/>
      <c r="C46" s="2"/>
      <c r="D46" s="2"/>
      <c r="E46" s="2"/>
      <c r="F46" s="2"/>
      <c r="G46" s="2"/>
    </row>
    <row r="47" spans="2:7" x14ac:dyDescent="0.25">
      <c r="B47" s="233" t="s">
        <v>1307</v>
      </c>
      <c r="C47" s="234" t="s">
        <v>1308</v>
      </c>
      <c r="D47" s="234" t="s">
        <v>1309</v>
      </c>
      <c r="E47" s="234" t="s">
        <v>1310</v>
      </c>
      <c r="F47" s="235" t="s">
        <v>1311</v>
      </c>
      <c r="G47" s="2"/>
    </row>
    <row r="48" spans="2:7" ht="15.75" thickBot="1" x14ac:dyDescent="0.3">
      <c r="B48" s="236">
        <v>15</v>
      </c>
      <c r="C48" s="237">
        <v>15</v>
      </c>
      <c r="D48" s="237">
        <v>15</v>
      </c>
      <c r="E48" s="237">
        <v>0</v>
      </c>
      <c r="F48" s="238">
        <v>0</v>
      </c>
      <c r="G48" s="293">
        <f>SUM(B48:F48)</f>
        <v>45</v>
      </c>
    </row>
    <row r="52" spans="2:7" ht="15.75" thickBot="1" x14ac:dyDescent="0.3"/>
    <row r="53" spans="2:7" ht="15.75" thickBot="1" x14ac:dyDescent="0.3">
      <c r="B53" s="3" t="s">
        <v>1091</v>
      </c>
      <c r="C53" s="4" t="s">
        <v>1337</v>
      </c>
      <c r="D53" s="2"/>
      <c r="E53" s="2"/>
      <c r="F53" s="2"/>
      <c r="G53" s="2"/>
    </row>
    <row r="54" spans="2:7" ht="15.75" thickBot="1" x14ac:dyDescent="0.3">
      <c r="B54" s="3" t="s">
        <v>1293</v>
      </c>
      <c r="C54" s="4" t="s">
        <v>39</v>
      </c>
      <c r="D54" s="2"/>
      <c r="E54" s="2"/>
      <c r="F54" s="2"/>
      <c r="G54" s="2"/>
    </row>
    <row r="55" spans="2:7" ht="15.75" thickBot="1" x14ac:dyDescent="0.3">
      <c r="B55" s="2"/>
      <c r="C55" s="2"/>
      <c r="D55" s="2"/>
      <c r="E55" s="2"/>
      <c r="F55" s="2"/>
      <c r="G55" s="2"/>
    </row>
    <row r="56" spans="2:7" x14ac:dyDescent="0.25">
      <c r="B56" s="233" t="s">
        <v>1307</v>
      </c>
      <c r="C56" s="234" t="s">
        <v>1308</v>
      </c>
      <c r="D56" s="234" t="s">
        <v>1309</v>
      </c>
      <c r="E56" s="234" t="s">
        <v>1310</v>
      </c>
      <c r="F56" s="235" t="s">
        <v>1311</v>
      </c>
      <c r="G56" s="2"/>
    </row>
    <row r="57" spans="2:7" ht="15.75" thickBot="1" x14ac:dyDescent="0.3">
      <c r="B57" s="236">
        <v>16.600000000000001</v>
      </c>
      <c r="C57" s="237">
        <v>34.35</v>
      </c>
      <c r="D57" s="237">
        <v>94.35</v>
      </c>
      <c r="E57" s="237">
        <v>304.35000000000002</v>
      </c>
      <c r="F57" s="238">
        <v>304.35000000000002</v>
      </c>
      <c r="G57" s="293">
        <f>SUM(B57:F57)</f>
        <v>754</v>
      </c>
    </row>
    <row r="65" spans="2:12" ht="18.75" x14ac:dyDescent="0.3">
      <c r="B65" s="361" t="s">
        <v>1143</v>
      </c>
      <c r="C65" s="2"/>
    </row>
    <row r="66" spans="2:12" x14ac:dyDescent="0.25">
      <c r="B66" s="1" t="s">
        <v>1177</v>
      </c>
      <c r="C66" s="2"/>
      <c r="E66" s="1" t="s">
        <v>246</v>
      </c>
      <c r="F66" s="2"/>
      <c r="H66" s="1" t="s">
        <v>247</v>
      </c>
      <c r="I66" s="2"/>
    </row>
    <row r="67" spans="2:12" ht="15.75" thickBot="1" x14ac:dyDescent="0.3">
      <c r="B67" s="239" t="s">
        <v>1312</v>
      </c>
      <c r="C67" s="239"/>
      <c r="E67" s="239" t="s">
        <v>1319</v>
      </c>
      <c r="F67" s="239"/>
      <c r="H67" s="239" t="s">
        <v>1325</v>
      </c>
      <c r="I67" s="239"/>
      <c r="K67" s="324" t="s">
        <v>1382</v>
      </c>
    </row>
    <row r="68" spans="2:12" ht="15.75" thickBot="1" x14ac:dyDescent="0.3">
      <c r="B68" s="3" t="s">
        <v>1091</v>
      </c>
      <c r="C68" s="4" t="s">
        <v>1027</v>
      </c>
      <c r="E68" s="3" t="s">
        <v>1091</v>
      </c>
      <c r="F68" s="4" t="s">
        <v>1050</v>
      </c>
      <c r="H68" s="3" t="s">
        <v>1091</v>
      </c>
      <c r="I68" s="4" t="s">
        <v>1057</v>
      </c>
    </row>
    <row r="69" spans="2:12" ht="15.75" thickBot="1" x14ac:dyDescent="0.3">
      <c r="B69" s="3" t="s">
        <v>1029</v>
      </c>
      <c r="C69" s="4" t="s">
        <v>1294</v>
      </c>
      <c r="E69" s="3" t="s">
        <v>1029</v>
      </c>
      <c r="F69" s="4" t="s">
        <v>1294</v>
      </c>
      <c r="H69" s="3" t="s">
        <v>1029</v>
      </c>
      <c r="I69" s="4" t="s">
        <v>1294</v>
      </c>
      <c r="K69" s="3" t="s">
        <v>1091</v>
      </c>
      <c r="L69" s="4" t="s">
        <v>1337</v>
      </c>
    </row>
    <row r="70" spans="2:12" ht="15.75" thickBot="1" x14ac:dyDescent="0.3">
      <c r="B70" s="2"/>
      <c r="C70" s="2"/>
      <c r="E70" s="2"/>
      <c r="F70" s="2"/>
      <c r="H70" s="2"/>
      <c r="I70" s="2"/>
      <c r="K70" s="2"/>
      <c r="L70" s="2"/>
    </row>
    <row r="71" spans="2:12" x14ac:dyDescent="0.25">
      <c r="B71" s="5" t="s">
        <v>1055</v>
      </c>
      <c r="C71" s="2"/>
      <c r="E71" s="5" t="s">
        <v>1055</v>
      </c>
      <c r="F71" s="2"/>
      <c r="H71" s="5" t="s">
        <v>1055</v>
      </c>
      <c r="I71" s="2"/>
      <c r="K71" s="5" t="s">
        <v>1055</v>
      </c>
      <c r="L71" s="2"/>
    </row>
    <row r="72" spans="2:12" ht="15.75" thickBot="1" x14ac:dyDescent="0.3">
      <c r="B72" s="6">
        <v>187</v>
      </c>
      <c r="C72" s="2"/>
      <c r="E72" s="6">
        <v>624</v>
      </c>
      <c r="F72" s="2"/>
      <c r="H72" s="6">
        <v>183</v>
      </c>
      <c r="I72" s="2"/>
      <c r="K72" s="6">
        <v>1979</v>
      </c>
      <c r="L72" s="2"/>
    </row>
    <row r="75" spans="2:12" x14ac:dyDescent="0.25">
      <c r="B75" s="1" t="s">
        <v>1177</v>
      </c>
      <c r="C75" s="2"/>
      <c r="E75" s="1" t="s">
        <v>246</v>
      </c>
      <c r="F75" s="2"/>
      <c r="H75" s="1" t="s">
        <v>247</v>
      </c>
      <c r="I75" s="2"/>
    </row>
    <row r="76" spans="2:12" ht="15.75" thickBot="1" x14ac:dyDescent="0.3">
      <c r="B76" s="239" t="s">
        <v>1314</v>
      </c>
      <c r="C76" s="239"/>
      <c r="E76" s="239" t="s">
        <v>1320</v>
      </c>
      <c r="F76" s="239"/>
      <c r="H76" s="239" t="s">
        <v>1326</v>
      </c>
      <c r="I76" s="239"/>
    </row>
    <row r="77" spans="2:12" ht="15.75" thickBot="1" x14ac:dyDescent="0.3">
      <c r="B77" s="3" t="s">
        <v>1091</v>
      </c>
      <c r="C77" s="4" t="s">
        <v>1027</v>
      </c>
      <c r="E77" s="3" t="s">
        <v>1091</v>
      </c>
      <c r="F77" s="4" t="s">
        <v>1050</v>
      </c>
      <c r="H77" s="3" t="s">
        <v>1091</v>
      </c>
      <c r="I77" s="4" t="s">
        <v>1057</v>
      </c>
      <c r="K77" s="3" t="s">
        <v>1091</v>
      </c>
      <c r="L77" s="4" t="s">
        <v>1337</v>
      </c>
    </row>
    <row r="78" spans="2:12" ht="15.75" thickBot="1" x14ac:dyDescent="0.3">
      <c r="B78" s="3" t="s">
        <v>1029</v>
      </c>
      <c r="C78" s="4" t="s">
        <v>1294</v>
      </c>
      <c r="E78" s="3" t="s">
        <v>1029</v>
      </c>
      <c r="F78" s="4" t="s">
        <v>1294</v>
      </c>
      <c r="H78" s="3" t="s">
        <v>1029</v>
      </c>
      <c r="I78" s="4" t="s">
        <v>1294</v>
      </c>
      <c r="K78" s="3" t="s">
        <v>1046</v>
      </c>
      <c r="L78" s="4" t="s">
        <v>1048</v>
      </c>
    </row>
    <row r="79" spans="2:12" ht="15.75" thickBot="1" x14ac:dyDescent="0.3">
      <c r="B79" s="2"/>
      <c r="C79" s="2"/>
      <c r="E79" s="2"/>
      <c r="F79" s="2"/>
      <c r="H79" s="2"/>
      <c r="I79" s="2"/>
      <c r="K79" s="2"/>
      <c r="L79" s="2"/>
    </row>
    <row r="80" spans="2:12" x14ac:dyDescent="0.25">
      <c r="B80" s="5" t="s">
        <v>1313</v>
      </c>
      <c r="E80" s="5" t="s">
        <v>1313</v>
      </c>
      <c r="H80" s="5" t="s">
        <v>1313</v>
      </c>
      <c r="K80" s="5" t="s">
        <v>1055</v>
      </c>
      <c r="L80" s="2"/>
    </row>
    <row r="81" spans="2:12" ht="15.75" thickBot="1" x14ac:dyDescent="0.3">
      <c r="B81" s="6">
        <v>206</v>
      </c>
      <c r="E81" s="6">
        <v>667</v>
      </c>
      <c r="H81" s="6">
        <v>253</v>
      </c>
      <c r="K81" s="6">
        <v>1037</v>
      </c>
      <c r="L81" s="2"/>
    </row>
    <row r="84" spans="2:12" x14ac:dyDescent="0.25">
      <c r="B84" s="1" t="s">
        <v>1177</v>
      </c>
      <c r="C84" s="2"/>
      <c r="E84" s="1" t="s">
        <v>246</v>
      </c>
      <c r="F84" s="2"/>
      <c r="H84" s="1" t="s">
        <v>247</v>
      </c>
      <c r="I84" s="2"/>
    </row>
    <row r="85" spans="2:12" ht="15.75" thickBot="1" x14ac:dyDescent="0.3">
      <c r="B85" s="239" t="s">
        <v>1315</v>
      </c>
      <c r="C85" s="239"/>
      <c r="E85" s="239" t="s">
        <v>1321</v>
      </c>
      <c r="F85" s="239"/>
      <c r="H85" s="239" t="s">
        <v>1327</v>
      </c>
      <c r="I85" s="239"/>
    </row>
    <row r="86" spans="2:12" ht="15.75" thickBot="1" x14ac:dyDescent="0.3">
      <c r="B86" s="3" t="s">
        <v>1091</v>
      </c>
      <c r="C86" s="4" t="s">
        <v>1027</v>
      </c>
      <c r="E86" s="3" t="s">
        <v>1091</v>
      </c>
      <c r="F86" s="4" t="s">
        <v>1050</v>
      </c>
      <c r="H86" s="3" t="s">
        <v>1091</v>
      </c>
      <c r="I86" s="4" t="s">
        <v>1057</v>
      </c>
      <c r="K86" s="3" t="s">
        <v>1091</v>
      </c>
      <c r="L86" s="4" t="s">
        <v>1337</v>
      </c>
    </row>
    <row r="87" spans="2:12" ht="15.75" thickBot="1" x14ac:dyDescent="0.3">
      <c r="B87" s="3" t="s">
        <v>1029</v>
      </c>
      <c r="C87" s="4" t="s">
        <v>1294</v>
      </c>
      <c r="E87" s="3" t="s">
        <v>1029</v>
      </c>
      <c r="F87" s="4" t="s">
        <v>1294</v>
      </c>
      <c r="H87" s="3" t="s">
        <v>1029</v>
      </c>
      <c r="I87" s="4" t="s">
        <v>1294</v>
      </c>
      <c r="K87" s="3" t="s">
        <v>1046</v>
      </c>
      <c r="L87" s="4" t="s">
        <v>1</v>
      </c>
    </row>
    <row r="88" spans="2:12" ht="15.75" thickBot="1" x14ac:dyDescent="0.3">
      <c r="B88" s="2"/>
      <c r="C88" s="2"/>
      <c r="E88" s="2"/>
      <c r="F88" s="2"/>
      <c r="H88" s="2"/>
      <c r="I88" s="2"/>
      <c r="K88" s="2"/>
      <c r="L88" s="2"/>
    </row>
    <row r="89" spans="2:12" x14ac:dyDescent="0.25">
      <c r="B89" s="5" t="s">
        <v>1055</v>
      </c>
      <c r="C89" s="2"/>
      <c r="E89" s="5" t="s">
        <v>1055</v>
      </c>
      <c r="F89" s="2"/>
      <c r="H89" s="5" t="s">
        <v>1055</v>
      </c>
      <c r="I89" s="2"/>
      <c r="K89" s="5" t="s">
        <v>1055</v>
      </c>
      <c r="L89" s="2"/>
    </row>
    <row r="90" spans="2:12" ht="15.75" thickBot="1" x14ac:dyDescent="0.3">
      <c r="B90" s="6">
        <v>232</v>
      </c>
      <c r="C90" s="2"/>
      <c r="E90" s="6">
        <v>85</v>
      </c>
      <c r="F90" s="2"/>
      <c r="H90" s="6">
        <v>131</v>
      </c>
      <c r="I90" s="2"/>
      <c r="K90" s="6">
        <v>942</v>
      </c>
      <c r="L90" s="2"/>
    </row>
    <row r="93" spans="2:12" x14ac:dyDescent="0.25">
      <c r="B93" s="1" t="s">
        <v>1177</v>
      </c>
      <c r="C93" s="2"/>
      <c r="E93" s="1" t="s">
        <v>246</v>
      </c>
      <c r="F93" s="2"/>
      <c r="H93" s="1" t="s">
        <v>247</v>
      </c>
      <c r="I93" s="2"/>
    </row>
    <row r="94" spans="2:12" ht="15.75" thickBot="1" x14ac:dyDescent="0.3">
      <c r="B94" s="239" t="s">
        <v>1316</v>
      </c>
      <c r="C94" s="239"/>
      <c r="E94" s="239" t="s">
        <v>1322</v>
      </c>
      <c r="F94" s="239"/>
      <c r="H94" s="239" t="s">
        <v>1328</v>
      </c>
      <c r="I94" s="239"/>
    </row>
    <row r="95" spans="2:12" ht="15.75" thickBot="1" x14ac:dyDescent="0.3">
      <c r="B95" s="3" t="s">
        <v>1091</v>
      </c>
      <c r="C95" s="4" t="s">
        <v>1027</v>
      </c>
      <c r="E95" s="3" t="s">
        <v>1091</v>
      </c>
      <c r="F95" s="4" t="s">
        <v>1050</v>
      </c>
      <c r="H95" s="3" t="s">
        <v>1091</v>
      </c>
      <c r="I95" s="4" t="s">
        <v>1057</v>
      </c>
    </row>
    <row r="96" spans="2:12" ht="15.75" thickBot="1" x14ac:dyDescent="0.3">
      <c r="B96" s="3" t="s">
        <v>1029</v>
      </c>
      <c r="C96" s="4" t="s">
        <v>1294</v>
      </c>
      <c r="E96" s="3" t="s">
        <v>1029</v>
      </c>
      <c r="F96" s="4" t="s">
        <v>1294</v>
      </c>
      <c r="H96" s="3" t="s">
        <v>1029</v>
      </c>
      <c r="I96" s="4" t="s">
        <v>1294</v>
      </c>
    </row>
    <row r="97" spans="2:9" ht="15.75" thickBot="1" x14ac:dyDescent="0.3">
      <c r="B97" s="2"/>
      <c r="C97" s="2"/>
      <c r="E97" s="2"/>
      <c r="F97" s="2"/>
      <c r="H97" s="2"/>
      <c r="I97" s="2"/>
    </row>
    <row r="98" spans="2:9" x14ac:dyDescent="0.25">
      <c r="B98" s="5" t="s">
        <v>1313</v>
      </c>
      <c r="E98" s="5" t="s">
        <v>1313</v>
      </c>
      <c r="H98" s="5" t="s">
        <v>1313</v>
      </c>
    </row>
    <row r="99" spans="2:9" ht="15.75" thickBot="1" x14ac:dyDescent="0.3">
      <c r="B99" s="6">
        <v>290</v>
      </c>
      <c r="E99" s="6">
        <v>125</v>
      </c>
      <c r="H99" s="6">
        <v>168</v>
      </c>
    </row>
    <row r="102" spans="2:9" x14ac:dyDescent="0.25">
      <c r="B102" s="1" t="s">
        <v>1177</v>
      </c>
      <c r="C102" s="2"/>
      <c r="E102" s="1" t="s">
        <v>246</v>
      </c>
      <c r="F102" s="2"/>
      <c r="H102" s="1" t="s">
        <v>247</v>
      </c>
      <c r="I102" s="2"/>
    </row>
    <row r="103" spans="2:9" x14ac:dyDescent="0.25">
      <c r="B103" s="239" t="s">
        <v>1317</v>
      </c>
      <c r="C103" s="239"/>
      <c r="E103" s="239" t="s">
        <v>1323</v>
      </c>
      <c r="F103" s="239"/>
      <c r="H103" s="239" t="s">
        <v>1329</v>
      </c>
      <c r="I103" s="239"/>
    </row>
    <row r="104" spans="2:9" ht="15.75" thickBot="1" x14ac:dyDescent="0.3"/>
    <row r="105" spans="2:9" ht="15.75" thickBot="1" x14ac:dyDescent="0.3">
      <c r="B105" s="3" t="s">
        <v>1091</v>
      </c>
      <c r="C105" s="4" t="s">
        <v>1027</v>
      </c>
      <c r="E105" s="3" t="s">
        <v>1091</v>
      </c>
      <c r="F105" s="4" t="s">
        <v>1050</v>
      </c>
      <c r="H105" s="3" t="s">
        <v>1091</v>
      </c>
      <c r="I105" s="4" t="s">
        <v>1057</v>
      </c>
    </row>
    <row r="106" spans="2:9" ht="15.75" thickBot="1" x14ac:dyDescent="0.3">
      <c r="B106" s="2"/>
      <c r="C106" s="2"/>
      <c r="E106" s="2"/>
      <c r="F106" s="2"/>
      <c r="H106" s="2"/>
      <c r="I106" s="2"/>
    </row>
    <row r="107" spans="2:9" x14ac:dyDescent="0.25">
      <c r="B107" s="5" t="s">
        <v>1055</v>
      </c>
      <c r="C107" s="2"/>
      <c r="E107" s="5" t="s">
        <v>1055</v>
      </c>
      <c r="F107" s="2"/>
      <c r="H107" s="5" t="s">
        <v>1055</v>
      </c>
      <c r="I107" s="2"/>
    </row>
    <row r="108" spans="2:9" ht="15.75" thickBot="1" x14ac:dyDescent="0.3">
      <c r="B108" s="6">
        <v>419</v>
      </c>
      <c r="C108" s="2"/>
      <c r="E108" s="6">
        <v>709</v>
      </c>
      <c r="F108" s="2"/>
      <c r="H108" s="6">
        <v>314</v>
      </c>
      <c r="I108" s="2"/>
    </row>
    <row r="111" spans="2:9" x14ac:dyDescent="0.25">
      <c r="B111" s="1" t="s">
        <v>1177</v>
      </c>
      <c r="C111" s="2"/>
      <c r="E111" s="1" t="s">
        <v>246</v>
      </c>
      <c r="F111" s="2"/>
      <c r="H111" s="1" t="s">
        <v>247</v>
      </c>
      <c r="I111" s="2"/>
    </row>
    <row r="112" spans="2:9" x14ac:dyDescent="0.25">
      <c r="B112" s="239" t="s">
        <v>1318</v>
      </c>
      <c r="C112" s="239"/>
      <c r="E112" s="239" t="s">
        <v>1324</v>
      </c>
      <c r="F112" s="239"/>
      <c r="H112" s="239" t="s">
        <v>1330</v>
      </c>
      <c r="I112" s="239"/>
    </row>
    <row r="113" spans="2:9" ht="15.75" thickBot="1" x14ac:dyDescent="0.3"/>
    <row r="114" spans="2:9" ht="15.75" thickBot="1" x14ac:dyDescent="0.3">
      <c r="B114" s="3" t="s">
        <v>1091</v>
      </c>
      <c r="C114" s="4" t="s">
        <v>1027</v>
      </c>
      <c r="E114" s="3" t="s">
        <v>1091</v>
      </c>
      <c r="F114" s="4" t="s">
        <v>1050</v>
      </c>
      <c r="H114" s="3" t="s">
        <v>1091</v>
      </c>
      <c r="I114" s="4" t="s">
        <v>1057</v>
      </c>
    </row>
    <row r="115" spans="2:9" ht="15.75" thickBot="1" x14ac:dyDescent="0.3">
      <c r="B115" s="2"/>
      <c r="C115" s="2"/>
      <c r="E115" s="2"/>
      <c r="F115" s="2"/>
      <c r="H115" s="2"/>
      <c r="I115" s="2"/>
    </row>
    <row r="116" spans="2:9" x14ac:dyDescent="0.25">
      <c r="B116" s="5" t="s">
        <v>1313</v>
      </c>
      <c r="E116" s="5" t="s">
        <v>1313</v>
      </c>
      <c r="H116" s="5" t="s">
        <v>1313</v>
      </c>
    </row>
    <row r="117" spans="2:9" ht="15.75" thickBot="1" x14ac:dyDescent="0.3">
      <c r="B117" s="6">
        <v>496</v>
      </c>
      <c r="E117" s="6">
        <v>792</v>
      </c>
      <c r="H117" s="6">
        <v>421</v>
      </c>
    </row>
    <row r="123" spans="2:9" x14ac:dyDescent="0.25">
      <c r="B123" s="1" t="s">
        <v>1384</v>
      </c>
      <c r="C123" s="2"/>
      <c r="D123" s="2"/>
      <c r="E123" s="1"/>
      <c r="F123" s="2"/>
      <c r="G123" s="2"/>
      <c r="H123" s="2"/>
      <c r="I123" s="2"/>
    </row>
    <row r="124" spans="2:9" x14ac:dyDescent="0.25">
      <c r="B124" s="1" t="s">
        <v>1385</v>
      </c>
      <c r="C124" s="2"/>
      <c r="D124" s="2"/>
      <c r="E124" s="1"/>
      <c r="F124" s="2"/>
      <c r="G124" s="2"/>
      <c r="H124" s="1"/>
      <c r="I124" s="2"/>
    </row>
    <row r="125" spans="2:9" ht="15.75" thickBot="1" x14ac:dyDescent="0.3">
      <c r="B125" s="239" t="s">
        <v>1386</v>
      </c>
      <c r="C125" s="239"/>
      <c r="D125" s="2"/>
      <c r="E125" s="239" t="s">
        <v>1387</v>
      </c>
      <c r="F125" s="239"/>
      <c r="G125" s="2"/>
      <c r="H125" s="239" t="s">
        <v>1388</v>
      </c>
      <c r="I125" s="239"/>
    </row>
    <row r="126" spans="2:9" ht="15.75" thickBot="1" x14ac:dyDescent="0.3">
      <c r="B126" s="3" t="s">
        <v>1091</v>
      </c>
      <c r="C126" s="4" t="s">
        <v>1027</v>
      </c>
      <c r="D126" s="2"/>
      <c r="E126" s="3" t="s">
        <v>1091</v>
      </c>
      <c r="F126" s="4" t="s">
        <v>1050</v>
      </c>
      <c r="G126" s="2"/>
      <c r="H126" s="3" t="s">
        <v>1091</v>
      </c>
      <c r="I126" s="4" t="s">
        <v>1057</v>
      </c>
    </row>
    <row r="127" spans="2:9" ht="15.75" thickBot="1" x14ac:dyDescent="0.3">
      <c r="B127" s="3" t="s">
        <v>1046</v>
      </c>
      <c r="C127" s="4" t="s">
        <v>1049</v>
      </c>
      <c r="D127" s="2"/>
      <c r="E127" s="3" t="s">
        <v>1046</v>
      </c>
      <c r="F127" s="4" t="s">
        <v>1049</v>
      </c>
      <c r="G127" s="2"/>
      <c r="H127" s="3" t="s">
        <v>1046</v>
      </c>
      <c r="I127" s="4" t="s">
        <v>1049</v>
      </c>
    </row>
    <row r="128" spans="2:9" ht="15.75" thickBot="1" x14ac:dyDescent="0.3">
      <c r="B128" s="2"/>
      <c r="C128" s="2"/>
      <c r="D128" s="2"/>
      <c r="E128" s="2"/>
      <c r="F128" s="2"/>
      <c r="G128" s="2"/>
      <c r="H128" s="2"/>
      <c r="I128" s="2"/>
    </row>
    <row r="129" spans="2:9" x14ac:dyDescent="0.25">
      <c r="B129" s="5" t="s">
        <v>1055</v>
      </c>
      <c r="C129" s="2"/>
      <c r="D129" s="2"/>
      <c r="E129" s="5" t="s">
        <v>1055</v>
      </c>
      <c r="F129" s="2"/>
      <c r="G129" s="2"/>
      <c r="H129" s="5" t="s">
        <v>1055</v>
      </c>
      <c r="I129" s="2"/>
    </row>
    <row r="130" spans="2:9" ht="15.75" thickBot="1" x14ac:dyDescent="0.3">
      <c r="B130" s="6">
        <v>34</v>
      </c>
      <c r="C130" s="2"/>
      <c r="D130" s="2"/>
      <c r="E130" s="6">
        <v>8</v>
      </c>
      <c r="F130" s="2"/>
      <c r="G130" s="2"/>
      <c r="H130" s="6">
        <v>27</v>
      </c>
      <c r="I130" s="2"/>
    </row>
    <row r="131" spans="2:9" x14ac:dyDescent="0.25">
      <c r="B131" s="2"/>
      <c r="C131" s="2"/>
      <c r="D131" s="2"/>
      <c r="E131" s="2"/>
      <c r="F131" s="2"/>
      <c r="G131" s="2"/>
      <c r="H131" s="2"/>
      <c r="I131" s="2"/>
    </row>
    <row r="132" spans="2:9" x14ac:dyDescent="0.25">
      <c r="B132" s="2"/>
      <c r="C132" s="2"/>
      <c r="D132" s="2"/>
      <c r="E132" s="2"/>
      <c r="F132" s="2"/>
      <c r="G132" s="2"/>
      <c r="H132" s="2"/>
      <c r="I132" s="2"/>
    </row>
    <row r="133" spans="2:9" ht="15.75" thickBot="1" x14ac:dyDescent="0.3">
      <c r="B133" s="239" t="s">
        <v>1389</v>
      </c>
      <c r="C133" s="239"/>
      <c r="D133" s="2"/>
      <c r="E133" s="239" t="s">
        <v>1390</v>
      </c>
      <c r="F133" s="239"/>
      <c r="G133" s="2"/>
      <c r="H133" s="239" t="s">
        <v>1391</v>
      </c>
      <c r="I133" s="239"/>
    </row>
    <row r="134" spans="2:9" ht="15.75" thickBot="1" x14ac:dyDescent="0.3">
      <c r="B134" s="3" t="s">
        <v>1091</v>
      </c>
      <c r="C134" s="4" t="s">
        <v>1027</v>
      </c>
      <c r="D134" s="2"/>
      <c r="E134" s="3" t="s">
        <v>1091</v>
      </c>
      <c r="F134" s="4" t="s">
        <v>1050</v>
      </c>
      <c r="G134" s="2"/>
      <c r="H134" s="3" t="s">
        <v>1091</v>
      </c>
      <c r="I134" s="4" t="s">
        <v>1057</v>
      </c>
    </row>
    <row r="135" spans="2:9" ht="15.75" thickBot="1" x14ac:dyDescent="0.3">
      <c r="B135" s="3" t="s">
        <v>1046</v>
      </c>
      <c r="C135" s="4" t="s">
        <v>1047</v>
      </c>
      <c r="D135" s="2"/>
      <c r="E135" s="3" t="s">
        <v>1046</v>
      </c>
      <c r="F135" s="4" t="s">
        <v>1047</v>
      </c>
      <c r="G135" s="2"/>
      <c r="H135" s="3" t="s">
        <v>1046</v>
      </c>
      <c r="I135" s="4" t="s">
        <v>1294</v>
      </c>
    </row>
    <row r="136" spans="2:9" ht="15.75" thickBot="1" x14ac:dyDescent="0.3">
      <c r="B136" s="2"/>
      <c r="C136" s="2"/>
      <c r="D136" s="2"/>
      <c r="E136" s="2"/>
      <c r="F136" s="2"/>
      <c r="G136" s="2"/>
      <c r="H136" s="2"/>
      <c r="I136" s="2"/>
    </row>
    <row r="137" spans="2:9" x14ac:dyDescent="0.25">
      <c r="B137" s="5" t="s">
        <v>1055</v>
      </c>
      <c r="C137" s="2"/>
      <c r="D137" s="2"/>
      <c r="E137" s="5" t="s">
        <v>1055</v>
      </c>
      <c r="F137" s="2"/>
      <c r="G137" s="2"/>
      <c r="H137" s="5" t="s">
        <v>1055</v>
      </c>
      <c r="I137" s="2"/>
    </row>
    <row r="138" spans="2:9" ht="15.75" thickBot="1" x14ac:dyDescent="0.3">
      <c r="B138" s="6">
        <v>36</v>
      </c>
      <c r="C138" s="2"/>
      <c r="D138" s="2"/>
      <c r="E138" s="6">
        <v>61</v>
      </c>
      <c r="F138" s="2"/>
      <c r="G138" s="2"/>
      <c r="H138" s="6">
        <v>-6</v>
      </c>
      <c r="I138" s="2"/>
    </row>
    <row r="139" spans="2:9" x14ac:dyDescent="0.25">
      <c r="B139" s="2"/>
      <c r="C139" s="2"/>
      <c r="D139" s="2"/>
      <c r="E139" s="2"/>
      <c r="F139" s="2"/>
      <c r="G139" s="2"/>
      <c r="H139" s="2"/>
      <c r="I139" s="2"/>
    </row>
    <row r="140" spans="2:9" x14ac:dyDescent="0.25">
      <c r="B140" s="2"/>
      <c r="C140" s="2"/>
      <c r="D140" s="2"/>
      <c r="E140" s="2"/>
      <c r="F140" s="2"/>
      <c r="G140" s="2"/>
      <c r="H140" s="2"/>
      <c r="I140" s="2"/>
    </row>
    <row r="141" spans="2:9" ht="15.75" thickBot="1" x14ac:dyDescent="0.3">
      <c r="B141" s="239" t="s">
        <v>1392</v>
      </c>
      <c r="C141" s="239"/>
      <c r="D141" s="2"/>
      <c r="E141" s="239" t="s">
        <v>1393</v>
      </c>
      <c r="F141" s="239"/>
      <c r="G141" s="2"/>
      <c r="H141" s="239" t="s">
        <v>1394</v>
      </c>
      <c r="I141" s="239"/>
    </row>
    <row r="142" spans="2:9" ht="15.75" thickBot="1" x14ac:dyDescent="0.3">
      <c r="B142" s="3" t="s">
        <v>1091</v>
      </c>
      <c r="C142" s="4" t="s">
        <v>1027</v>
      </c>
      <c r="D142" s="2"/>
      <c r="E142" s="3" t="s">
        <v>1091</v>
      </c>
      <c r="F142" s="4" t="s">
        <v>1050</v>
      </c>
      <c r="G142" s="2"/>
      <c r="H142" s="3" t="s">
        <v>1091</v>
      </c>
      <c r="I142" s="4" t="s">
        <v>1057</v>
      </c>
    </row>
    <row r="143" spans="2:9" ht="15.75" thickBot="1" x14ac:dyDescent="0.3">
      <c r="B143" s="3" t="s">
        <v>1046</v>
      </c>
      <c r="C143" s="4" t="s">
        <v>1048</v>
      </c>
      <c r="D143" s="2"/>
      <c r="E143" s="3" t="s">
        <v>1046</v>
      </c>
      <c r="F143" s="4" t="s">
        <v>1048</v>
      </c>
      <c r="G143" s="2"/>
      <c r="H143" s="3" t="s">
        <v>1046</v>
      </c>
      <c r="I143" s="4" t="s">
        <v>1048</v>
      </c>
    </row>
    <row r="144" spans="2:9" ht="15.75" thickBot="1" x14ac:dyDescent="0.3">
      <c r="B144" s="2"/>
      <c r="C144" s="2"/>
      <c r="D144" s="2"/>
      <c r="E144" s="2"/>
      <c r="F144" s="2"/>
      <c r="G144" s="2"/>
      <c r="H144" s="2"/>
      <c r="I144" s="2"/>
    </row>
    <row r="145" spans="2:9" x14ac:dyDescent="0.25">
      <c r="B145" s="5" t="s">
        <v>1055</v>
      </c>
      <c r="C145" s="2"/>
      <c r="D145" s="2"/>
      <c r="E145" s="5" t="s">
        <v>1055</v>
      </c>
      <c r="F145" s="2"/>
      <c r="G145" s="2"/>
      <c r="H145" s="5" t="s">
        <v>1055</v>
      </c>
      <c r="I145" s="2"/>
    </row>
    <row r="146" spans="2:9" ht="15.75" thickBot="1" x14ac:dyDescent="0.3">
      <c r="B146" s="6">
        <v>349</v>
      </c>
      <c r="C146" s="2"/>
      <c r="D146" s="2"/>
      <c r="E146" s="6">
        <v>640</v>
      </c>
      <c r="F146" s="2"/>
      <c r="G146" s="2"/>
      <c r="H146" s="6">
        <v>293</v>
      </c>
      <c r="I146" s="2"/>
    </row>
    <row r="147" spans="2:9" x14ac:dyDescent="0.25">
      <c r="B147" s="2"/>
      <c r="C147" s="2"/>
      <c r="D147" s="2"/>
      <c r="E147" s="2"/>
      <c r="F147" s="2"/>
      <c r="G147" s="2"/>
      <c r="H147" s="2"/>
      <c r="I147" s="2"/>
    </row>
    <row r="148" spans="2:9" x14ac:dyDescent="0.25">
      <c r="B148" s="2"/>
      <c r="C148" s="2"/>
      <c r="D148" s="2"/>
      <c r="E148" s="2"/>
      <c r="F148" s="2"/>
      <c r="G148" s="2"/>
      <c r="H148" s="2"/>
      <c r="I148" s="2"/>
    </row>
    <row r="149" spans="2:9" x14ac:dyDescent="0.25">
      <c r="B149" s="2"/>
      <c r="C149" s="2"/>
      <c r="D149" s="2"/>
      <c r="E149" s="2"/>
      <c r="F149" s="2"/>
      <c r="G149" s="2"/>
      <c r="H149" s="2"/>
      <c r="I149" s="2"/>
    </row>
    <row r="150" spans="2:9" x14ac:dyDescent="0.25">
      <c r="B150" s="1" t="s">
        <v>1395</v>
      </c>
      <c r="C150" s="2"/>
      <c r="D150" s="2"/>
      <c r="E150" s="1"/>
      <c r="F150" s="2"/>
      <c r="G150" s="2"/>
      <c r="H150" s="1"/>
      <c r="I150" s="2"/>
    </row>
    <row r="151" spans="2:9" ht="15.75" thickBot="1" x14ac:dyDescent="0.3">
      <c r="B151" s="239" t="s">
        <v>1396</v>
      </c>
      <c r="C151" s="239"/>
      <c r="D151" s="2"/>
      <c r="E151" s="239" t="s">
        <v>1387</v>
      </c>
      <c r="F151" s="239"/>
      <c r="G151" s="2"/>
      <c r="H151" s="239" t="s">
        <v>1388</v>
      </c>
      <c r="I151" s="239"/>
    </row>
    <row r="152" spans="2:9" ht="15.75" thickBot="1" x14ac:dyDescent="0.3">
      <c r="B152" s="3" t="s">
        <v>1091</v>
      </c>
      <c r="C152" s="4" t="s">
        <v>1027</v>
      </c>
      <c r="D152" s="2"/>
      <c r="E152" s="3" t="s">
        <v>1091</v>
      </c>
      <c r="F152" s="4" t="s">
        <v>1050</v>
      </c>
      <c r="G152" s="2"/>
      <c r="H152" s="3" t="s">
        <v>1091</v>
      </c>
      <c r="I152" s="4" t="s">
        <v>1057</v>
      </c>
    </row>
    <row r="153" spans="2:9" ht="15.75" thickBot="1" x14ac:dyDescent="0.3">
      <c r="B153" s="3" t="s">
        <v>1046</v>
      </c>
      <c r="C153" s="4" t="s">
        <v>1049</v>
      </c>
      <c r="D153" s="2"/>
      <c r="E153" s="3" t="s">
        <v>1046</v>
      </c>
      <c r="F153" s="4" t="s">
        <v>1049</v>
      </c>
      <c r="G153" s="2"/>
      <c r="H153" s="3" t="s">
        <v>1046</v>
      </c>
      <c r="I153" s="4" t="s">
        <v>1049</v>
      </c>
    </row>
    <row r="154" spans="2:9" ht="15.75" thickBot="1" x14ac:dyDescent="0.3">
      <c r="B154" s="2"/>
      <c r="C154" s="2"/>
      <c r="D154" s="2"/>
      <c r="E154" s="2"/>
      <c r="F154" s="2"/>
      <c r="G154" s="2"/>
      <c r="H154" s="2"/>
      <c r="I154" s="2"/>
    </row>
    <row r="155" spans="2:9" x14ac:dyDescent="0.25">
      <c r="B155" s="5" t="s">
        <v>1313</v>
      </c>
      <c r="C155" s="2"/>
      <c r="D155" s="2"/>
      <c r="E155" s="5" t="s">
        <v>1313</v>
      </c>
      <c r="F155" s="2"/>
      <c r="G155" s="2"/>
      <c r="H155" s="5" t="s">
        <v>1313</v>
      </c>
      <c r="I155" s="2"/>
    </row>
    <row r="156" spans="2:9" ht="15.75" thickBot="1" x14ac:dyDescent="0.3">
      <c r="B156" s="6">
        <v>34</v>
      </c>
      <c r="C156" s="2"/>
      <c r="D156" s="2"/>
      <c r="E156" s="6">
        <v>8</v>
      </c>
      <c r="F156" s="2"/>
      <c r="G156" s="2"/>
      <c r="H156" s="6">
        <v>27</v>
      </c>
      <c r="I156" s="2"/>
    </row>
    <row r="157" spans="2:9" x14ac:dyDescent="0.25">
      <c r="B157" s="2"/>
      <c r="C157" s="2"/>
      <c r="D157" s="2"/>
      <c r="E157" s="2"/>
      <c r="F157" s="2"/>
      <c r="G157" s="2"/>
      <c r="H157" s="2"/>
      <c r="I157" s="2"/>
    </row>
    <row r="158" spans="2:9" x14ac:dyDescent="0.25">
      <c r="B158" s="2"/>
      <c r="C158" s="2"/>
      <c r="D158" s="2"/>
      <c r="E158" s="2"/>
      <c r="F158" s="2"/>
      <c r="G158" s="2"/>
      <c r="H158" s="2"/>
      <c r="I158" s="2"/>
    </row>
    <row r="159" spans="2:9" ht="15.75" thickBot="1" x14ac:dyDescent="0.3">
      <c r="B159" s="239" t="s">
        <v>1397</v>
      </c>
      <c r="C159" s="239"/>
      <c r="D159" s="2"/>
      <c r="E159" s="239" t="s">
        <v>1390</v>
      </c>
      <c r="F159" s="239"/>
      <c r="G159" s="2"/>
      <c r="H159" s="239" t="s">
        <v>1391</v>
      </c>
      <c r="I159" s="239"/>
    </row>
    <row r="160" spans="2:9" ht="15.75" thickBot="1" x14ac:dyDescent="0.3">
      <c r="B160" s="3" t="s">
        <v>1091</v>
      </c>
      <c r="C160" s="4" t="s">
        <v>1027</v>
      </c>
      <c r="D160" s="2"/>
      <c r="E160" s="3" t="s">
        <v>1091</v>
      </c>
      <c r="F160" s="4" t="s">
        <v>1050</v>
      </c>
      <c r="G160" s="2"/>
      <c r="H160" s="3" t="s">
        <v>1091</v>
      </c>
      <c r="I160" s="4" t="s">
        <v>1057</v>
      </c>
    </row>
    <row r="161" spans="2:9" ht="15.75" thickBot="1" x14ac:dyDescent="0.3">
      <c r="B161" s="3" t="s">
        <v>1046</v>
      </c>
      <c r="C161" s="4" t="s">
        <v>1047</v>
      </c>
      <c r="D161" s="2"/>
      <c r="E161" s="3" t="s">
        <v>1046</v>
      </c>
      <c r="F161" s="4" t="s">
        <v>1047</v>
      </c>
      <c r="G161" s="2"/>
      <c r="H161" s="3" t="s">
        <v>1046</v>
      </c>
      <c r="I161" s="4" t="s">
        <v>1047</v>
      </c>
    </row>
    <row r="162" spans="2:9" ht="15.75" thickBot="1" x14ac:dyDescent="0.3">
      <c r="B162" s="2"/>
      <c r="C162" s="2"/>
      <c r="D162" s="2"/>
      <c r="E162" s="2"/>
      <c r="F162" s="2"/>
      <c r="G162" s="2"/>
      <c r="H162" s="2"/>
      <c r="I162" s="2"/>
    </row>
    <row r="163" spans="2:9" x14ac:dyDescent="0.25">
      <c r="B163" s="5" t="s">
        <v>1313</v>
      </c>
      <c r="C163" s="2"/>
      <c r="D163" s="2"/>
      <c r="E163" s="5" t="s">
        <v>1313</v>
      </c>
      <c r="F163" s="2"/>
      <c r="G163" s="2"/>
      <c r="H163" s="5" t="s">
        <v>1313</v>
      </c>
      <c r="I163" s="2"/>
    </row>
    <row r="164" spans="2:9" ht="15.75" thickBot="1" x14ac:dyDescent="0.3">
      <c r="B164" s="6">
        <v>36</v>
      </c>
      <c r="C164" s="2"/>
      <c r="D164" s="2"/>
      <c r="E164" s="6">
        <v>61</v>
      </c>
      <c r="F164" s="2"/>
      <c r="G164" s="2"/>
      <c r="H164" s="6">
        <v>24</v>
      </c>
      <c r="I164" s="2"/>
    </row>
    <row r="165" spans="2:9" x14ac:dyDescent="0.25">
      <c r="B165" s="2"/>
      <c r="C165" s="2"/>
      <c r="D165" s="2"/>
      <c r="E165" s="2"/>
      <c r="F165" s="2"/>
      <c r="G165" s="2"/>
      <c r="H165" s="2"/>
      <c r="I165" s="2"/>
    </row>
    <row r="166" spans="2:9" x14ac:dyDescent="0.25">
      <c r="B166" s="2"/>
      <c r="C166" s="2"/>
      <c r="D166" s="2"/>
      <c r="E166" s="2"/>
      <c r="F166" s="2"/>
      <c r="G166" s="2"/>
      <c r="H166" s="2"/>
      <c r="I166" s="2"/>
    </row>
    <row r="167" spans="2:9" ht="15.75" thickBot="1" x14ac:dyDescent="0.3">
      <c r="B167" s="239" t="s">
        <v>1398</v>
      </c>
      <c r="C167" s="239"/>
      <c r="D167" s="2"/>
      <c r="E167" s="239" t="s">
        <v>1393</v>
      </c>
      <c r="F167" s="239"/>
      <c r="G167" s="2"/>
      <c r="H167" s="239" t="s">
        <v>1394</v>
      </c>
      <c r="I167" s="239"/>
    </row>
    <row r="168" spans="2:9" ht="15.75" thickBot="1" x14ac:dyDescent="0.3">
      <c r="B168" s="3" t="s">
        <v>1091</v>
      </c>
      <c r="C168" s="4" t="s">
        <v>1027</v>
      </c>
      <c r="D168" s="2"/>
      <c r="E168" s="3" t="s">
        <v>1091</v>
      </c>
      <c r="F168" s="4" t="s">
        <v>1050</v>
      </c>
      <c r="G168" s="2"/>
      <c r="H168" s="3" t="s">
        <v>1091</v>
      </c>
      <c r="I168" s="4" t="s">
        <v>1057</v>
      </c>
    </row>
    <row r="169" spans="2:9" ht="15.75" thickBot="1" x14ac:dyDescent="0.3">
      <c r="B169" s="3" t="s">
        <v>1046</v>
      </c>
      <c r="C169" s="4" t="s">
        <v>1048</v>
      </c>
      <c r="D169" s="2"/>
      <c r="E169" s="3" t="s">
        <v>1046</v>
      </c>
      <c r="F169" s="4" t="s">
        <v>1048</v>
      </c>
      <c r="G169" s="2"/>
      <c r="H169" s="3" t="s">
        <v>1046</v>
      </c>
      <c r="I169" s="4" t="s">
        <v>1048</v>
      </c>
    </row>
    <row r="170" spans="2:9" ht="15.75" thickBot="1" x14ac:dyDescent="0.3">
      <c r="B170" s="2"/>
      <c r="C170" s="2"/>
      <c r="D170" s="2"/>
      <c r="E170" s="2"/>
      <c r="F170" s="2"/>
      <c r="G170" s="2"/>
      <c r="H170" s="2"/>
      <c r="I170" s="2"/>
    </row>
    <row r="171" spans="2:9" x14ac:dyDescent="0.25">
      <c r="B171" s="5" t="s">
        <v>1313</v>
      </c>
      <c r="C171" s="2"/>
      <c r="D171" s="2"/>
      <c r="E171" s="5" t="s">
        <v>1313</v>
      </c>
      <c r="F171" s="2"/>
      <c r="G171" s="2"/>
      <c r="H171" s="5" t="s">
        <v>1313</v>
      </c>
      <c r="I171" s="2"/>
    </row>
    <row r="172" spans="2:9" ht="15.75" thickBot="1" x14ac:dyDescent="0.3">
      <c r="B172" s="6">
        <v>426</v>
      </c>
      <c r="C172" s="2"/>
      <c r="D172" s="2"/>
      <c r="E172" s="6">
        <v>722</v>
      </c>
      <c r="F172" s="2"/>
      <c r="G172" s="2"/>
      <c r="H172" s="6">
        <v>370</v>
      </c>
      <c r="I172" s="2"/>
    </row>
    <row r="180" spans="2:12" x14ac:dyDescent="0.25">
      <c r="B180" s="1" t="s">
        <v>1158</v>
      </c>
      <c r="C180" s="2"/>
      <c r="D180" s="2"/>
      <c r="E180" s="1"/>
      <c r="F180" s="2"/>
      <c r="G180" s="2"/>
      <c r="H180" s="2"/>
      <c r="I180" s="2"/>
      <c r="J180" s="2"/>
      <c r="K180" s="2"/>
      <c r="L180" s="2"/>
    </row>
    <row r="181" spans="2:12" ht="15.75" thickBot="1" x14ac:dyDescent="0.3">
      <c r="B181" s="1" t="s">
        <v>1400</v>
      </c>
      <c r="C181" s="2"/>
      <c r="D181" s="2"/>
      <c r="E181" s="1" t="s">
        <v>1401</v>
      </c>
      <c r="F181" s="2"/>
      <c r="G181" s="2"/>
      <c r="H181" s="1" t="s">
        <v>1402</v>
      </c>
      <c r="I181" s="2"/>
      <c r="J181" s="2"/>
      <c r="K181" s="2" t="s">
        <v>1382</v>
      </c>
      <c r="L181" s="2"/>
    </row>
    <row r="182" spans="2:12" ht="15.75" thickBot="1" x14ac:dyDescent="0.3">
      <c r="B182" s="3" t="s">
        <v>1091</v>
      </c>
      <c r="C182" s="4" t="s">
        <v>1027</v>
      </c>
      <c r="D182" s="2"/>
      <c r="E182" s="3" t="s">
        <v>1091</v>
      </c>
      <c r="F182" s="4" t="s">
        <v>1050</v>
      </c>
      <c r="G182" s="2"/>
      <c r="H182" s="3" t="s">
        <v>1091</v>
      </c>
      <c r="I182" s="4" t="s">
        <v>1057</v>
      </c>
      <c r="J182" s="2"/>
      <c r="K182" s="2"/>
      <c r="L182" s="2"/>
    </row>
    <row r="183" spans="2:12" ht="15.75" thickBot="1" x14ac:dyDescent="0.3">
      <c r="B183" s="3" t="s">
        <v>1029</v>
      </c>
      <c r="C183" s="4" t="s">
        <v>1294</v>
      </c>
      <c r="D183" s="2"/>
      <c r="E183" s="3" t="s">
        <v>1029</v>
      </c>
      <c r="F183" s="4" t="s">
        <v>1294</v>
      </c>
      <c r="G183" s="2"/>
      <c r="H183" s="3" t="s">
        <v>1029</v>
      </c>
      <c r="I183" s="4" t="s">
        <v>1294</v>
      </c>
      <c r="J183" s="2"/>
      <c r="K183" s="3" t="s">
        <v>1091</v>
      </c>
      <c r="L183" s="4" t="s">
        <v>1337</v>
      </c>
    </row>
    <row r="184" spans="2:12" ht="15.75" thickBot="1" x14ac:dyDescent="0.3">
      <c r="B184" s="3" t="s">
        <v>1046</v>
      </c>
      <c r="C184" s="4" t="s">
        <v>1048</v>
      </c>
      <c r="D184" s="2"/>
      <c r="E184" s="3" t="s">
        <v>1046</v>
      </c>
      <c r="F184" s="4" t="s">
        <v>1048</v>
      </c>
      <c r="G184" s="2"/>
      <c r="H184" s="3" t="s">
        <v>1046</v>
      </c>
      <c r="I184" s="4" t="s">
        <v>1048</v>
      </c>
      <c r="J184" s="2"/>
      <c r="K184" s="2"/>
      <c r="L184" s="2"/>
    </row>
    <row r="185" spans="2:12" ht="15.75" thickBot="1" x14ac:dyDescent="0.3">
      <c r="B185" s="2"/>
      <c r="C185" s="2"/>
      <c r="D185" s="2"/>
      <c r="E185" s="2"/>
      <c r="F185" s="2"/>
      <c r="G185" s="2"/>
      <c r="H185" s="2"/>
      <c r="I185" s="2"/>
      <c r="J185" s="2"/>
      <c r="K185" s="5" t="s">
        <v>1055</v>
      </c>
      <c r="L185" s="2"/>
    </row>
    <row r="186" spans="2:12" ht="15.75" thickBot="1" x14ac:dyDescent="0.3">
      <c r="B186" s="5" t="s">
        <v>1055</v>
      </c>
      <c r="C186" s="2"/>
      <c r="D186" s="2"/>
      <c r="E186" s="5" t="s">
        <v>1055</v>
      </c>
      <c r="F186" s="2"/>
      <c r="G186" s="2"/>
      <c r="H186" s="5" t="s">
        <v>1055</v>
      </c>
      <c r="I186" s="2"/>
      <c r="J186" s="2"/>
      <c r="K186" s="6">
        <v>1979</v>
      </c>
      <c r="L186" s="2"/>
    </row>
    <row r="187" spans="2:12" ht="15.75" thickBot="1" x14ac:dyDescent="0.3">
      <c r="B187" s="6">
        <v>162</v>
      </c>
      <c r="C187" s="2"/>
      <c r="D187" s="2"/>
      <c r="E187" s="6">
        <v>555</v>
      </c>
      <c r="F187" s="2"/>
      <c r="G187" s="2"/>
      <c r="H187" s="6">
        <v>162</v>
      </c>
      <c r="I187" s="2"/>
      <c r="J187" s="2"/>
      <c r="K187" s="2"/>
      <c r="L187" s="2"/>
    </row>
    <row r="188" spans="2:12" x14ac:dyDescent="0.25">
      <c r="B188" s="244"/>
      <c r="C188" s="2"/>
      <c r="D188" s="2"/>
      <c r="E188" s="244"/>
      <c r="F188" s="2"/>
      <c r="G188" s="2"/>
      <c r="H188" s="244"/>
      <c r="I188" s="2"/>
      <c r="J188" s="2"/>
      <c r="K188" s="2"/>
      <c r="L188" s="2"/>
    </row>
    <row r="189" spans="2:12" x14ac:dyDescent="0.25">
      <c r="B189" s="244"/>
      <c r="C189" s="2"/>
      <c r="D189" s="2"/>
      <c r="E189" s="244"/>
      <c r="F189" s="2"/>
      <c r="G189" s="2"/>
      <c r="H189" s="244"/>
      <c r="I189" s="2"/>
      <c r="J189" s="2"/>
      <c r="K189" s="2"/>
      <c r="L189" s="2"/>
    </row>
    <row r="190" spans="2:12" ht="15.75" thickBot="1" x14ac:dyDescent="0.3">
      <c r="B190" s="1" t="s">
        <v>1403</v>
      </c>
      <c r="C190" s="2"/>
      <c r="D190" s="2"/>
      <c r="E190" s="1" t="s">
        <v>1404</v>
      </c>
      <c r="F190" s="2"/>
      <c r="G190" s="2"/>
      <c r="H190" s="1" t="s">
        <v>1405</v>
      </c>
      <c r="I190" s="2"/>
      <c r="J190" s="2"/>
    </row>
    <row r="191" spans="2:12" ht="15.75" thickBot="1" x14ac:dyDescent="0.3">
      <c r="B191" s="3" t="s">
        <v>1091</v>
      </c>
      <c r="C191" s="4" t="s">
        <v>1027</v>
      </c>
      <c r="D191" s="2"/>
      <c r="E191" s="3" t="s">
        <v>1091</v>
      </c>
      <c r="F191" s="4" t="s">
        <v>1050</v>
      </c>
      <c r="G191" s="2"/>
      <c r="H191" s="3" t="s">
        <v>1091</v>
      </c>
      <c r="I191" s="4" t="s">
        <v>1057</v>
      </c>
      <c r="J191" s="2"/>
      <c r="K191" s="3" t="s">
        <v>1091</v>
      </c>
      <c r="L191" s="4" t="s">
        <v>1337</v>
      </c>
    </row>
    <row r="192" spans="2:12" ht="15.75" thickBot="1" x14ac:dyDescent="0.3">
      <c r="B192" s="3" t="s">
        <v>1029</v>
      </c>
      <c r="C192" s="4" t="s">
        <v>1294</v>
      </c>
      <c r="D192" s="2"/>
      <c r="E192" s="3" t="s">
        <v>1029</v>
      </c>
      <c r="F192" s="4" t="s">
        <v>1294</v>
      </c>
      <c r="G192" s="2"/>
      <c r="H192" s="3" t="s">
        <v>1029</v>
      </c>
      <c r="I192" s="4" t="s">
        <v>1294</v>
      </c>
      <c r="J192" s="2"/>
      <c r="K192" s="3" t="s">
        <v>1046</v>
      </c>
      <c r="L192" s="4" t="s">
        <v>1048</v>
      </c>
    </row>
    <row r="193" spans="2:12" ht="15.75" thickBot="1" x14ac:dyDescent="0.3">
      <c r="B193" s="3" t="s">
        <v>1046</v>
      </c>
      <c r="C193" s="4" t="s">
        <v>1048</v>
      </c>
      <c r="D193" s="2"/>
      <c r="E193" s="3" t="s">
        <v>1046</v>
      </c>
      <c r="F193" s="4" t="s">
        <v>1048</v>
      </c>
      <c r="G193" s="2"/>
      <c r="H193" s="3" t="s">
        <v>1046</v>
      </c>
      <c r="I193" s="4" t="s">
        <v>1048</v>
      </c>
      <c r="J193" s="2"/>
      <c r="K193" s="2"/>
      <c r="L193" s="2"/>
    </row>
    <row r="194" spans="2:12" ht="15.75" thickBot="1" x14ac:dyDescent="0.3">
      <c r="B194" s="2"/>
      <c r="C194" s="2"/>
      <c r="D194" s="2"/>
      <c r="E194" s="2"/>
      <c r="F194" s="2"/>
      <c r="G194" s="2"/>
      <c r="H194" s="2"/>
      <c r="I194" s="2"/>
      <c r="J194" s="2"/>
      <c r="K194" s="5" t="s">
        <v>1055</v>
      </c>
      <c r="L194" s="2"/>
    </row>
    <row r="195" spans="2:12" ht="15.75" thickBot="1" x14ac:dyDescent="0.3">
      <c r="B195" s="5" t="s">
        <v>1313</v>
      </c>
      <c r="C195" s="2"/>
      <c r="D195" s="2"/>
      <c r="E195" s="5" t="s">
        <v>1313</v>
      </c>
      <c r="F195" s="2"/>
      <c r="G195" s="2"/>
      <c r="H195" s="5" t="s">
        <v>1313</v>
      </c>
      <c r="I195" s="2"/>
      <c r="J195" s="2"/>
      <c r="K195" s="6">
        <v>1037</v>
      </c>
      <c r="L195" s="2"/>
    </row>
    <row r="196" spans="2:12" ht="15.75" thickBot="1" x14ac:dyDescent="0.3">
      <c r="B196" s="6">
        <v>181</v>
      </c>
      <c r="C196" s="2"/>
      <c r="D196" s="2"/>
      <c r="E196" s="6">
        <v>597</v>
      </c>
      <c r="F196" s="2"/>
      <c r="G196" s="2"/>
      <c r="H196" s="6">
        <v>202</v>
      </c>
      <c r="I196" s="2"/>
      <c r="J196" s="2"/>
      <c r="K196" s="2"/>
      <c r="L196" s="2"/>
    </row>
    <row r="197" spans="2:12" x14ac:dyDescent="0.25">
      <c r="B197" s="2"/>
      <c r="C197" s="2"/>
      <c r="D197" s="2"/>
      <c r="E197" s="2"/>
      <c r="F197" s="2"/>
      <c r="G197" s="2"/>
      <c r="H197" s="2"/>
      <c r="I197" s="2"/>
      <c r="J197" s="2"/>
    </row>
    <row r="198" spans="2:12" x14ac:dyDescent="0.25">
      <c r="B198" s="2"/>
      <c r="C198" s="2"/>
      <c r="D198" s="2"/>
      <c r="E198" s="2"/>
      <c r="F198" s="2"/>
      <c r="G198" s="2"/>
      <c r="H198" s="2"/>
      <c r="I198" s="2"/>
      <c r="J198" s="2"/>
    </row>
    <row r="199" spans="2:12" ht="15.75" thickBot="1" x14ac:dyDescent="0.3">
      <c r="B199" s="1" t="s">
        <v>1406</v>
      </c>
      <c r="C199" s="2"/>
      <c r="D199" s="2"/>
      <c r="E199" s="1" t="s">
        <v>1407</v>
      </c>
      <c r="F199" s="2"/>
      <c r="G199" s="2"/>
      <c r="H199" s="1" t="s">
        <v>1408</v>
      </c>
      <c r="I199" s="2"/>
      <c r="J199" s="2"/>
    </row>
    <row r="200" spans="2:12" ht="15.75" thickBot="1" x14ac:dyDescent="0.3">
      <c r="B200" s="3" t="s">
        <v>1091</v>
      </c>
      <c r="C200" s="4" t="s">
        <v>1027</v>
      </c>
      <c r="D200" s="2"/>
      <c r="E200" s="3" t="s">
        <v>1091</v>
      </c>
      <c r="F200" s="4" t="s">
        <v>1050</v>
      </c>
      <c r="G200" s="2"/>
      <c r="H200" s="3" t="s">
        <v>1091</v>
      </c>
      <c r="I200" s="4" t="s">
        <v>1057</v>
      </c>
      <c r="J200" s="2"/>
      <c r="K200" s="3" t="s">
        <v>1091</v>
      </c>
      <c r="L200" s="4" t="s">
        <v>1337</v>
      </c>
    </row>
    <row r="201" spans="2:12" ht="15.75" thickBot="1" x14ac:dyDescent="0.3">
      <c r="B201" s="3" t="s">
        <v>1029</v>
      </c>
      <c r="C201" s="4" t="s">
        <v>1294</v>
      </c>
      <c r="D201" s="2"/>
      <c r="E201" s="3" t="s">
        <v>1029</v>
      </c>
      <c r="F201" s="4" t="s">
        <v>1294</v>
      </c>
      <c r="G201" s="2"/>
      <c r="H201" s="3" t="s">
        <v>1029</v>
      </c>
      <c r="I201" s="4" t="s">
        <v>1294</v>
      </c>
      <c r="J201" s="2"/>
      <c r="K201" s="3" t="s">
        <v>1046</v>
      </c>
      <c r="L201" s="4" t="s">
        <v>1</v>
      </c>
    </row>
    <row r="202" spans="2:12" ht="15.75" thickBot="1" x14ac:dyDescent="0.3">
      <c r="B202" s="3" t="s">
        <v>1046</v>
      </c>
      <c r="C202" s="4" t="s">
        <v>1049</v>
      </c>
      <c r="D202" s="2"/>
      <c r="E202" s="3" t="s">
        <v>1046</v>
      </c>
      <c r="F202" s="4" t="s">
        <v>1049</v>
      </c>
      <c r="G202" s="2"/>
      <c r="H202" s="3" t="s">
        <v>1046</v>
      </c>
      <c r="I202" s="4" t="s">
        <v>1049</v>
      </c>
      <c r="J202" s="2"/>
      <c r="K202" s="2"/>
      <c r="L202" s="2"/>
    </row>
    <row r="203" spans="2:12" ht="15.75" thickBot="1" x14ac:dyDescent="0.3">
      <c r="B203" s="2"/>
      <c r="C203" s="2"/>
      <c r="D203" s="2"/>
      <c r="E203" s="2"/>
      <c r="F203" s="2"/>
      <c r="G203" s="2"/>
      <c r="H203" s="2"/>
      <c r="I203" s="2"/>
      <c r="J203" s="2"/>
      <c r="K203" s="5" t="s">
        <v>1055</v>
      </c>
      <c r="L203" s="2"/>
    </row>
    <row r="204" spans="2:12" ht="15.75" thickBot="1" x14ac:dyDescent="0.3">
      <c r="B204" s="5" t="s">
        <v>1055</v>
      </c>
      <c r="C204" s="2"/>
      <c r="D204" s="2"/>
      <c r="E204" s="5" t="s">
        <v>1055</v>
      </c>
      <c r="F204" s="2"/>
      <c r="G204" s="2"/>
      <c r="H204" s="5" t="s">
        <v>1055</v>
      </c>
      <c r="I204" s="2"/>
      <c r="J204" s="2"/>
      <c r="K204" s="6">
        <v>942</v>
      </c>
      <c r="L204" s="2"/>
    </row>
    <row r="205" spans="2:12" ht="15.75" thickBot="1" x14ac:dyDescent="0.3">
      <c r="B205" s="6">
        <v>5</v>
      </c>
      <c r="C205" s="2"/>
      <c r="D205" s="2"/>
      <c r="E205" s="6">
        <v>8</v>
      </c>
      <c r="F205" s="2"/>
      <c r="G205" s="2"/>
      <c r="H205" s="6">
        <v>27</v>
      </c>
      <c r="I205" s="2"/>
      <c r="J205" s="2"/>
      <c r="K205" s="2"/>
      <c r="L205" s="2"/>
    </row>
    <row r="206" spans="2:12" x14ac:dyDescent="0.25">
      <c r="B206" s="244"/>
      <c r="C206" s="2"/>
      <c r="D206" s="2"/>
      <c r="E206" s="244"/>
      <c r="F206" s="2"/>
      <c r="G206" s="2"/>
      <c r="H206" s="244"/>
      <c r="I206" s="2"/>
      <c r="J206" s="2"/>
      <c r="K206" s="2"/>
      <c r="L206" s="2"/>
    </row>
    <row r="207" spans="2:12" x14ac:dyDescent="0.25">
      <c r="B207" s="244"/>
      <c r="C207" s="2"/>
      <c r="D207" s="2"/>
      <c r="E207" s="244"/>
      <c r="F207" s="2"/>
      <c r="G207" s="2"/>
      <c r="H207" s="244"/>
      <c r="I207" s="2"/>
      <c r="J207" s="2"/>
      <c r="K207" s="2"/>
      <c r="L207" s="2"/>
    </row>
    <row r="208" spans="2:12" ht="15.75" thickBot="1" x14ac:dyDescent="0.3">
      <c r="B208" s="1" t="s">
        <v>1409</v>
      </c>
      <c r="C208" s="2"/>
      <c r="D208" s="2"/>
      <c r="E208" s="1" t="s">
        <v>1410</v>
      </c>
      <c r="F208" s="2"/>
      <c r="G208" s="2"/>
      <c r="H208" s="1" t="s">
        <v>1411</v>
      </c>
      <c r="I208" s="2"/>
      <c r="J208" s="2"/>
      <c r="K208" s="2"/>
      <c r="L208" s="2"/>
    </row>
    <row r="209" spans="2:12" ht="15.75" thickBot="1" x14ac:dyDescent="0.3">
      <c r="B209" s="3" t="s">
        <v>1091</v>
      </c>
      <c r="C209" s="4" t="s">
        <v>1027</v>
      </c>
      <c r="D209" s="2"/>
      <c r="E209" s="3" t="s">
        <v>1091</v>
      </c>
      <c r="F209" s="4" t="s">
        <v>1050</v>
      </c>
      <c r="G209" s="2"/>
      <c r="H209" s="3" t="s">
        <v>1091</v>
      </c>
      <c r="I209" s="4" t="s">
        <v>1057</v>
      </c>
      <c r="J209" s="2"/>
      <c r="K209" s="2"/>
      <c r="L209" s="2"/>
    </row>
    <row r="210" spans="2:12" ht="15.75" thickBot="1" x14ac:dyDescent="0.3">
      <c r="B210" s="3" t="s">
        <v>1029</v>
      </c>
      <c r="C210" s="4" t="s">
        <v>1294</v>
      </c>
      <c r="D210" s="2"/>
      <c r="E210" s="3" t="s">
        <v>1029</v>
      </c>
      <c r="F210" s="4" t="s">
        <v>1294</v>
      </c>
      <c r="G210" s="2"/>
      <c r="H210" s="3" t="s">
        <v>1029</v>
      </c>
      <c r="I210" s="4" t="s">
        <v>1294</v>
      </c>
      <c r="J210" s="2"/>
      <c r="K210" s="2"/>
      <c r="L210" s="2"/>
    </row>
    <row r="211" spans="2:12" ht="15.75" thickBot="1" x14ac:dyDescent="0.3">
      <c r="B211" s="3" t="s">
        <v>1046</v>
      </c>
      <c r="C211" s="4" t="s">
        <v>1049</v>
      </c>
      <c r="D211" s="2"/>
      <c r="E211" s="3" t="s">
        <v>1046</v>
      </c>
      <c r="F211" s="4" t="s">
        <v>1049</v>
      </c>
      <c r="G211" s="2"/>
      <c r="H211" s="3" t="s">
        <v>1046</v>
      </c>
      <c r="I211" s="4" t="s">
        <v>1049</v>
      </c>
      <c r="J211" s="2"/>
      <c r="K211" s="2"/>
      <c r="L211" s="2"/>
    </row>
    <row r="212" spans="2:12" ht="15.75" thickBot="1" x14ac:dyDescent="0.3">
      <c r="B212" s="2"/>
      <c r="C212" s="2"/>
      <c r="D212" s="2"/>
      <c r="E212" s="2"/>
      <c r="F212" s="2"/>
      <c r="G212" s="2"/>
      <c r="H212" s="2"/>
      <c r="I212" s="2"/>
      <c r="J212" s="2"/>
      <c r="K212" s="2"/>
      <c r="L212" s="2"/>
    </row>
    <row r="213" spans="2:12" x14ac:dyDescent="0.25">
      <c r="B213" s="5" t="s">
        <v>1313</v>
      </c>
      <c r="C213" s="2"/>
      <c r="D213" s="2"/>
      <c r="E213" s="5" t="s">
        <v>1313</v>
      </c>
      <c r="F213" s="2"/>
      <c r="G213" s="2"/>
      <c r="H213" s="5" t="s">
        <v>1313</v>
      </c>
      <c r="I213" s="2"/>
      <c r="J213" s="2"/>
      <c r="K213" s="2"/>
      <c r="L213" s="2"/>
    </row>
    <row r="214" spans="2:12" ht="15.75" thickBot="1" x14ac:dyDescent="0.3">
      <c r="B214" s="6">
        <v>5</v>
      </c>
      <c r="C214" s="2"/>
      <c r="D214" s="2"/>
      <c r="E214" s="6">
        <v>8</v>
      </c>
      <c r="F214" s="2"/>
      <c r="G214" s="2"/>
      <c r="H214" s="6">
        <v>27</v>
      </c>
      <c r="I214" s="2"/>
      <c r="J214" s="2"/>
      <c r="K214" s="2"/>
      <c r="L214" s="2"/>
    </row>
    <row r="215" spans="2:12" x14ac:dyDescent="0.25">
      <c r="B215" s="2"/>
      <c r="C215" s="2"/>
      <c r="D215" s="2"/>
      <c r="E215" s="2"/>
      <c r="F215" s="2"/>
      <c r="G215" s="2"/>
      <c r="H215" s="2"/>
      <c r="I215" s="2"/>
      <c r="J215" s="2"/>
      <c r="K215" s="2"/>
      <c r="L215" s="2"/>
    </row>
    <row r="216" spans="2:12" x14ac:dyDescent="0.25">
      <c r="B216" s="2"/>
      <c r="C216" s="2"/>
      <c r="D216" s="2"/>
      <c r="E216" s="2"/>
      <c r="F216" s="2"/>
      <c r="G216" s="2"/>
      <c r="H216" s="2"/>
      <c r="I216" s="2"/>
      <c r="J216" s="2"/>
      <c r="K216" s="2"/>
      <c r="L216" s="2"/>
    </row>
    <row r="217" spans="2:12" x14ac:dyDescent="0.25">
      <c r="B217" s="2"/>
      <c r="C217" s="2"/>
      <c r="D217" s="2"/>
      <c r="E217" s="2"/>
      <c r="F217" s="2"/>
      <c r="G217" s="2"/>
      <c r="H217" s="2"/>
      <c r="I217" s="2"/>
      <c r="J217" s="2"/>
      <c r="K217" s="2"/>
      <c r="L217" s="2"/>
    </row>
    <row r="218" spans="2:12" ht="15.75" thickBot="1" x14ac:dyDescent="0.3">
      <c r="B218" s="1" t="s">
        <v>1412</v>
      </c>
      <c r="C218" s="2"/>
      <c r="D218" s="2"/>
      <c r="E218" s="1" t="s">
        <v>1413</v>
      </c>
      <c r="F218" s="2"/>
      <c r="G218" s="2"/>
      <c r="H218" s="1" t="s">
        <v>1414</v>
      </c>
      <c r="I218" s="2"/>
      <c r="J218" s="2"/>
      <c r="K218" s="2"/>
      <c r="L218" s="2"/>
    </row>
    <row r="219" spans="2:12" ht="15.75" thickBot="1" x14ac:dyDescent="0.3">
      <c r="B219" s="3" t="s">
        <v>1091</v>
      </c>
      <c r="C219" s="4" t="s">
        <v>1027</v>
      </c>
      <c r="D219" s="2"/>
      <c r="E219" s="3" t="s">
        <v>1091</v>
      </c>
      <c r="F219" s="4" t="s">
        <v>1050</v>
      </c>
      <c r="G219" s="2"/>
      <c r="H219" s="3" t="s">
        <v>1091</v>
      </c>
      <c r="I219" s="4" t="s">
        <v>1057</v>
      </c>
      <c r="J219" s="2"/>
      <c r="K219" s="2"/>
      <c r="L219" s="2"/>
    </row>
    <row r="220" spans="2:12" ht="15.75" thickBot="1" x14ac:dyDescent="0.3">
      <c r="B220" s="3" t="s">
        <v>1029</v>
      </c>
      <c r="C220" s="4" t="s">
        <v>1294</v>
      </c>
      <c r="D220" s="2"/>
      <c r="E220" s="3" t="s">
        <v>1029</v>
      </c>
      <c r="F220" s="4" t="s">
        <v>1294</v>
      </c>
      <c r="G220" s="2"/>
      <c r="H220" s="3" t="s">
        <v>1029</v>
      </c>
      <c r="I220" s="4" t="s">
        <v>1294</v>
      </c>
      <c r="J220" s="2"/>
      <c r="K220" s="2"/>
      <c r="L220" s="2"/>
    </row>
    <row r="221" spans="2:12" ht="15.75" thickBot="1" x14ac:dyDescent="0.3">
      <c r="B221" s="3" t="s">
        <v>1046</v>
      </c>
      <c r="C221" s="4" t="s">
        <v>1047</v>
      </c>
      <c r="D221" s="2"/>
      <c r="E221" s="3" t="s">
        <v>1046</v>
      </c>
      <c r="F221" s="4" t="s">
        <v>1047</v>
      </c>
      <c r="G221" s="2"/>
      <c r="H221" s="3" t="s">
        <v>1046</v>
      </c>
      <c r="I221" s="4" t="s">
        <v>1047</v>
      </c>
      <c r="J221" s="2"/>
      <c r="K221" s="2"/>
      <c r="L221" s="2"/>
    </row>
    <row r="222" spans="2:12" ht="15.75" thickBot="1" x14ac:dyDescent="0.3">
      <c r="B222" s="2"/>
      <c r="C222" s="2"/>
      <c r="D222" s="2"/>
      <c r="E222" s="2"/>
      <c r="F222" s="2"/>
      <c r="G222" s="2"/>
      <c r="H222" s="2"/>
      <c r="I222" s="2"/>
      <c r="J222" s="2"/>
      <c r="K222" s="2"/>
      <c r="L222" s="2"/>
    </row>
    <row r="223" spans="2:12" x14ac:dyDescent="0.25">
      <c r="B223" s="5" t="s">
        <v>1055</v>
      </c>
      <c r="C223" s="2"/>
      <c r="D223" s="2"/>
      <c r="E223" s="5" t="s">
        <v>1055</v>
      </c>
      <c r="F223" s="2"/>
      <c r="G223" s="2"/>
      <c r="H223" s="5" t="s">
        <v>1055</v>
      </c>
      <c r="I223" s="2"/>
      <c r="J223" s="2"/>
      <c r="K223" s="2"/>
      <c r="L223" s="2"/>
    </row>
    <row r="224" spans="2:12" ht="15.75" thickBot="1" x14ac:dyDescent="0.3">
      <c r="B224" s="6">
        <v>20</v>
      </c>
      <c r="C224" s="2"/>
      <c r="D224" s="2"/>
      <c r="E224" s="6">
        <v>61</v>
      </c>
      <c r="F224" s="2"/>
      <c r="G224" s="2"/>
      <c r="H224" s="6">
        <v>24</v>
      </c>
      <c r="I224" s="2"/>
      <c r="J224" s="2"/>
      <c r="K224" s="2"/>
      <c r="L224" s="2"/>
    </row>
    <row r="225" spans="2:12" x14ac:dyDescent="0.25">
      <c r="B225" s="244"/>
      <c r="C225" s="2"/>
      <c r="D225" s="2"/>
      <c r="E225" s="244"/>
      <c r="F225" s="2"/>
      <c r="G225" s="2"/>
      <c r="H225" s="244"/>
      <c r="I225" s="2"/>
      <c r="J225" s="2"/>
      <c r="K225" s="2"/>
      <c r="L225" s="2"/>
    </row>
    <row r="226" spans="2:12" x14ac:dyDescent="0.25">
      <c r="B226" s="244"/>
      <c r="C226" s="2"/>
      <c r="D226" s="2"/>
      <c r="E226" s="244"/>
      <c r="F226" s="2"/>
      <c r="G226" s="2"/>
      <c r="H226" s="244"/>
      <c r="I226" s="2"/>
      <c r="J226" s="2"/>
      <c r="K226" s="2"/>
      <c r="L226" s="2"/>
    </row>
    <row r="227" spans="2:12" ht="15.75" thickBot="1" x14ac:dyDescent="0.3">
      <c r="B227" s="1" t="s">
        <v>1415</v>
      </c>
      <c r="C227" s="2"/>
      <c r="D227" s="2"/>
      <c r="E227" s="1" t="s">
        <v>1416</v>
      </c>
      <c r="F227" s="2"/>
      <c r="G227" s="2"/>
      <c r="H227" s="1" t="s">
        <v>1417</v>
      </c>
      <c r="I227" s="2"/>
      <c r="J227" s="2"/>
      <c r="K227" s="2"/>
      <c r="L227" s="2"/>
    </row>
    <row r="228" spans="2:12" ht="15.75" thickBot="1" x14ac:dyDescent="0.3">
      <c r="B228" s="3" t="s">
        <v>1091</v>
      </c>
      <c r="C228" s="4" t="s">
        <v>1027</v>
      </c>
      <c r="D228" s="2"/>
      <c r="E228" s="3" t="s">
        <v>1091</v>
      </c>
      <c r="F228" s="4" t="s">
        <v>1050</v>
      </c>
      <c r="G228" s="2"/>
      <c r="H228" s="3" t="s">
        <v>1091</v>
      </c>
      <c r="I228" s="4" t="s">
        <v>1057</v>
      </c>
      <c r="J228" s="2"/>
      <c r="K228" s="2"/>
      <c r="L228" s="2"/>
    </row>
    <row r="229" spans="2:12" ht="15.75" thickBot="1" x14ac:dyDescent="0.3">
      <c r="B229" s="3" t="s">
        <v>1029</v>
      </c>
      <c r="C229" s="4" t="s">
        <v>1294</v>
      </c>
      <c r="D229" s="2"/>
      <c r="E229" s="3" t="s">
        <v>1029</v>
      </c>
      <c r="F229" s="4" t="s">
        <v>1294</v>
      </c>
      <c r="G229" s="2"/>
      <c r="H229" s="3" t="s">
        <v>1029</v>
      </c>
      <c r="I229" s="4" t="s">
        <v>1294</v>
      </c>
      <c r="J229" s="2"/>
      <c r="K229" s="2"/>
      <c r="L229" s="2"/>
    </row>
    <row r="230" spans="2:12" ht="15.75" thickBot="1" x14ac:dyDescent="0.3">
      <c r="B230" s="3" t="s">
        <v>1046</v>
      </c>
      <c r="C230" s="4" t="s">
        <v>1047</v>
      </c>
      <c r="D230" s="2"/>
      <c r="E230" s="3" t="s">
        <v>1046</v>
      </c>
      <c r="F230" s="4" t="s">
        <v>1047</v>
      </c>
      <c r="G230" s="2"/>
      <c r="H230" s="3" t="s">
        <v>1046</v>
      </c>
      <c r="I230" s="4" t="s">
        <v>1047</v>
      </c>
      <c r="J230" s="2"/>
      <c r="K230" s="2"/>
      <c r="L230" s="2"/>
    </row>
    <row r="231" spans="2:12" ht="15.75" thickBot="1" x14ac:dyDescent="0.3">
      <c r="B231" s="2"/>
      <c r="C231" s="2"/>
      <c r="D231" s="2"/>
      <c r="E231" s="2"/>
      <c r="F231" s="2"/>
      <c r="G231" s="2"/>
      <c r="H231" s="2"/>
      <c r="I231" s="2"/>
      <c r="J231" s="2"/>
      <c r="K231" s="2"/>
      <c r="L231" s="2"/>
    </row>
    <row r="232" spans="2:12" x14ac:dyDescent="0.25">
      <c r="B232" s="5" t="s">
        <v>1313</v>
      </c>
      <c r="C232" s="2"/>
      <c r="D232" s="2"/>
      <c r="E232" s="5" t="s">
        <v>1313</v>
      </c>
      <c r="F232" s="2"/>
      <c r="G232" s="2"/>
      <c r="H232" s="5" t="s">
        <v>1313</v>
      </c>
      <c r="I232" s="2"/>
      <c r="J232" s="2"/>
      <c r="K232" s="2"/>
      <c r="L232" s="2"/>
    </row>
    <row r="233" spans="2:12" ht="15.75" thickBot="1" x14ac:dyDescent="0.3">
      <c r="B233" s="6">
        <v>20</v>
      </c>
      <c r="C233" s="2"/>
      <c r="D233" s="2"/>
      <c r="E233" s="6">
        <v>61</v>
      </c>
      <c r="F233" s="2"/>
      <c r="G233" s="2"/>
      <c r="H233" s="6">
        <v>24</v>
      </c>
      <c r="I233" s="2"/>
      <c r="J233" s="2"/>
      <c r="K233" s="2"/>
      <c r="L233" s="2"/>
    </row>
    <row r="234" spans="2:12" x14ac:dyDescent="0.25">
      <c r="B234" s="2"/>
      <c r="C234" s="2"/>
      <c r="D234" s="2"/>
      <c r="E234" s="2"/>
      <c r="F234" s="2"/>
      <c r="G234" s="2"/>
      <c r="H234" s="2"/>
      <c r="I234" s="2"/>
      <c r="J234" s="2"/>
      <c r="K234" s="2"/>
      <c r="L234" s="2"/>
    </row>
    <row r="238" spans="2:12" x14ac:dyDescent="0.25">
      <c r="B238" s="1" t="s">
        <v>1173</v>
      </c>
      <c r="C238" s="2"/>
      <c r="D238" s="2"/>
      <c r="E238" s="1"/>
      <c r="F238" s="2"/>
      <c r="G238" s="2"/>
      <c r="H238" s="2"/>
      <c r="I238" s="2"/>
      <c r="J238" s="2"/>
    </row>
    <row r="239" spans="2:12" ht="15.75" thickBot="1" x14ac:dyDescent="0.3">
      <c r="B239" s="1" t="s">
        <v>1312</v>
      </c>
      <c r="C239" s="2"/>
      <c r="D239" s="2"/>
      <c r="E239" s="1" t="s">
        <v>1319</v>
      </c>
      <c r="F239" s="2"/>
      <c r="G239" s="2"/>
      <c r="H239" s="1" t="s">
        <v>1325</v>
      </c>
      <c r="I239" s="2"/>
      <c r="J239" s="2"/>
    </row>
    <row r="240" spans="2:12" ht="15.75" thickBot="1" x14ac:dyDescent="0.3">
      <c r="B240" s="3" t="s">
        <v>1091</v>
      </c>
      <c r="C240" s="4" t="s">
        <v>1027</v>
      </c>
      <c r="D240" s="2"/>
      <c r="E240" s="3" t="s">
        <v>1091</v>
      </c>
      <c r="F240" s="4" t="s">
        <v>1050</v>
      </c>
      <c r="G240" s="2"/>
      <c r="H240" s="3" t="s">
        <v>1091</v>
      </c>
      <c r="I240" s="4" t="s">
        <v>1057</v>
      </c>
      <c r="J240" s="2"/>
    </row>
    <row r="241" spans="2:10" ht="15.75" thickBot="1" x14ac:dyDescent="0.3">
      <c r="B241" s="3" t="s">
        <v>1029</v>
      </c>
      <c r="C241" s="4" t="s">
        <v>1294</v>
      </c>
      <c r="D241" s="2"/>
      <c r="E241" s="3" t="s">
        <v>1029</v>
      </c>
      <c r="F241" s="4" t="s">
        <v>1294</v>
      </c>
      <c r="G241" s="2"/>
      <c r="H241" s="3" t="s">
        <v>1029</v>
      </c>
      <c r="I241" s="4" t="s">
        <v>1294</v>
      </c>
      <c r="J241" s="2"/>
    </row>
    <row r="242" spans="2:10" ht="15.75" thickBot="1" x14ac:dyDescent="0.3">
      <c r="B242" s="3" t="s">
        <v>1046</v>
      </c>
      <c r="C242" s="4" t="s">
        <v>1420</v>
      </c>
      <c r="D242" s="2"/>
      <c r="E242" s="3" t="s">
        <v>1046</v>
      </c>
      <c r="F242" s="4" t="s">
        <v>1420</v>
      </c>
      <c r="G242" s="2"/>
      <c r="H242" s="3" t="s">
        <v>1046</v>
      </c>
      <c r="I242" s="4" t="s">
        <v>1420</v>
      </c>
      <c r="J242" s="2"/>
    </row>
    <row r="243" spans="2:10" ht="15.75" thickBot="1" x14ac:dyDescent="0.3">
      <c r="B243" s="2"/>
      <c r="C243" s="2"/>
      <c r="D243" s="2"/>
      <c r="E243" s="2"/>
      <c r="F243" s="2"/>
      <c r="G243" s="2"/>
      <c r="H243" s="2"/>
      <c r="I243" s="2"/>
      <c r="J243" s="2"/>
    </row>
    <row r="244" spans="2:10" x14ac:dyDescent="0.25">
      <c r="B244" s="5" t="s">
        <v>1055</v>
      </c>
      <c r="C244" s="2"/>
      <c r="D244" s="2"/>
      <c r="E244" s="5" t="s">
        <v>1055</v>
      </c>
      <c r="F244" s="2"/>
      <c r="G244" s="2"/>
      <c r="H244" s="5" t="s">
        <v>1055</v>
      </c>
      <c r="I244" s="2"/>
      <c r="J244" s="2"/>
    </row>
    <row r="245" spans="2:10" ht="15.75" thickBot="1" x14ac:dyDescent="0.3">
      <c r="B245" s="6">
        <v>187</v>
      </c>
      <c r="C245" s="2"/>
      <c r="D245" s="2"/>
      <c r="E245" s="6">
        <v>624</v>
      </c>
      <c r="F245" s="2"/>
      <c r="G245" s="2"/>
      <c r="H245" s="6">
        <v>183</v>
      </c>
      <c r="I245" s="2"/>
      <c r="J245" s="2"/>
    </row>
    <row r="246" spans="2:10" x14ac:dyDescent="0.25">
      <c r="B246" s="2"/>
      <c r="C246" s="2"/>
      <c r="D246" s="2"/>
      <c r="E246" s="2"/>
      <c r="F246" s="2"/>
      <c r="G246" s="2"/>
      <c r="H246" s="2"/>
      <c r="I246" s="2"/>
      <c r="J246" s="2"/>
    </row>
    <row r="247" spans="2:10" x14ac:dyDescent="0.25">
      <c r="B247" s="2"/>
      <c r="C247" s="2"/>
      <c r="D247" s="2"/>
      <c r="E247" s="2"/>
      <c r="F247" s="2"/>
      <c r="G247" s="2"/>
      <c r="H247" s="2"/>
      <c r="I247" s="2"/>
      <c r="J247" s="2"/>
    </row>
    <row r="248" spans="2:10" ht="15.75" thickBot="1" x14ac:dyDescent="0.3">
      <c r="B248" s="1" t="s">
        <v>1315</v>
      </c>
      <c r="C248" s="2"/>
      <c r="D248" s="2"/>
      <c r="E248" s="1" t="s">
        <v>1321</v>
      </c>
      <c r="F248" s="2"/>
      <c r="G248" s="2"/>
      <c r="H248" s="1" t="s">
        <v>1327</v>
      </c>
      <c r="I248" s="2"/>
      <c r="J248" s="2"/>
    </row>
    <row r="249" spans="2:10" ht="15.75" thickBot="1" x14ac:dyDescent="0.3">
      <c r="B249" s="3" t="s">
        <v>1091</v>
      </c>
      <c r="C249" s="4" t="s">
        <v>1027</v>
      </c>
      <c r="D249" s="2"/>
      <c r="E249" s="3" t="s">
        <v>1091</v>
      </c>
      <c r="F249" s="4" t="s">
        <v>1050</v>
      </c>
      <c r="G249" s="2"/>
      <c r="H249" s="3" t="s">
        <v>1091</v>
      </c>
      <c r="I249" s="4" t="s">
        <v>1057</v>
      </c>
      <c r="J249" s="2"/>
    </row>
    <row r="250" spans="2:10" ht="15.75" thickBot="1" x14ac:dyDescent="0.3">
      <c r="B250" s="3" t="s">
        <v>1029</v>
      </c>
      <c r="C250" s="4" t="s">
        <v>1294</v>
      </c>
      <c r="D250" s="2"/>
      <c r="E250" s="3" t="s">
        <v>1029</v>
      </c>
      <c r="F250" s="4" t="s">
        <v>1294</v>
      </c>
      <c r="G250" s="2"/>
      <c r="H250" s="3" t="s">
        <v>1029</v>
      </c>
      <c r="I250" s="4" t="s">
        <v>1294</v>
      </c>
      <c r="J250" s="2"/>
    </row>
    <row r="251" spans="2:10" ht="15.75" thickBot="1" x14ac:dyDescent="0.3">
      <c r="B251" s="3" t="s">
        <v>1046</v>
      </c>
      <c r="C251" s="4" t="s">
        <v>1420</v>
      </c>
      <c r="D251" s="2"/>
      <c r="E251" s="3" t="s">
        <v>1046</v>
      </c>
      <c r="F251" s="4" t="s">
        <v>1420</v>
      </c>
      <c r="G251" s="2"/>
      <c r="H251" s="3" t="s">
        <v>1046</v>
      </c>
      <c r="I251" s="4" t="s">
        <v>1420</v>
      </c>
      <c r="J251" s="2"/>
    </row>
    <row r="252" spans="2:10" ht="15.75" thickBot="1" x14ac:dyDescent="0.3">
      <c r="B252" s="2"/>
      <c r="C252" s="2"/>
      <c r="D252" s="2"/>
      <c r="E252" s="2"/>
      <c r="F252" s="2"/>
      <c r="G252" s="2"/>
      <c r="H252" s="2"/>
      <c r="I252" s="2"/>
      <c r="J252" s="2"/>
    </row>
    <row r="253" spans="2:10" x14ac:dyDescent="0.25">
      <c r="B253" s="5" t="s">
        <v>1055</v>
      </c>
      <c r="C253" s="2"/>
      <c r="D253" s="2"/>
      <c r="E253" s="5" t="s">
        <v>1055</v>
      </c>
      <c r="F253" s="2"/>
      <c r="G253" s="2"/>
      <c r="H253" s="5" t="s">
        <v>1055</v>
      </c>
      <c r="I253" s="2"/>
      <c r="J253" s="2"/>
    </row>
    <row r="254" spans="2:10" ht="15.75" thickBot="1" x14ac:dyDescent="0.3">
      <c r="B254" s="6">
        <v>232</v>
      </c>
      <c r="C254" s="2"/>
      <c r="D254" s="2"/>
      <c r="E254" s="6">
        <v>85</v>
      </c>
      <c r="F254" s="2"/>
      <c r="G254" s="2"/>
      <c r="H254" s="6">
        <v>131</v>
      </c>
      <c r="I254" s="2"/>
      <c r="J254" s="2"/>
    </row>
    <row r="255" spans="2:10" x14ac:dyDescent="0.25">
      <c r="B255" s="2"/>
      <c r="C255" s="2"/>
      <c r="D255" s="2"/>
      <c r="E255" s="2"/>
      <c r="F255" s="2"/>
      <c r="G255" s="2"/>
      <c r="H255" s="2"/>
      <c r="I255" s="2"/>
      <c r="J255" s="2"/>
    </row>
    <row r="256" spans="2:10" x14ac:dyDescent="0.25">
      <c r="B256" s="2"/>
      <c r="C256" s="2"/>
      <c r="D256" s="2"/>
      <c r="E256" s="2"/>
      <c r="F256" s="2"/>
      <c r="G256" s="2"/>
      <c r="H256" s="2"/>
      <c r="I256" s="2"/>
      <c r="J256" s="2"/>
    </row>
    <row r="259" spans="2:11" x14ac:dyDescent="0.25">
      <c r="B259" s="1" t="s">
        <v>1187</v>
      </c>
      <c r="C259" s="2"/>
      <c r="D259" s="2"/>
      <c r="E259" s="1"/>
      <c r="F259" s="2"/>
      <c r="G259" s="2"/>
      <c r="H259" s="2"/>
      <c r="I259" s="2"/>
      <c r="J259" s="2"/>
      <c r="K259" s="2"/>
    </row>
    <row r="260" spans="2:11" x14ac:dyDescent="0.25">
      <c r="B260" s="1" t="s">
        <v>1312</v>
      </c>
      <c r="C260" s="2"/>
      <c r="D260" s="2"/>
      <c r="E260" s="1"/>
      <c r="F260" s="2"/>
      <c r="G260" s="2"/>
      <c r="H260" s="1"/>
      <c r="I260" s="2"/>
      <c r="J260" s="2"/>
      <c r="K260" s="2"/>
    </row>
    <row r="261" spans="2:11" x14ac:dyDescent="0.25">
      <c r="B261" s="2"/>
      <c r="C261" s="2"/>
      <c r="D261" s="2"/>
      <c r="E261" s="2"/>
      <c r="F261" s="2"/>
      <c r="G261" s="2"/>
      <c r="H261" s="2"/>
      <c r="I261" s="2"/>
      <c r="J261" s="2"/>
      <c r="K261" s="2"/>
    </row>
    <row r="262" spans="2:11" ht="15.75" thickBot="1" x14ac:dyDescent="0.3">
      <c r="B262" s="2"/>
      <c r="C262" s="2"/>
      <c r="D262" s="2"/>
      <c r="E262" s="2"/>
      <c r="F262" s="2"/>
      <c r="G262" s="2"/>
      <c r="H262" s="2"/>
      <c r="I262" s="2"/>
      <c r="J262" s="2"/>
      <c r="K262" s="2"/>
    </row>
    <row r="263" spans="2:11" ht="15.75" thickBot="1" x14ac:dyDescent="0.3">
      <c r="B263" s="3" t="s">
        <v>1091</v>
      </c>
      <c r="C263" s="4" t="s">
        <v>1027</v>
      </c>
      <c r="D263" s="2"/>
      <c r="E263" s="2"/>
      <c r="F263" s="2"/>
      <c r="G263" s="2"/>
      <c r="H263" s="2"/>
      <c r="I263" s="2"/>
      <c r="J263" s="2"/>
      <c r="K263" s="2"/>
    </row>
    <row r="264" spans="2:11" ht="15.75" thickBot="1" x14ac:dyDescent="0.3">
      <c r="B264" s="2"/>
      <c r="C264" s="2"/>
      <c r="D264" s="2"/>
      <c r="E264" s="2"/>
      <c r="F264" s="2"/>
      <c r="G264" s="2"/>
      <c r="H264" s="2"/>
      <c r="I264" s="2"/>
      <c r="J264" s="2"/>
      <c r="K264" s="2"/>
    </row>
    <row r="265" spans="2:11" x14ac:dyDescent="0.25">
      <c r="B265" s="233" t="s">
        <v>1053</v>
      </c>
      <c r="C265" s="234" t="s">
        <v>1422</v>
      </c>
      <c r="D265" s="234" t="s">
        <v>1423</v>
      </c>
      <c r="E265" s="234" t="s">
        <v>1424</v>
      </c>
      <c r="F265" s="234" t="s">
        <v>1425</v>
      </c>
      <c r="G265" s="234" t="s">
        <v>1426</v>
      </c>
      <c r="H265" s="234" t="s">
        <v>1427</v>
      </c>
      <c r="I265" s="234" t="s">
        <v>1428</v>
      </c>
      <c r="J265" s="235" t="s">
        <v>1429</v>
      </c>
      <c r="K265" s="2"/>
    </row>
    <row r="266" spans="2:11" x14ac:dyDescent="0.25">
      <c r="B266" s="255" t="s">
        <v>1037</v>
      </c>
      <c r="C266" s="244"/>
      <c r="D266" s="244">
        <v>26</v>
      </c>
      <c r="E266" s="244">
        <v>25</v>
      </c>
      <c r="F266" s="244">
        <v>1</v>
      </c>
      <c r="G266" s="244">
        <v>0</v>
      </c>
      <c r="H266" s="244">
        <v>7</v>
      </c>
      <c r="I266" s="244">
        <v>0</v>
      </c>
      <c r="J266" s="256">
        <v>0</v>
      </c>
      <c r="K266" s="2">
        <f>SUM(C266:J266)</f>
        <v>59</v>
      </c>
    </row>
    <row r="267" spans="2:11" x14ac:dyDescent="0.25">
      <c r="B267" s="255" t="s">
        <v>1430</v>
      </c>
      <c r="C267" s="244">
        <v>3</v>
      </c>
      <c r="D267" s="244">
        <v>113</v>
      </c>
      <c r="E267" s="244">
        <v>139</v>
      </c>
      <c r="F267" s="244">
        <v>85</v>
      </c>
      <c r="G267" s="244">
        <v>21</v>
      </c>
      <c r="H267" s="244">
        <v>0</v>
      </c>
      <c r="I267" s="244">
        <v>0</v>
      </c>
      <c r="J267" s="256">
        <v>-1</v>
      </c>
      <c r="K267" s="2">
        <f>SUM(C267:J267)</f>
        <v>360</v>
      </c>
    </row>
    <row r="268" spans="2:11" ht="15.75" thickBot="1" x14ac:dyDescent="0.3">
      <c r="B268" s="257" t="s">
        <v>1054</v>
      </c>
      <c r="C268" s="258">
        <v>3</v>
      </c>
      <c r="D268" s="258">
        <v>139</v>
      </c>
      <c r="E268" s="258">
        <v>164</v>
      </c>
      <c r="F268" s="258">
        <v>86</v>
      </c>
      <c r="G268" s="258">
        <v>21</v>
      </c>
      <c r="H268" s="258">
        <v>7</v>
      </c>
      <c r="I268" s="258">
        <v>0</v>
      </c>
      <c r="J268" s="259">
        <v>-1</v>
      </c>
      <c r="K268" s="2">
        <f>SUM(C268:J268)</f>
        <v>419</v>
      </c>
    </row>
    <row r="269" spans="2:11" x14ac:dyDescent="0.25">
      <c r="K269" s="2"/>
    </row>
    <row r="270" spans="2:11" x14ac:dyDescent="0.25">
      <c r="B270" s="2"/>
      <c r="C270" s="2"/>
      <c r="D270" s="2"/>
      <c r="E270" s="2"/>
      <c r="F270" s="2"/>
      <c r="G270" s="2"/>
      <c r="H270" s="2"/>
      <c r="I270" s="2"/>
      <c r="J270" s="2"/>
      <c r="K270" s="2"/>
    </row>
    <row r="271" spans="2:11" x14ac:dyDescent="0.25">
      <c r="B271" s="2"/>
      <c r="C271" s="2"/>
      <c r="D271" s="2"/>
      <c r="E271" s="2"/>
      <c r="F271" s="2"/>
      <c r="G271" s="2"/>
      <c r="H271" s="2"/>
      <c r="I271" s="2"/>
      <c r="J271" s="2"/>
      <c r="K271" s="2"/>
    </row>
    <row r="272" spans="2:11" x14ac:dyDescent="0.25">
      <c r="B272" s="2"/>
      <c r="C272" s="2"/>
      <c r="D272" s="2"/>
      <c r="E272" s="2"/>
      <c r="F272" s="2"/>
      <c r="G272" s="2"/>
      <c r="H272" s="2"/>
      <c r="I272" s="2"/>
      <c r="J272" s="2"/>
      <c r="K272" s="2"/>
    </row>
    <row r="273" spans="2:11" x14ac:dyDescent="0.25">
      <c r="B273" s="2"/>
      <c r="C273" s="2"/>
      <c r="D273" s="2"/>
      <c r="E273" s="2"/>
      <c r="F273" s="2"/>
      <c r="G273" s="2"/>
      <c r="H273" s="2"/>
      <c r="I273" s="2"/>
      <c r="J273" s="2"/>
      <c r="K273" s="2"/>
    </row>
    <row r="274" spans="2:11" x14ac:dyDescent="0.25">
      <c r="B274" s="1" t="s">
        <v>1312</v>
      </c>
      <c r="C274" s="2"/>
      <c r="D274" s="2"/>
      <c r="E274" s="2"/>
      <c r="F274" s="2"/>
      <c r="G274" s="2"/>
      <c r="H274" s="2"/>
      <c r="I274" s="2"/>
      <c r="J274" s="2"/>
      <c r="K274" s="2"/>
    </row>
    <row r="275" spans="2:11" x14ac:dyDescent="0.25">
      <c r="B275" s="2"/>
      <c r="C275" s="2"/>
      <c r="D275" s="2"/>
      <c r="E275" s="2"/>
      <c r="F275" s="2"/>
      <c r="G275" s="2"/>
      <c r="H275" s="2"/>
      <c r="I275" s="2"/>
      <c r="J275" s="2"/>
      <c r="K275" s="2"/>
    </row>
    <row r="276" spans="2:11" ht="15.75" thickBot="1" x14ac:dyDescent="0.3">
      <c r="B276" s="1" t="s">
        <v>1209</v>
      </c>
      <c r="C276" s="2"/>
      <c r="D276" s="2"/>
      <c r="E276" s="2"/>
      <c r="F276" s="1" t="s">
        <v>1209</v>
      </c>
      <c r="G276" s="2"/>
      <c r="H276" s="2"/>
      <c r="I276" s="1" t="s">
        <v>1209</v>
      </c>
      <c r="J276" s="2"/>
      <c r="K276" s="2"/>
    </row>
    <row r="277" spans="2:11" ht="15.75" thickBot="1" x14ac:dyDescent="0.3">
      <c r="B277" s="3" t="s">
        <v>1091</v>
      </c>
      <c r="C277" s="4" t="s">
        <v>1027</v>
      </c>
      <c r="D277" s="2"/>
      <c r="E277" s="2"/>
      <c r="F277" s="1"/>
      <c r="G277" s="2"/>
      <c r="H277" s="2"/>
      <c r="I277" s="1"/>
      <c r="J277" s="2"/>
      <c r="K277" s="2"/>
    </row>
    <row r="278" spans="2:11" ht="15.75" thickBot="1" x14ac:dyDescent="0.3">
      <c r="B278" s="2"/>
      <c r="C278" s="2"/>
      <c r="D278" s="2"/>
      <c r="E278" s="2"/>
      <c r="F278" s="3" t="s">
        <v>1091</v>
      </c>
      <c r="G278" s="4" t="s">
        <v>1027</v>
      </c>
      <c r="H278" s="2"/>
      <c r="I278" s="3" t="s">
        <v>1091</v>
      </c>
      <c r="J278" s="4" t="s">
        <v>1027</v>
      </c>
      <c r="K278" s="2"/>
    </row>
    <row r="279" spans="2:11" ht="15.75" thickBot="1" x14ac:dyDescent="0.3">
      <c r="B279" s="233" t="s">
        <v>1053</v>
      </c>
      <c r="C279" s="235" t="s">
        <v>1055</v>
      </c>
      <c r="D279" s="2"/>
      <c r="E279" s="2"/>
      <c r="F279" s="2"/>
      <c r="G279" s="2"/>
      <c r="H279" s="2"/>
      <c r="I279" s="2"/>
      <c r="J279" s="2"/>
      <c r="K279" s="2"/>
    </row>
    <row r="280" spans="2:11" x14ac:dyDescent="0.25">
      <c r="B280" s="255" t="s">
        <v>39</v>
      </c>
      <c r="C280" s="256">
        <v>294</v>
      </c>
      <c r="D280" s="2"/>
      <c r="E280" s="2"/>
      <c r="F280" s="233" t="s">
        <v>1053</v>
      </c>
      <c r="G280" s="235" t="s">
        <v>1055</v>
      </c>
      <c r="H280" s="2"/>
      <c r="I280" s="233" t="s">
        <v>1053</v>
      </c>
      <c r="J280" s="235" t="s">
        <v>1055</v>
      </c>
      <c r="K280" s="2"/>
    </row>
    <row r="281" spans="2:11" x14ac:dyDescent="0.25">
      <c r="B281" s="255" t="s">
        <v>1430</v>
      </c>
      <c r="C281" s="256">
        <v>125</v>
      </c>
      <c r="D281" s="2"/>
      <c r="E281" s="2"/>
      <c r="F281" s="255" t="s">
        <v>1214</v>
      </c>
      <c r="G281" s="256">
        <v>171</v>
      </c>
      <c r="H281" s="2"/>
      <c r="I281" s="255" t="s">
        <v>1444</v>
      </c>
      <c r="J281" s="256">
        <v>1</v>
      </c>
      <c r="K281" s="2"/>
    </row>
    <row r="282" spans="2:11" ht="15.75" thickBot="1" x14ac:dyDescent="0.3">
      <c r="B282" s="257" t="s">
        <v>1054</v>
      </c>
      <c r="C282" s="259">
        <v>419</v>
      </c>
      <c r="D282" s="2"/>
      <c r="E282" s="2"/>
      <c r="F282" s="255" t="s">
        <v>1430</v>
      </c>
      <c r="G282" s="256">
        <v>248</v>
      </c>
      <c r="H282" s="2"/>
      <c r="I282" s="255" t="s">
        <v>1446</v>
      </c>
      <c r="J282" s="256">
        <v>1</v>
      </c>
      <c r="K282" s="2"/>
    </row>
    <row r="283" spans="2:11" ht="15.75" thickBot="1" x14ac:dyDescent="0.3">
      <c r="B283" s="2"/>
      <c r="C283" s="2"/>
      <c r="D283" s="2"/>
      <c r="E283" s="2"/>
      <c r="F283" s="257" t="s">
        <v>1054</v>
      </c>
      <c r="G283" s="259">
        <v>419</v>
      </c>
      <c r="H283" s="2"/>
      <c r="I283" s="255" t="s">
        <v>1431</v>
      </c>
      <c r="J283" s="256">
        <v>0</v>
      </c>
      <c r="K283" s="2"/>
    </row>
    <row r="284" spans="2:11" x14ac:dyDescent="0.25">
      <c r="B284" s="2"/>
      <c r="C284" s="2"/>
      <c r="D284" s="2"/>
      <c r="E284" s="2"/>
      <c r="F284" s="2"/>
      <c r="G284" s="2"/>
      <c r="H284" s="2"/>
      <c r="I284" s="255" t="s">
        <v>1230</v>
      </c>
      <c r="J284" s="256">
        <v>8</v>
      </c>
      <c r="K284" s="2"/>
    </row>
    <row r="285" spans="2:11" x14ac:dyDescent="0.25">
      <c r="B285" s="2"/>
      <c r="C285" s="2"/>
      <c r="D285" s="2"/>
      <c r="E285" s="2"/>
      <c r="F285" s="2"/>
      <c r="G285" s="2"/>
      <c r="H285" s="2"/>
      <c r="I285" s="255" t="s">
        <v>1432</v>
      </c>
      <c r="J285" s="256">
        <v>7</v>
      </c>
      <c r="K285" s="2"/>
    </row>
    <row r="286" spans="2:11" x14ac:dyDescent="0.25">
      <c r="B286" s="2"/>
      <c r="C286" s="2"/>
      <c r="D286" s="2"/>
      <c r="E286" s="2"/>
      <c r="F286" s="2"/>
      <c r="G286" s="2"/>
      <c r="H286" s="2"/>
      <c r="I286" s="255" t="s">
        <v>1445</v>
      </c>
      <c r="J286" s="256">
        <v>3</v>
      </c>
      <c r="K286" s="2"/>
    </row>
    <row r="287" spans="2:11" x14ac:dyDescent="0.25">
      <c r="B287" s="1" t="s">
        <v>1208</v>
      </c>
      <c r="C287" s="2"/>
      <c r="D287" s="2"/>
      <c r="E287" s="2"/>
      <c r="H287" s="2"/>
      <c r="I287" s="255" t="s">
        <v>1434</v>
      </c>
      <c r="J287" s="256">
        <v>3</v>
      </c>
      <c r="K287" s="2"/>
    </row>
    <row r="288" spans="2:11" ht="15.75" thickBot="1" x14ac:dyDescent="0.3">
      <c r="B288" s="1"/>
      <c r="C288" s="2"/>
      <c r="D288" s="2"/>
      <c r="E288" s="2"/>
      <c r="H288" s="2"/>
      <c r="I288" s="255" t="s">
        <v>1436</v>
      </c>
      <c r="J288" s="256">
        <v>2</v>
      </c>
      <c r="K288" s="2"/>
    </row>
    <row r="289" spans="2:11" ht="15.75" thickBot="1" x14ac:dyDescent="0.3">
      <c r="B289" s="3" t="s">
        <v>1091</v>
      </c>
      <c r="C289" s="4" t="s">
        <v>1027</v>
      </c>
      <c r="D289" s="2"/>
      <c r="E289" s="2"/>
      <c r="H289" s="2"/>
      <c r="I289" s="257" t="s">
        <v>1054</v>
      </c>
      <c r="J289" s="259">
        <v>25</v>
      </c>
      <c r="K289" s="2"/>
    </row>
    <row r="290" spans="2:11" ht="15.75" thickBot="1" x14ac:dyDescent="0.3">
      <c r="B290" s="2"/>
      <c r="C290" s="2"/>
      <c r="D290" s="2"/>
      <c r="E290" s="2"/>
      <c r="H290" s="2"/>
      <c r="K290" s="2"/>
    </row>
    <row r="291" spans="2:11" x14ac:dyDescent="0.25">
      <c r="B291" s="233" t="s">
        <v>1053</v>
      </c>
      <c r="C291" s="235" t="s">
        <v>1055</v>
      </c>
      <c r="D291" s="2"/>
      <c r="E291" s="2"/>
      <c r="H291" s="2"/>
      <c r="K291" s="2"/>
    </row>
    <row r="292" spans="2:11" x14ac:dyDescent="0.25">
      <c r="B292" s="255" t="s">
        <v>1212</v>
      </c>
      <c r="C292" s="256">
        <v>13</v>
      </c>
      <c r="D292" s="2"/>
      <c r="E292" s="2"/>
      <c r="H292" s="2"/>
      <c r="K292" s="2"/>
    </row>
    <row r="293" spans="2:11" x14ac:dyDescent="0.25">
      <c r="B293" s="255" t="s">
        <v>1213</v>
      </c>
      <c r="C293" s="256">
        <v>12</v>
      </c>
      <c r="D293" s="2"/>
      <c r="E293" s="2"/>
      <c r="H293" s="2"/>
      <c r="I293" s="2"/>
      <c r="J293" s="2"/>
      <c r="K293" s="2"/>
    </row>
    <row r="294" spans="2:11" x14ac:dyDescent="0.25">
      <c r="B294" s="255" t="s">
        <v>1215</v>
      </c>
      <c r="C294" s="256">
        <v>1</v>
      </c>
      <c r="D294" s="2"/>
      <c r="E294" s="2"/>
      <c r="H294" s="2"/>
      <c r="I294" s="2"/>
      <c r="J294" s="2"/>
      <c r="K294" s="2"/>
    </row>
    <row r="295" spans="2:11" x14ac:dyDescent="0.25">
      <c r="B295" s="255" t="s">
        <v>1217</v>
      </c>
      <c r="C295" s="256">
        <v>51</v>
      </c>
      <c r="D295" s="2"/>
      <c r="E295" s="2"/>
      <c r="F295" s="2"/>
      <c r="G295" s="2"/>
      <c r="H295" s="2"/>
      <c r="I295" s="2"/>
      <c r="J295" s="2"/>
      <c r="K295" s="2"/>
    </row>
    <row r="296" spans="2:11" x14ac:dyDescent="0.25">
      <c r="B296" s="255" t="s">
        <v>1430</v>
      </c>
      <c r="C296" s="256">
        <v>342</v>
      </c>
      <c r="D296" s="2"/>
      <c r="E296" s="2"/>
      <c r="F296" s="2"/>
      <c r="G296" s="2"/>
      <c r="H296" s="2"/>
      <c r="I296" s="2"/>
      <c r="J296" s="2"/>
      <c r="K296" s="2"/>
    </row>
    <row r="297" spans="2:11" ht="15.75" thickBot="1" x14ac:dyDescent="0.3">
      <c r="B297" s="257" t="s">
        <v>1054</v>
      </c>
      <c r="C297" s="259">
        <v>419</v>
      </c>
      <c r="D297" s="2"/>
      <c r="E297" s="2"/>
      <c r="F297" s="2"/>
      <c r="G297" s="2"/>
      <c r="H297" s="2"/>
      <c r="I297" s="2"/>
      <c r="J297" s="2"/>
      <c r="K297" s="2"/>
    </row>
    <row r="298" spans="2:11" x14ac:dyDescent="0.25">
      <c r="D298" s="2"/>
      <c r="E298" s="2"/>
      <c r="F298" s="2"/>
      <c r="G298" s="2"/>
      <c r="H298" s="2"/>
      <c r="I298" s="2"/>
      <c r="J298" s="2"/>
      <c r="K298" s="2"/>
    </row>
    <row r="299" spans="2:11" x14ac:dyDescent="0.25">
      <c r="B299" s="2"/>
      <c r="C299" s="2"/>
      <c r="D299" s="2"/>
      <c r="E299" s="2"/>
      <c r="F299" s="2"/>
      <c r="G299" s="2"/>
      <c r="H299" s="2"/>
      <c r="I299" s="2"/>
      <c r="J299" s="2"/>
      <c r="K299" s="2"/>
    </row>
    <row r="300" spans="2:11" x14ac:dyDescent="0.25">
      <c r="B300" s="2"/>
      <c r="C300" s="2"/>
      <c r="D300" s="2"/>
      <c r="E300" s="2"/>
      <c r="F300" s="2"/>
      <c r="G300" s="2"/>
      <c r="H300" s="2"/>
      <c r="I300" s="2"/>
      <c r="J300" s="2"/>
      <c r="K300" s="2"/>
    </row>
    <row r="301" spans="2:11" x14ac:dyDescent="0.25">
      <c r="B301" s="2"/>
      <c r="C301" s="2"/>
      <c r="D301" s="2"/>
      <c r="E301" s="2"/>
      <c r="F301" s="2"/>
      <c r="G301" s="2"/>
      <c r="H301" s="2"/>
      <c r="I301" s="2"/>
      <c r="J301" s="2"/>
      <c r="K301" s="2"/>
    </row>
    <row r="303" spans="2:11" x14ac:dyDescent="0.25">
      <c r="B303" s="1" t="s">
        <v>1223</v>
      </c>
      <c r="C303" s="2"/>
      <c r="D303" s="2"/>
      <c r="E303" s="1" t="s">
        <v>1223</v>
      </c>
      <c r="F303" s="2"/>
      <c r="G303" s="2"/>
      <c r="H303" s="1" t="s">
        <v>1223</v>
      </c>
      <c r="I303" s="2"/>
      <c r="J303" s="2"/>
    </row>
    <row r="304" spans="2:11" ht="15.75" thickBot="1" x14ac:dyDescent="0.3">
      <c r="B304" s="1"/>
      <c r="C304" s="2"/>
      <c r="D304" s="2"/>
      <c r="E304" s="1"/>
      <c r="F304" s="2"/>
      <c r="G304" s="2"/>
      <c r="H304" s="1"/>
      <c r="I304" s="2"/>
      <c r="J304" s="2"/>
    </row>
    <row r="305" spans="2:10" ht="15.75" thickBot="1" x14ac:dyDescent="0.3">
      <c r="B305" s="3" t="s">
        <v>1091</v>
      </c>
      <c r="C305" s="4" t="s">
        <v>1057</v>
      </c>
      <c r="D305" s="2"/>
      <c r="E305" s="3" t="s">
        <v>1091</v>
      </c>
      <c r="F305" s="4" t="s">
        <v>1050</v>
      </c>
      <c r="G305" s="2"/>
      <c r="H305" s="3" t="s">
        <v>1091</v>
      </c>
      <c r="I305" s="4" t="s">
        <v>1027</v>
      </c>
      <c r="J305" s="2"/>
    </row>
    <row r="306" spans="2:10" ht="15.75" thickBot="1" x14ac:dyDescent="0.3">
      <c r="B306" s="2"/>
      <c r="C306" s="2"/>
      <c r="D306" s="2"/>
      <c r="E306" s="2"/>
      <c r="F306" s="2"/>
      <c r="G306" s="2"/>
      <c r="H306" s="2"/>
      <c r="I306" s="2"/>
      <c r="J306" s="2"/>
    </row>
    <row r="307" spans="2:10" x14ac:dyDescent="0.25">
      <c r="B307" s="233" t="s">
        <v>1053</v>
      </c>
      <c r="C307" s="235" t="s">
        <v>1055</v>
      </c>
      <c r="D307" s="2"/>
      <c r="E307" s="233" t="s">
        <v>1053</v>
      </c>
      <c r="F307" s="235" t="s">
        <v>1055</v>
      </c>
      <c r="G307" s="2"/>
      <c r="H307" s="233" t="s">
        <v>1053</v>
      </c>
      <c r="I307" s="235" t="s">
        <v>1055</v>
      </c>
      <c r="J307" s="2"/>
    </row>
    <row r="308" spans="2:10" x14ac:dyDescent="0.25">
      <c r="B308" s="255" t="s">
        <v>1225</v>
      </c>
      <c r="C308" s="256">
        <v>4</v>
      </c>
      <c r="D308" s="2"/>
      <c r="E308" s="255" t="s">
        <v>1225</v>
      </c>
      <c r="F308" s="256">
        <v>12</v>
      </c>
      <c r="G308" s="2"/>
      <c r="H308" s="255" t="s">
        <v>1225</v>
      </c>
      <c r="I308" s="256">
        <v>1</v>
      </c>
      <c r="J308" s="2"/>
    </row>
    <row r="309" spans="2:10" x14ac:dyDescent="0.25">
      <c r="B309" s="255" t="s">
        <v>1212</v>
      </c>
      <c r="C309" s="256">
        <v>31</v>
      </c>
      <c r="D309" s="2"/>
      <c r="E309" s="255" t="s">
        <v>1212</v>
      </c>
      <c r="F309" s="256">
        <v>3</v>
      </c>
      <c r="G309" s="2"/>
      <c r="H309" s="255" t="s">
        <v>1212</v>
      </c>
      <c r="I309" s="256">
        <v>14</v>
      </c>
      <c r="J309" s="2"/>
    </row>
    <row r="310" spans="2:10" x14ac:dyDescent="0.25">
      <c r="B310" s="255" t="s">
        <v>1265</v>
      </c>
      <c r="C310" s="256">
        <v>63</v>
      </c>
      <c r="D310" s="2"/>
      <c r="E310" s="255" t="s">
        <v>1265</v>
      </c>
      <c r="F310" s="256">
        <v>30</v>
      </c>
      <c r="G310" s="2"/>
      <c r="H310" s="255" t="s">
        <v>1265</v>
      </c>
      <c r="I310" s="256">
        <v>43</v>
      </c>
      <c r="J310" s="2"/>
    </row>
    <row r="311" spans="2:10" x14ac:dyDescent="0.25">
      <c r="B311" s="255" t="s">
        <v>1443</v>
      </c>
      <c r="C311" s="256">
        <v>8</v>
      </c>
      <c r="D311" s="2"/>
      <c r="E311" s="255" t="s">
        <v>1443</v>
      </c>
      <c r="F311" s="256">
        <v>43</v>
      </c>
      <c r="G311" s="2"/>
      <c r="H311" s="255" t="s">
        <v>1443</v>
      </c>
      <c r="I311" s="256">
        <v>102</v>
      </c>
      <c r="J311" s="2"/>
    </row>
    <row r="312" spans="2:10" x14ac:dyDescent="0.25">
      <c r="B312" s="255" t="s">
        <v>1229</v>
      </c>
      <c r="C312" s="256">
        <v>45</v>
      </c>
      <c r="D312" s="2"/>
      <c r="E312" s="255" t="s">
        <v>1229</v>
      </c>
      <c r="F312" s="256">
        <v>2</v>
      </c>
      <c r="G312" s="2"/>
      <c r="H312" s="255" t="s">
        <v>1229</v>
      </c>
      <c r="I312" s="256">
        <v>11</v>
      </c>
      <c r="J312" s="2"/>
    </row>
    <row r="313" spans="2:10" x14ac:dyDescent="0.25">
      <c r="B313" s="255" t="s">
        <v>1228</v>
      </c>
      <c r="C313" s="256">
        <v>1</v>
      </c>
      <c r="D313" s="2"/>
      <c r="E313" s="255" t="s">
        <v>1228</v>
      </c>
      <c r="F313" s="256">
        <v>1</v>
      </c>
      <c r="G313" s="2"/>
      <c r="H313" s="255" t="s">
        <v>1228</v>
      </c>
      <c r="I313" s="256">
        <v>0</v>
      </c>
      <c r="J313" s="2"/>
    </row>
    <row r="314" spans="2:10" x14ac:dyDescent="0.25">
      <c r="B314" s="255" t="s">
        <v>1230</v>
      </c>
      <c r="C314" s="256">
        <v>24</v>
      </c>
      <c r="D314" s="2"/>
      <c r="E314" s="255" t="s">
        <v>1230</v>
      </c>
      <c r="F314" s="256">
        <v>27</v>
      </c>
      <c r="G314" s="2"/>
      <c r="H314" s="255" t="s">
        <v>1230</v>
      </c>
      <c r="I314" s="256">
        <v>8</v>
      </c>
      <c r="J314" s="2"/>
    </row>
    <row r="315" spans="2:10" x14ac:dyDescent="0.25">
      <c r="B315" s="255" t="s">
        <v>1232</v>
      </c>
      <c r="C315" s="256">
        <v>17</v>
      </c>
      <c r="D315" s="2"/>
      <c r="E315" s="255" t="s">
        <v>1231</v>
      </c>
      <c r="F315" s="256">
        <v>5</v>
      </c>
      <c r="G315" s="2"/>
      <c r="H315" s="255" t="s">
        <v>1231</v>
      </c>
      <c r="I315" s="256">
        <v>3</v>
      </c>
      <c r="J315" s="2"/>
    </row>
    <row r="316" spans="2:10" x14ac:dyDescent="0.25">
      <c r="B316" s="255" t="s">
        <v>1267</v>
      </c>
      <c r="C316" s="256">
        <v>3</v>
      </c>
      <c r="D316" s="2"/>
      <c r="E316" s="255" t="s">
        <v>1232</v>
      </c>
      <c r="F316" s="256">
        <v>30</v>
      </c>
      <c r="G316" s="2"/>
      <c r="H316" s="255" t="s">
        <v>1232</v>
      </c>
      <c r="I316" s="256">
        <v>40</v>
      </c>
      <c r="J316" s="2"/>
    </row>
    <row r="317" spans="2:10" x14ac:dyDescent="0.25">
      <c r="B317" s="255" t="s">
        <v>1234</v>
      </c>
      <c r="C317" s="256">
        <v>9</v>
      </c>
      <c r="D317" s="2"/>
      <c r="E317" s="255" t="s">
        <v>1267</v>
      </c>
      <c r="F317" s="256">
        <v>14</v>
      </c>
      <c r="G317" s="2"/>
      <c r="H317" s="255" t="s">
        <v>1267</v>
      </c>
      <c r="I317" s="256">
        <v>22</v>
      </c>
      <c r="J317" s="2"/>
    </row>
    <row r="318" spans="2:10" x14ac:dyDescent="0.25">
      <c r="B318" s="255" t="s">
        <v>1235</v>
      </c>
      <c r="C318" s="256">
        <v>19</v>
      </c>
      <c r="D318" s="2"/>
      <c r="E318" s="255" t="s">
        <v>1234</v>
      </c>
      <c r="F318" s="256">
        <v>5</v>
      </c>
      <c r="G318" s="2"/>
      <c r="H318" s="255" t="s">
        <v>1234</v>
      </c>
      <c r="I318" s="256">
        <v>2</v>
      </c>
      <c r="J318" s="2"/>
    </row>
    <row r="319" spans="2:10" x14ac:dyDescent="0.25">
      <c r="B319" s="255" t="s">
        <v>1236</v>
      </c>
      <c r="C319" s="256">
        <v>22</v>
      </c>
      <c r="D319" s="2"/>
      <c r="E319" s="255" t="s">
        <v>1235</v>
      </c>
      <c r="F319" s="256">
        <v>8</v>
      </c>
      <c r="G319" s="2"/>
      <c r="H319" s="255" t="s">
        <v>1235</v>
      </c>
      <c r="I319" s="256">
        <v>10</v>
      </c>
      <c r="J319" s="2"/>
    </row>
    <row r="320" spans="2:10" x14ac:dyDescent="0.25">
      <c r="B320" s="255" t="s">
        <v>1442</v>
      </c>
      <c r="C320" s="256">
        <v>5</v>
      </c>
      <c r="D320" s="2"/>
      <c r="E320" s="255" t="s">
        <v>1236</v>
      </c>
      <c r="F320" s="256">
        <v>31</v>
      </c>
      <c r="G320" s="2"/>
      <c r="H320" s="255" t="s">
        <v>1442</v>
      </c>
      <c r="I320" s="256">
        <v>11</v>
      </c>
      <c r="J320" s="2"/>
    </row>
    <row r="321" spans="2:10" x14ac:dyDescent="0.25">
      <c r="B321" s="255" t="s">
        <v>1215</v>
      </c>
      <c r="C321" s="256">
        <v>35</v>
      </c>
      <c r="D321" s="2"/>
      <c r="E321" s="255" t="s">
        <v>1442</v>
      </c>
      <c r="F321" s="256">
        <v>301</v>
      </c>
      <c r="G321" s="2"/>
      <c r="H321" s="255" t="s">
        <v>1215</v>
      </c>
      <c r="I321" s="256">
        <v>79</v>
      </c>
      <c r="J321" s="2"/>
    </row>
    <row r="322" spans="2:10" x14ac:dyDescent="0.25">
      <c r="B322" s="255" t="s">
        <v>1238</v>
      </c>
      <c r="C322" s="256">
        <v>22</v>
      </c>
      <c r="D322" s="2"/>
      <c r="E322" s="255" t="s">
        <v>1215</v>
      </c>
      <c r="F322" s="256">
        <v>184</v>
      </c>
      <c r="G322" s="2"/>
      <c r="H322" s="255" t="s">
        <v>1238</v>
      </c>
      <c r="I322" s="256">
        <v>53</v>
      </c>
      <c r="J322" s="2"/>
    </row>
    <row r="323" spans="2:10" x14ac:dyDescent="0.25">
      <c r="B323" s="255" t="s">
        <v>1239</v>
      </c>
      <c r="C323" s="256">
        <v>6</v>
      </c>
      <c r="D323" s="2"/>
      <c r="E323" s="255" t="s">
        <v>1238</v>
      </c>
      <c r="F323" s="256">
        <v>6</v>
      </c>
      <c r="G323" s="2"/>
      <c r="H323" s="255" t="s">
        <v>1239</v>
      </c>
      <c r="I323" s="256">
        <v>11</v>
      </c>
      <c r="J323" s="2"/>
    </row>
    <row r="324" spans="2:10" x14ac:dyDescent="0.25">
      <c r="B324" s="255" t="s">
        <v>1219</v>
      </c>
      <c r="C324" s="256">
        <v>0</v>
      </c>
      <c r="D324" s="2"/>
      <c r="E324" s="255" t="s">
        <v>1239</v>
      </c>
      <c r="F324" s="256">
        <v>3</v>
      </c>
      <c r="G324" s="2"/>
      <c r="H324" s="255" t="s">
        <v>1219</v>
      </c>
      <c r="I324" s="256">
        <v>9</v>
      </c>
      <c r="J324" s="2"/>
    </row>
    <row r="325" spans="2:10" ht="15.75" thickBot="1" x14ac:dyDescent="0.3">
      <c r="B325" s="257" t="s">
        <v>1054</v>
      </c>
      <c r="C325" s="259">
        <v>314</v>
      </c>
      <c r="D325" s="2"/>
      <c r="E325" s="255" t="s">
        <v>1219</v>
      </c>
      <c r="F325" s="256">
        <v>4</v>
      </c>
      <c r="G325" s="2"/>
      <c r="H325" s="257" t="s">
        <v>1054</v>
      </c>
      <c r="I325" s="259">
        <v>419</v>
      </c>
      <c r="J325" s="2"/>
    </row>
    <row r="326" spans="2:10" ht="15.75" thickBot="1" x14ac:dyDescent="0.3">
      <c r="D326" s="2"/>
      <c r="E326" s="257" t="s">
        <v>1054</v>
      </c>
      <c r="F326" s="259">
        <v>709</v>
      </c>
      <c r="G326" s="2"/>
      <c r="J326" s="2"/>
    </row>
    <row r="327" spans="2:10" x14ac:dyDescent="0.25">
      <c r="B327" s="2"/>
      <c r="C327" s="2"/>
      <c r="D327" s="2"/>
      <c r="E327" s="2"/>
      <c r="F327" s="2"/>
      <c r="G327" s="2"/>
      <c r="H327" s="2"/>
      <c r="I327" s="2"/>
      <c r="J327" s="2"/>
    </row>
    <row r="330" spans="2:10" x14ac:dyDescent="0.25">
      <c r="B330" s="1" t="s">
        <v>1240</v>
      </c>
      <c r="C330" s="2"/>
      <c r="D330" s="2"/>
      <c r="E330" s="2"/>
    </row>
    <row r="331" spans="2:10" ht="15.75" thickBot="1" x14ac:dyDescent="0.3">
      <c r="B331" s="1"/>
      <c r="C331" s="2"/>
      <c r="D331" s="2"/>
      <c r="E331" s="2"/>
    </row>
    <row r="332" spans="2:10" ht="15.75" thickBot="1" x14ac:dyDescent="0.3">
      <c r="B332" s="3" t="s">
        <v>1091</v>
      </c>
      <c r="C332" s="4" t="s">
        <v>1027</v>
      </c>
      <c r="D332" s="2"/>
      <c r="E332" s="2"/>
    </row>
    <row r="333" spans="2:10" ht="15.75" thickBot="1" x14ac:dyDescent="0.3">
      <c r="B333" s="2"/>
      <c r="C333" s="2"/>
      <c r="D333" s="2"/>
      <c r="E333" s="2"/>
    </row>
    <row r="334" spans="2:10" ht="30" x14ac:dyDescent="0.25">
      <c r="B334" s="262" t="s">
        <v>1053</v>
      </c>
      <c r="C334" s="263" t="s">
        <v>1313</v>
      </c>
      <c r="D334" s="263" t="s">
        <v>1452</v>
      </c>
      <c r="E334" s="264" t="s">
        <v>1055</v>
      </c>
    </row>
    <row r="335" spans="2:10" x14ac:dyDescent="0.25">
      <c r="B335" s="255" t="s">
        <v>1225</v>
      </c>
      <c r="C335" s="244">
        <v>11</v>
      </c>
      <c r="D335" s="244">
        <v>10</v>
      </c>
      <c r="E335" s="256">
        <v>1</v>
      </c>
    </row>
    <row r="336" spans="2:10" x14ac:dyDescent="0.25">
      <c r="B336" s="255" t="s">
        <v>1212</v>
      </c>
      <c r="C336" s="244">
        <v>17</v>
      </c>
      <c r="D336" s="244">
        <v>3</v>
      </c>
      <c r="E336" s="256">
        <v>14</v>
      </c>
    </row>
    <row r="337" spans="2:5" x14ac:dyDescent="0.25">
      <c r="B337" s="255" t="s">
        <v>1265</v>
      </c>
      <c r="C337" s="244">
        <v>47</v>
      </c>
      <c r="D337" s="244">
        <v>4</v>
      </c>
      <c r="E337" s="256">
        <v>43</v>
      </c>
    </row>
    <row r="338" spans="2:5" x14ac:dyDescent="0.25">
      <c r="B338" s="255" t="s">
        <v>1443</v>
      </c>
      <c r="C338" s="244">
        <v>105</v>
      </c>
      <c r="D338" s="244">
        <v>3</v>
      </c>
      <c r="E338" s="256">
        <v>102</v>
      </c>
    </row>
    <row r="339" spans="2:5" x14ac:dyDescent="0.25">
      <c r="B339" s="255" t="s">
        <v>1229</v>
      </c>
      <c r="C339" s="244">
        <v>16</v>
      </c>
      <c r="D339" s="244">
        <v>5</v>
      </c>
      <c r="E339" s="256">
        <v>11</v>
      </c>
    </row>
    <row r="340" spans="2:5" x14ac:dyDescent="0.25">
      <c r="B340" s="255" t="s">
        <v>1228</v>
      </c>
      <c r="C340" s="244">
        <v>2</v>
      </c>
      <c r="D340" s="244">
        <v>2</v>
      </c>
      <c r="E340" s="256">
        <v>0</v>
      </c>
    </row>
    <row r="341" spans="2:5" x14ac:dyDescent="0.25">
      <c r="B341" s="255" t="s">
        <v>1230</v>
      </c>
      <c r="C341" s="244">
        <v>15</v>
      </c>
      <c r="D341" s="244">
        <v>7</v>
      </c>
      <c r="E341" s="256">
        <v>8</v>
      </c>
    </row>
    <row r="342" spans="2:5" x14ac:dyDescent="0.25">
      <c r="B342" s="255" t="s">
        <v>1231</v>
      </c>
      <c r="C342" s="244">
        <v>6</v>
      </c>
      <c r="D342" s="244">
        <v>3</v>
      </c>
      <c r="E342" s="256">
        <v>3</v>
      </c>
    </row>
    <row r="343" spans="2:5" x14ac:dyDescent="0.25">
      <c r="B343" s="255" t="s">
        <v>1232</v>
      </c>
      <c r="C343" s="244">
        <v>43</v>
      </c>
      <c r="D343" s="244">
        <v>3</v>
      </c>
      <c r="E343" s="256">
        <v>40</v>
      </c>
    </row>
    <row r="344" spans="2:5" x14ac:dyDescent="0.25">
      <c r="B344" s="255" t="s">
        <v>1267</v>
      </c>
      <c r="C344" s="244">
        <v>27</v>
      </c>
      <c r="D344" s="244">
        <v>5</v>
      </c>
      <c r="E344" s="256">
        <v>22</v>
      </c>
    </row>
    <row r="345" spans="2:5" x14ac:dyDescent="0.25">
      <c r="B345" s="255" t="s">
        <v>1234</v>
      </c>
      <c r="C345" s="244">
        <v>5</v>
      </c>
      <c r="D345" s="244">
        <v>3</v>
      </c>
      <c r="E345" s="256">
        <v>2</v>
      </c>
    </row>
    <row r="346" spans="2:5" x14ac:dyDescent="0.25">
      <c r="B346" s="255" t="s">
        <v>1235</v>
      </c>
      <c r="C346" s="244">
        <v>23</v>
      </c>
      <c r="D346" s="244">
        <v>13</v>
      </c>
      <c r="E346" s="256">
        <v>10</v>
      </c>
    </row>
    <row r="347" spans="2:5" x14ac:dyDescent="0.25">
      <c r="B347" s="255" t="s">
        <v>1442</v>
      </c>
      <c r="C347" s="244">
        <v>16</v>
      </c>
      <c r="D347" s="244">
        <v>5</v>
      </c>
      <c r="E347" s="256">
        <v>11</v>
      </c>
    </row>
    <row r="348" spans="2:5" x14ac:dyDescent="0.25">
      <c r="B348" s="255" t="s">
        <v>1215</v>
      </c>
      <c r="C348" s="244">
        <v>80</v>
      </c>
      <c r="D348" s="244">
        <v>1</v>
      </c>
      <c r="E348" s="256">
        <v>79</v>
      </c>
    </row>
    <row r="349" spans="2:5" x14ac:dyDescent="0.25">
      <c r="B349" s="255" t="s">
        <v>1238</v>
      </c>
      <c r="C349" s="244">
        <v>56</v>
      </c>
      <c r="D349" s="244">
        <v>3</v>
      </c>
      <c r="E349" s="256">
        <v>53</v>
      </c>
    </row>
    <row r="350" spans="2:5" x14ac:dyDescent="0.25">
      <c r="B350" s="255" t="s">
        <v>1239</v>
      </c>
      <c r="C350" s="244">
        <v>16</v>
      </c>
      <c r="D350" s="244">
        <v>5</v>
      </c>
      <c r="E350" s="256">
        <v>11</v>
      </c>
    </row>
    <row r="351" spans="2:5" x14ac:dyDescent="0.25">
      <c r="B351" s="255" t="s">
        <v>1219</v>
      </c>
      <c r="C351" s="244">
        <v>11</v>
      </c>
      <c r="D351" s="244">
        <v>2</v>
      </c>
      <c r="E351" s="256">
        <v>9</v>
      </c>
    </row>
    <row r="352" spans="2:5" ht="15.75" thickBot="1" x14ac:dyDescent="0.3">
      <c r="B352" s="257" t="s">
        <v>1054</v>
      </c>
      <c r="C352" s="258">
        <v>496</v>
      </c>
      <c r="D352" s="258">
        <v>77</v>
      </c>
      <c r="E352" s="259">
        <v>419</v>
      </c>
    </row>
    <row r="354" spans="2:10" x14ac:dyDescent="0.25">
      <c r="B354" s="2"/>
      <c r="C354" s="2"/>
      <c r="D354" s="2"/>
      <c r="E354" s="2"/>
    </row>
    <row r="355" spans="2:10" x14ac:dyDescent="0.25">
      <c r="B355" s="2"/>
      <c r="C355" s="2"/>
      <c r="D355" s="2"/>
      <c r="E355" s="2"/>
    </row>
    <row r="356" spans="2:10" x14ac:dyDescent="0.25">
      <c r="B356" s="2"/>
      <c r="C356" s="2"/>
      <c r="D356" s="2"/>
      <c r="E356" s="2"/>
    </row>
    <row r="359" spans="2:10" x14ac:dyDescent="0.25">
      <c r="B359" s="1" t="s">
        <v>1454</v>
      </c>
      <c r="C359" s="2"/>
      <c r="D359" s="2"/>
      <c r="E359" s="2"/>
      <c r="F359" s="2"/>
      <c r="G359" s="2"/>
      <c r="H359" s="2"/>
      <c r="I359" s="2"/>
      <c r="J359" s="2"/>
    </row>
    <row r="360" spans="2:10" x14ac:dyDescent="0.25">
      <c r="B360" s="1" t="s">
        <v>1312</v>
      </c>
      <c r="C360" s="2"/>
      <c r="D360" s="2"/>
      <c r="E360" s="2"/>
      <c r="F360" s="2"/>
      <c r="G360" s="2"/>
      <c r="H360" s="2"/>
      <c r="I360" s="2"/>
      <c r="J360" s="2"/>
    </row>
    <row r="361" spans="2:10" ht="15.75" thickBot="1" x14ac:dyDescent="0.3">
      <c r="B361" s="2"/>
      <c r="C361" s="2"/>
      <c r="D361" s="2"/>
      <c r="E361" s="2"/>
      <c r="F361" s="2"/>
      <c r="G361" s="2"/>
      <c r="H361" s="2"/>
      <c r="I361" s="2"/>
      <c r="J361" s="2"/>
    </row>
    <row r="362" spans="2:10" ht="15.75" thickBot="1" x14ac:dyDescent="0.3">
      <c r="B362" s="3" t="s">
        <v>1091</v>
      </c>
      <c r="C362" s="4" t="s">
        <v>1027</v>
      </c>
      <c r="D362" s="2"/>
      <c r="E362" s="2"/>
      <c r="F362" s="2"/>
      <c r="G362" s="2"/>
      <c r="H362" s="2"/>
      <c r="I362" s="2"/>
      <c r="J362" s="2"/>
    </row>
    <row r="363" spans="2:10" ht="15.75" thickBot="1" x14ac:dyDescent="0.3">
      <c r="B363" s="3" t="s">
        <v>1029</v>
      </c>
      <c r="C363" s="4" t="s">
        <v>1294</v>
      </c>
      <c r="D363" s="2"/>
      <c r="E363" s="2"/>
      <c r="F363" s="2"/>
      <c r="G363" s="2"/>
      <c r="H363" s="2"/>
      <c r="I363" s="2"/>
      <c r="J363" s="2"/>
    </row>
    <row r="364" spans="2:10" ht="15.75" thickBot="1" x14ac:dyDescent="0.3">
      <c r="B364" s="2"/>
      <c r="C364" s="2"/>
      <c r="D364" s="2"/>
      <c r="E364" s="2"/>
      <c r="F364" s="2"/>
      <c r="G364" s="2"/>
      <c r="H364" s="2"/>
      <c r="I364" s="2"/>
      <c r="J364" s="2"/>
    </row>
    <row r="365" spans="2:10" x14ac:dyDescent="0.25">
      <c r="B365" s="233" t="s">
        <v>1053</v>
      </c>
      <c r="C365" s="234" t="s">
        <v>1422</v>
      </c>
      <c r="D365" s="234" t="s">
        <v>1423</v>
      </c>
      <c r="E365" s="234" t="s">
        <v>1424</v>
      </c>
      <c r="F365" s="234" t="s">
        <v>1425</v>
      </c>
      <c r="G365" s="234" t="s">
        <v>1426</v>
      </c>
      <c r="H365" s="234" t="s">
        <v>1427</v>
      </c>
      <c r="I365" s="234" t="s">
        <v>1428</v>
      </c>
      <c r="J365" s="235" t="s">
        <v>1429</v>
      </c>
    </row>
    <row r="366" spans="2:10" x14ac:dyDescent="0.25">
      <c r="B366" s="255" t="s">
        <v>1047</v>
      </c>
      <c r="C366" s="244"/>
      <c r="D366" s="244">
        <v>4</v>
      </c>
      <c r="E366" s="244">
        <v>16</v>
      </c>
      <c r="F366" s="244">
        <v>0</v>
      </c>
      <c r="G366" s="244">
        <v>0</v>
      </c>
      <c r="H366" s="244">
        <v>0</v>
      </c>
      <c r="I366" s="244">
        <v>0</v>
      </c>
      <c r="J366" s="256">
        <v>0</v>
      </c>
    </row>
    <row r="367" spans="2:10" x14ac:dyDescent="0.25">
      <c r="B367" s="255" t="s">
        <v>1049</v>
      </c>
      <c r="C367" s="244"/>
      <c r="D367" s="244">
        <v>1</v>
      </c>
      <c r="E367" s="244">
        <v>4</v>
      </c>
      <c r="F367" s="244">
        <v>0</v>
      </c>
      <c r="G367" s="244">
        <v>0</v>
      </c>
      <c r="H367" s="244">
        <v>0</v>
      </c>
      <c r="I367" s="244">
        <v>0</v>
      </c>
      <c r="J367" s="256">
        <v>0</v>
      </c>
    </row>
    <row r="368" spans="2:10" x14ac:dyDescent="0.25">
      <c r="B368" s="255" t="s">
        <v>1048</v>
      </c>
      <c r="C368" s="244">
        <v>1</v>
      </c>
      <c r="D368" s="244">
        <v>47</v>
      </c>
      <c r="E368" s="244">
        <v>43</v>
      </c>
      <c r="F368" s="244">
        <v>52</v>
      </c>
      <c r="G368" s="244">
        <v>18</v>
      </c>
      <c r="H368" s="244">
        <v>2</v>
      </c>
      <c r="I368" s="244">
        <v>-1</v>
      </c>
      <c r="J368" s="256">
        <v>0</v>
      </c>
    </row>
    <row r="369" spans="2:10" ht="15.75" thickBot="1" x14ac:dyDescent="0.3">
      <c r="B369" s="257" t="s">
        <v>1054</v>
      </c>
      <c r="C369" s="258">
        <v>1</v>
      </c>
      <c r="D369" s="258">
        <v>52</v>
      </c>
      <c r="E369" s="258">
        <v>63</v>
      </c>
      <c r="F369" s="258">
        <v>52</v>
      </c>
      <c r="G369" s="258">
        <v>18</v>
      </c>
      <c r="H369" s="258">
        <v>2</v>
      </c>
      <c r="I369" s="258">
        <v>-1</v>
      </c>
      <c r="J369" s="259">
        <v>0</v>
      </c>
    </row>
    <row r="370" spans="2:10" x14ac:dyDescent="0.25">
      <c r="B370" s="2"/>
      <c r="C370" s="2"/>
      <c r="D370" s="2"/>
      <c r="E370" s="2"/>
      <c r="F370" s="2"/>
      <c r="G370" s="2"/>
      <c r="H370" s="2"/>
      <c r="I370" s="2"/>
      <c r="J370" s="2"/>
    </row>
    <row r="371" spans="2:10" x14ac:dyDescent="0.25">
      <c r="B371" s="2"/>
      <c r="C371" s="2"/>
      <c r="D371" s="2"/>
      <c r="E371" s="2"/>
      <c r="F371" s="2"/>
      <c r="G371" s="2"/>
      <c r="H371" s="2"/>
      <c r="I371" s="2"/>
      <c r="J371" s="2"/>
    </row>
    <row r="372" spans="2:10" ht="15.75" thickBot="1" x14ac:dyDescent="0.3">
      <c r="B372" s="2"/>
      <c r="C372" s="2"/>
      <c r="D372" s="2"/>
      <c r="E372" s="2"/>
      <c r="F372" s="2"/>
      <c r="G372" s="2"/>
      <c r="H372" s="2"/>
      <c r="I372" s="2"/>
      <c r="J372" s="2"/>
    </row>
    <row r="373" spans="2:10" ht="15.75" thickBot="1" x14ac:dyDescent="0.3">
      <c r="B373" s="3" t="s">
        <v>1091</v>
      </c>
      <c r="C373" s="4" t="s">
        <v>1050</v>
      </c>
      <c r="D373" s="2"/>
      <c r="E373" s="2"/>
      <c r="F373" s="2"/>
      <c r="G373" s="2"/>
      <c r="H373" s="2"/>
      <c r="I373" s="2"/>
      <c r="J373" s="2"/>
    </row>
    <row r="374" spans="2:10" ht="15.75" thickBot="1" x14ac:dyDescent="0.3">
      <c r="B374" s="3" t="s">
        <v>1029</v>
      </c>
      <c r="C374" s="4" t="s">
        <v>1294</v>
      </c>
      <c r="D374" s="2"/>
      <c r="E374" s="2"/>
      <c r="F374" s="2"/>
      <c r="G374" s="2"/>
      <c r="H374" s="2"/>
      <c r="I374" s="2"/>
      <c r="J374" s="2"/>
    </row>
    <row r="375" spans="2:10" ht="15.75" thickBot="1" x14ac:dyDescent="0.3">
      <c r="B375" s="2"/>
      <c r="C375" s="2"/>
      <c r="D375" s="2"/>
      <c r="E375" s="2"/>
      <c r="F375" s="2"/>
      <c r="G375" s="2"/>
      <c r="H375" s="2"/>
      <c r="I375" s="2"/>
      <c r="J375" s="2"/>
    </row>
    <row r="376" spans="2:10" x14ac:dyDescent="0.25">
      <c r="B376" s="233" t="s">
        <v>1053</v>
      </c>
      <c r="C376" s="234" t="s">
        <v>1422</v>
      </c>
      <c r="D376" s="234" t="s">
        <v>1423</v>
      </c>
      <c r="E376" s="234" t="s">
        <v>1424</v>
      </c>
      <c r="F376" s="234" t="s">
        <v>1425</v>
      </c>
      <c r="G376" s="234" t="s">
        <v>1426</v>
      </c>
      <c r="H376" s="234" t="s">
        <v>1427</v>
      </c>
      <c r="I376" s="234" t="s">
        <v>1428</v>
      </c>
      <c r="J376" s="235" t="s">
        <v>1429</v>
      </c>
    </row>
    <row r="377" spans="2:10" x14ac:dyDescent="0.25">
      <c r="B377" s="255" t="s">
        <v>1047</v>
      </c>
      <c r="C377" s="244"/>
      <c r="D377" s="244">
        <v>10</v>
      </c>
      <c r="E377" s="244">
        <v>41</v>
      </c>
      <c r="F377" s="244">
        <v>10</v>
      </c>
      <c r="G377" s="244">
        <v>0</v>
      </c>
      <c r="H377" s="244">
        <v>0</v>
      </c>
      <c r="I377" s="244">
        <v>0</v>
      </c>
      <c r="J377" s="256">
        <v>0</v>
      </c>
    </row>
    <row r="378" spans="2:10" x14ac:dyDescent="0.25">
      <c r="B378" s="255" t="s">
        <v>1049</v>
      </c>
      <c r="C378" s="244"/>
      <c r="D378" s="244">
        <v>6</v>
      </c>
      <c r="E378" s="244">
        <v>2</v>
      </c>
      <c r="F378" s="244">
        <v>0</v>
      </c>
      <c r="G378" s="244">
        <v>0</v>
      </c>
      <c r="H378" s="244">
        <v>0</v>
      </c>
      <c r="I378" s="244">
        <v>0</v>
      </c>
      <c r="J378" s="256">
        <v>0</v>
      </c>
    </row>
    <row r="379" spans="2:10" x14ac:dyDescent="0.25">
      <c r="B379" s="255" t="s">
        <v>1048</v>
      </c>
      <c r="C379" s="244">
        <v>4</v>
      </c>
      <c r="D379" s="244">
        <v>113</v>
      </c>
      <c r="E379" s="244">
        <v>276</v>
      </c>
      <c r="F379" s="244">
        <v>109</v>
      </c>
      <c r="G379" s="244">
        <v>44</v>
      </c>
      <c r="H379" s="244">
        <v>7</v>
      </c>
      <c r="I379" s="244">
        <v>2</v>
      </c>
      <c r="J379" s="256">
        <v>0</v>
      </c>
    </row>
    <row r="380" spans="2:10" x14ac:dyDescent="0.25">
      <c r="B380" s="255" t="s">
        <v>1491</v>
      </c>
      <c r="C380" s="244"/>
      <c r="D380" s="244">
        <v>0</v>
      </c>
      <c r="E380" s="244">
        <v>0</v>
      </c>
      <c r="F380" s="244">
        <v>-1</v>
      </c>
      <c r="G380" s="244">
        <v>0</v>
      </c>
      <c r="H380" s="244">
        <v>0</v>
      </c>
      <c r="I380" s="244">
        <v>1</v>
      </c>
      <c r="J380" s="256">
        <v>0</v>
      </c>
    </row>
    <row r="381" spans="2:10" ht="15.75" thickBot="1" x14ac:dyDescent="0.3">
      <c r="B381" s="257" t="s">
        <v>1054</v>
      </c>
      <c r="C381" s="258">
        <v>4</v>
      </c>
      <c r="D381" s="258">
        <v>129</v>
      </c>
      <c r="E381" s="258">
        <v>319</v>
      </c>
      <c r="F381" s="258">
        <v>118</v>
      </c>
      <c r="G381" s="258">
        <v>44</v>
      </c>
      <c r="H381" s="258">
        <v>7</v>
      </c>
      <c r="I381" s="258">
        <v>3</v>
      </c>
      <c r="J381" s="259">
        <v>0</v>
      </c>
    </row>
    <row r="382" spans="2:10" x14ac:dyDescent="0.25">
      <c r="B382" s="2"/>
      <c r="C382" s="2"/>
      <c r="D382" s="2"/>
      <c r="E382" s="2"/>
      <c r="F382" s="2"/>
      <c r="G382" s="2"/>
      <c r="H382" s="2"/>
      <c r="I382" s="2"/>
      <c r="J382" s="2"/>
    </row>
    <row r="383" spans="2:10" ht="15.75" thickBot="1" x14ac:dyDescent="0.3">
      <c r="B383" s="2"/>
      <c r="C383" s="2"/>
      <c r="D383" s="2"/>
      <c r="E383" s="2"/>
      <c r="F383" s="2"/>
      <c r="G383" s="2"/>
      <c r="H383" s="2"/>
      <c r="I383" s="2"/>
      <c r="J383" s="2"/>
    </row>
    <row r="384" spans="2:10" ht="15.75" thickBot="1" x14ac:dyDescent="0.3">
      <c r="B384" s="3" t="s">
        <v>1091</v>
      </c>
      <c r="C384" s="4" t="s">
        <v>1057</v>
      </c>
      <c r="D384" s="2"/>
      <c r="E384" s="2"/>
      <c r="F384" s="2"/>
      <c r="G384" s="2"/>
      <c r="H384" s="2"/>
      <c r="I384" s="2"/>
      <c r="J384" s="2"/>
    </row>
    <row r="385" spans="2:18" ht="15.75" thickBot="1" x14ac:dyDescent="0.3">
      <c r="B385" s="3" t="s">
        <v>1029</v>
      </c>
      <c r="C385" s="4" t="s">
        <v>1294</v>
      </c>
      <c r="D385" s="2"/>
      <c r="E385" s="2"/>
      <c r="F385" s="2"/>
      <c r="G385" s="2"/>
      <c r="H385" s="2"/>
      <c r="I385" s="2"/>
      <c r="J385" s="2"/>
    </row>
    <row r="386" spans="2:18" ht="15.75" thickBot="1" x14ac:dyDescent="0.3">
      <c r="B386" s="2"/>
      <c r="C386" s="2"/>
      <c r="D386" s="2"/>
      <c r="E386" s="2"/>
      <c r="F386" s="2"/>
      <c r="G386" s="2"/>
      <c r="H386" s="2"/>
      <c r="I386" s="2"/>
      <c r="J386" s="2"/>
    </row>
    <row r="387" spans="2:18" x14ac:dyDescent="0.25">
      <c r="B387" s="233" t="s">
        <v>1053</v>
      </c>
      <c r="C387" s="234" t="s">
        <v>1422</v>
      </c>
      <c r="D387" s="234" t="s">
        <v>1423</v>
      </c>
      <c r="E387" s="234" t="s">
        <v>1424</v>
      </c>
      <c r="F387" s="234" t="s">
        <v>1425</v>
      </c>
      <c r="G387" s="234" t="s">
        <v>1426</v>
      </c>
      <c r="H387" s="234" t="s">
        <v>1427</v>
      </c>
      <c r="I387" s="234" t="s">
        <v>1428</v>
      </c>
      <c r="J387" s="235" t="s">
        <v>1429</v>
      </c>
    </row>
    <row r="388" spans="2:18" x14ac:dyDescent="0.25">
      <c r="B388" s="255" t="s">
        <v>1047</v>
      </c>
      <c r="C388" s="244"/>
      <c r="D388" s="244">
        <v>19</v>
      </c>
      <c r="E388" s="244">
        <v>0</v>
      </c>
      <c r="F388" s="244">
        <v>5</v>
      </c>
      <c r="G388" s="244">
        <v>0</v>
      </c>
      <c r="H388" s="244">
        <v>0</v>
      </c>
      <c r="I388" s="244">
        <v>0</v>
      </c>
      <c r="J388" s="256">
        <v>0</v>
      </c>
    </row>
    <row r="389" spans="2:18" x14ac:dyDescent="0.25">
      <c r="B389" s="255" t="s">
        <v>1049</v>
      </c>
      <c r="C389" s="244"/>
      <c r="D389" s="244">
        <v>16</v>
      </c>
      <c r="E389" s="244">
        <v>11</v>
      </c>
      <c r="F389" s="244">
        <v>0</v>
      </c>
      <c r="G389" s="244">
        <v>0</v>
      </c>
      <c r="H389" s="244">
        <v>0</v>
      </c>
      <c r="I389" s="244">
        <v>0</v>
      </c>
      <c r="J389" s="256">
        <v>0</v>
      </c>
    </row>
    <row r="390" spans="2:18" x14ac:dyDescent="0.25">
      <c r="B390" s="255" t="s">
        <v>1048</v>
      </c>
      <c r="C390" s="244">
        <v>5</v>
      </c>
      <c r="D390" s="244">
        <v>40</v>
      </c>
      <c r="E390" s="244">
        <v>50</v>
      </c>
      <c r="F390" s="244">
        <v>39</v>
      </c>
      <c r="G390" s="244">
        <v>10</v>
      </c>
      <c r="H390" s="244">
        <v>13</v>
      </c>
      <c r="I390" s="244">
        <v>6</v>
      </c>
      <c r="J390" s="256">
        <v>0</v>
      </c>
    </row>
    <row r="391" spans="2:18" x14ac:dyDescent="0.25">
      <c r="B391" s="255" t="s">
        <v>1090</v>
      </c>
      <c r="C391" s="244"/>
      <c r="D391" s="244">
        <v>-29</v>
      </c>
      <c r="E391" s="244">
        <v>-1</v>
      </c>
      <c r="F391" s="244">
        <v>0</v>
      </c>
      <c r="G391" s="244">
        <v>0</v>
      </c>
      <c r="H391" s="244">
        <v>0</v>
      </c>
      <c r="I391" s="244">
        <v>0</v>
      </c>
      <c r="J391" s="256">
        <v>0</v>
      </c>
    </row>
    <row r="392" spans="2:18" ht="15.75" thickBot="1" x14ac:dyDescent="0.3">
      <c r="B392" s="257" t="s">
        <v>1054</v>
      </c>
      <c r="C392" s="258">
        <v>5</v>
      </c>
      <c r="D392" s="258">
        <v>46</v>
      </c>
      <c r="E392" s="258">
        <v>60</v>
      </c>
      <c r="F392" s="258">
        <v>44</v>
      </c>
      <c r="G392" s="258">
        <v>10</v>
      </c>
      <c r="H392" s="258">
        <v>13</v>
      </c>
      <c r="I392" s="258">
        <v>6</v>
      </c>
      <c r="J392" s="259">
        <v>0</v>
      </c>
    </row>
    <row r="397" spans="2:18" x14ac:dyDescent="0.25">
      <c r="B397" s="1" t="s">
        <v>1455</v>
      </c>
      <c r="C397" s="2"/>
      <c r="D397" s="2"/>
      <c r="E397" s="1" t="s">
        <v>1455</v>
      </c>
      <c r="F397" s="2"/>
      <c r="G397" s="2"/>
      <c r="H397" s="1" t="s">
        <v>1455</v>
      </c>
      <c r="I397" s="2"/>
      <c r="J397" s="2"/>
      <c r="K397" s="1" t="s">
        <v>1455</v>
      </c>
      <c r="L397" s="2"/>
      <c r="M397" s="2"/>
      <c r="N397" s="1" t="s">
        <v>1455</v>
      </c>
      <c r="O397" s="2"/>
      <c r="P397" s="2"/>
      <c r="Q397" s="1" t="s">
        <v>1455</v>
      </c>
      <c r="R397" s="2"/>
    </row>
    <row r="398" spans="2:18" ht="15.75" thickBot="1" x14ac:dyDescent="0.3">
      <c r="B398" s="2" t="s">
        <v>1259</v>
      </c>
      <c r="C398" s="2"/>
      <c r="D398" s="2"/>
      <c r="E398" s="2" t="s">
        <v>1137</v>
      </c>
      <c r="F398" s="2"/>
      <c r="G398" s="2"/>
      <c r="H398" s="2" t="s">
        <v>1260</v>
      </c>
      <c r="I398" s="2"/>
      <c r="J398" s="2"/>
      <c r="K398" s="2" t="s">
        <v>1261</v>
      </c>
      <c r="L398" s="2"/>
      <c r="M398" s="2"/>
      <c r="N398" s="2" t="s">
        <v>1260</v>
      </c>
      <c r="O398" s="2"/>
      <c r="P398" s="2"/>
      <c r="Q398" s="2" t="s">
        <v>1261</v>
      </c>
      <c r="R398" s="2"/>
    </row>
    <row r="399" spans="2:18" ht="15.75" thickBot="1" x14ac:dyDescent="0.3">
      <c r="B399" s="3" t="s">
        <v>1091</v>
      </c>
      <c r="C399" s="4" t="s">
        <v>1050</v>
      </c>
      <c r="D399" s="2"/>
      <c r="E399" s="3" t="s">
        <v>1091</v>
      </c>
      <c r="F399" s="4" t="s">
        <v>1057</v>
      </c>
      <c r="G399" s="2"/>
      <c r="H399" s="3" t="s">
        <v>1091</v>
      </c>
      <c r="I399" s="4" t="s">
        <v>1050</v>
      </c>
      <c r="J399" s="2"/>
      <c r="K399" s="3" t="s">
        <v>1091</v>
      </c>
      <c r="L399" s="4" t="s">
        <v>1057</v>
      </c>
      <c r="M399" s="2"/>
      <c r="N399" s="3" t="s">
        <v>1091</v>
      </c>
      <c r="O399" s="4" t="s">
        <v>1050</v>
      </c>
      <c r="P399" s="2"/>
      <c r="Q399" s="3" t="s">
        <v>1091</v>
      </c>
      <c r="R399" s="4" t="s">
        <v>1057</v>
      </c>
    </row>
    <row r="400" spans="2:18" ht="15.75" thickBot="1" x14ac:dyDescent="0.3">
      <c r="B400" s="3" t="s">
        <v>1036</v>
      </c>
      <c r="C400" s="4" t="s">
        <v>1430</v>
      </c>
      <c r="D400" s="2"/>
      <c r="E400" s="3" t="s">
        <v>1036</v>
      </c>
      <c r="F400" s="4" t="s">
        <v>1430</v>
      </c>
      <c r="G400" s="2"/>
      <c r="H400" s="3" t="s">
        <v>1036</v>
      </c>
      <c r="I400" s="4" t="s">
        <v>1430</v>
      </c>
      <c r="J400" s="2"/>
      <c r="K400" s="3" t="s">
        <v>1036</v>
      </c>
      <c r="L400" s="4" t="s">
        <v>1430</v>
      </c>
      <c r="M400" s="2"/>
      <c r="N400" s="3" t="s">
        <v>1036</v>
      </c>
      <c r="O400" s="4" t="s">
        <v>1037</v>
      </c>
      <c r="P400" s="2"/>
      <c r="Q400" s="3" t="s">
        <v>1036</v>
      </c>
      <c r="R400" s="4" t="s">
        <v>1037</v>
      </c>
    </row>
    <row r="401" spans="2:18" ht="15.75" thickBot="1" x14ac:dyDescent="0.3">
      <c r="B401" s="3" t="s">
        <v>1029</v>
      </c>
      <c r="C401" s="4" t="s">
        <v>1294</v>
      </c>
      <c r="D401" s="2"/>
      <c r="E401" s="3" t="s">
        <v>1029</v>
      </c>
      <c r="F401" s="4" t="s">
        <v>1294</v>
      </c>
      <c r="G401" s="2"/>
      <c r="H401" s="3" t="s">
        <v>1029</v>
      </c>
      <c r="I401" s="4" t="s">
        <v>1294</v>
      </c>
      <c r="J401" s="2"/>
      <c r="K401" s="3" t="s">
        <v>1029</v>
      </c>
      <c r="L401" s="4" t="s">
        <v>1294</v>
      </c>
      <c r="M401" s="2"/>
      <c r="N401" s="3" t="s">
        <v>1029</v>
      </c>
      <c r="O401" s="4" t="s">
        <v>1294</v>
      </c>
      <c r="P401" s="2"/>
      <c r="Q401" s="3" t="s">
        <v>1029</v>
      </c>
      <c r="R401" s="4" t="s">
        <v>1294</v>
      </c>
    </row>
    <row r="402" spans="2:18" ht="15.75" thickBot="1" x14ac:dyDescent="0.3">
      <c r="B402" s="2"/>
      <c r="C402" s="2"/>
      <c r="D402" s="2"/>
      <c r="E402" s="2"/>
      <c r="F402" s="2"/>
      <c r="G402" s="2"/>
      <c r="H402" s="2"/>
      <c r="I402" s="2"/>
      <c r="J402" s="2"/>
      <c r="K402" s="2"/>
      <c r="L402" s="2"/>
      <c r="M402" s="2"/>
      <c r="N402" s="2"/>
      <c r="O402" s="2"/>
      <c r="P402" s="2"/>
      <c r="Q402" s="2"/>
      <c r="R402" s="2"/>
    </row>
    <row r="403" spans="2:18" x14ac:dyDescent="0.25">
      <c r="B403" s="262" t="s">
        <v>1053</v>
      </c>
      <c r="C403" s="235" t="s">
        <v>1055</v>
      </c>
      <c r="D403" s="2"/>
      <c r="E403" s="262" t="s">
        <v>1053</v>
      </c>
      <c r="F403" s="235" t="s">
        <v>1055</v>
      </c>
      <c r="G403" s="2"/>
      <c r="H403" s="262" t="s">
        <v>1053</v>
      </c>
      <c r="I403" s="235" t="s">
        <v>1055</v>
      </c>
      <c r="J403" s="2"/>
      <c r="K403" s="262" t="s">
        <v>1053</v>
      </c>
      <c r="L403" s="235" t="s">
        <v>1055</v>
      </c>
      <c r="M403" s="2"/>
      <c r="N403" s="262" t="s">
        <v>1053</v>
      </c>
      <c r="O403" s="235" t="s">
        <v>1055</v>
      </c>
      <c r="P403" s="2"/>
      <c r="Q403" s="262" t="s">
        <v>1053</v>
      </c>
      <c r="R403" s="235" t="s">
        <v>1055</v>
      </c>
    </row>
    <row r="404" spans="2:18" x14ac:dyDescent="0.25">
      <c r="B404" s="255" t="s">
        <v>1225</v>
      </c>
      <c r="C404" s="256">
        <v>10</v>
      </c>
      <c r="D404" s="2"/>
      <c r="E404" s="255" t="s">
        <v>1225</v>
      </c>
      <c r="F404" s="256">
        <v>5</v>
      </c>
      <c r="G404" s="2"/>
      <c r="H404" s="255" t="s">
        <v>1212</v>
      </c>
      <c r="I404" s="256">
        <v>-1</v>
      </c>
      <c r="J404" s="2"/>
      <c r="K404" s="255" t="s">
        <v>1225</v>
      </c>
      <c r="L404" s="256">
        <v>-3</v>
      </c>
      <c r="M404" s="2"/>
      <c r="N404" s="255" t="s">
        <v>1225</v>
      </c>
      <c r="O404" s="256">
        <v>2</v>
      </c>
      <c r="P404" s="2"/>
      <c r="Q404" s="255" t="s">
        <v>1225</v>
      </c>
      <c r="R404" s="256">
        <v>2</v>
      </c>
    </row>
    <row r="405" spans="2:18" x14ac:dyDescent="0.25">
      <c r="B405" s="255" t="s">
        <v>1212</v>
      </c>
      <c r="C405" s="256">
        <v>4</v>
      </c>
      <c r="D405" s="2"/>
      <c r="E405" s="255" t="s">
        <v>1212</v>
      </c>
      <c r="F405" s="256">
        <v>4</v>
      </c>
      <c r="G405" s="2"/>
      <c r="H405" s="255" t="s">
        <v>1265</v>
      </c>
      <c r="I405" s="256">
        <v>28</v>
      </c>
      <c r="J405" s="2"/>
      <c r="K405" s="255" t="s">
        <v>1212</v>
      </c>
      <c r="L405" s="256">
        <v>6</v>
      </c>
      <c r="M405" s="2"/>
      <c r="N405" s="255" t="s">
        <v>1265</v>
      </c>
      <c r="O405" s="256">
        <v>1</v>
      </c>
      <c r="P405" s="2"/>
      <c r="Q405" s="255" t="s">
        <v>1212</v>
      </c>
      <c r="R405" s="256">
        <v>21</v>
      </c>
    </row>
    <row r="406" spans="2:18" x14ac:dyDescent="0.25">
      <c r="B406" s="255" t="s">
        <v>1265</v>
      </c>
      <c r="C406" s="256">
        <v>1</v>
      </c>
      <c r="D406" s="2"/>
      <c r="E406" s="255" t="s">
        <v>1265</v>
      </c>
      <c r="F406" s="256">
        <v>44</v>
      </c>
      <c r="G406" s="2"/>
      <c r="H406" s="255" t="s">
        <v>1443</v>
      </c>
      <c r="I406" s="256">
        <v>-4</v>
      </c>
      <c r="J406" s="2"/>
      <c r="K406" s="255" t="s">
        <v>1265</v>
      </c>
      <c r="L406" s="256">
        <v>15</v>
      </c>
      <c r="M406" s="2"/>
      <c r="N406" s="255" t="s">
        <v>1229</v>
      </c>
      <c r="O406" s="256">
        <v>1</v>
      </c>
      <c r="P406" s="2"/>
      <c r="Q406" s="255" t="s">
        <v>1265</v>
      </c>
      <c r="R406" s="256">
        <v>4</v>
      </c>
    </row>
    <row r="407" spans="2:18" x14ac:dyDescent="0.25">
      <c r="B407" s="255" t="s">
        <v>1443</v>
      </c>
      <c r="C407" s="256">
        <v>47</v>
      </c>
      <c r="D407" s="2"/>
      <c r="E407" s="255" t="s">
        <v>1443</v>
      </c>
      <c r="F407" s="256">
        <v>8</v>
      </c>
      <c r="G407" s="2"/>
      <c r="H407" s="255" t="s">
        <v>1229</v>
      </c>
      <c r="I407" s="256">
        <v>0</v>
      </c>
      <c r="J407" s="2"/>
      <c r="K407" s="255" t="s">
        <v>1443</v>
      </c>
      <c r="L407" s="256">
        <v>0</v>
      </c>
      <c r="M407" s="2"/>
      <c r="N407" s="255" t="s">
        <v>1232</v>
      </c>
      <c r="O407" s="256">
        <v>3</v>
      </c>
      <c r="P407" s="2"/>
      <c r="Q407" s="255" t="s">
        <v>1229</v>
      </c>
      <c r="R407" s="256">
        <v>2</v>
      </c>
    </row>
    <row r="408" spans="2:18" x14ac:dyDescent="0.25">
      <c r="B408" s="255" t="s">
        <v>1229</v>
      </c>
      <c r="C408" s="256">
        <v>1</v>
      </c>
      <c r="D408" s="2"/>
      <c r="E408" s="255" t="s">
        <v>1229</v>
      </c>
      <c r="F408" s="256">
        <v>40</v>
      </c>
      <c r="G408" s="2"/>
      <c r="H408" s="255" t="s">
        <v>1230</v>
      </c>
      <c r="I408" s="256">
        <v>1</v>
      </c>
      <c r="J408" s="2"/>
      <c r="K408" s="255" t="s">
        <v>1229</v>
      </c>
      <c r="L408" s="256">
        <v>3</v>
      </c>
      <c r="M408" s="2"/>
      <c r="N408" s="255" t="s">
        <v>1236</v>
      </c>
      <c r="O408" s="256">
        <v>16</v>
      </c>
      <c r="P408" s="2"/>
      <c r="Q408" s="255" t="s">
        <v>1230</v>
      </c>
      <c r="R408" s="256">
        <v>8</v>
      </c>
    </row>
    <row r="409" spans="2:18" x14ac:dyDescent="0.25">
      <c r="B409" s="255" t="s">
        <v>1228</v>
      </c>
      <c r="C409" s="256">
        <v>1</v>
      </c>
      <c r="D409" s="2"/>
      <c r="E409" s="255" t="s">
        <v>1228</v>
      </c>
      <c r="F409" s="256">
        <v>1</v>
      </c>
      <c r="G409" s="2"/>
      <c r="H409" s="255" t="s">
        <v>1232</v>
      </c>
      <c r="I409" s="256">
        <v>1</v>
      </c>
      <c r="J409" s="2"/>
      <c r="K409" s="255" t="s">
        <v>1230</v>
      </c>
      <c r="L409" s="256">
        <v>6</v>
      </c>
      <c r="M409" s="2"/>
      <c r="N409" s="255" t="s">
        <v>1215</v>
      </c>
      <c r="O409" s="256">
        <v>7</v>
      </c>
      <c r="P409" s="2"/>
      <c r="Q409" s="255" t="s">
        <v>1232</v>
      </c>
      <c r="R409" s="256">
        <v>2</v>
      </c>
    </row>
    <row r="410" spans="2:18" ht="15.75" thickBot="1" x14ac:dyDescent="0.3">
      <c r="B410" s="255" t="s">
        <v>1230</v>
      </c>
      <c r="C410" s="256">
        <v>26</v>
      </c>
      <c r="D410" s="2"/>
      <c r="E410" s="255" t="s">
        <v>1230</v>
      </c>
      <c r="F410" s="256">
        <v>10</v>
      </c>
      <c r="G410" s="2"/>
      <c r="H410" s="255" t="s">
        <v>1267</v>
      </c>
      <c r="I410" s="256">
        <v>3</v>
      </c>
      <c r="J410" s="2"/>
      <c r="K410" s="255" t="s">
        <v>1232</v>
      </c>
      <c r="L410" s="256">
        <v>8</v>
      </c>
      <c r="M410" s="2"/>
      <c r="N410" s="257" t="s">
        <v>1054</v>
      </c>
      <c r="O410" s="259">
        <v>30</v>
      </c>
      <c r="P410" s="2"/>
      <c r="Q410" s="255" t="s">
        <v>1267</v>
      </c>
      <c r="R410" s="256">
        <v>1</v>
      </c>
    </row>
    <row r="411" spans="2:18" x14ac:dyDescent="0.25">
      <c r="B411" s="255" t="s">
        <v>1231</v>
      </c>
      <c r="C411" s="256">
        <v>5</v>
      </c>
      <c r="D411" s="2"/>
      <c r="E411" s="255" t="s">
        <v>1232</v>
      </c>
      <c r="F411" s="256">
        <v>7</v>
      </c>
      <c r="G411" s="2"/>
      <c r="H411" s="255" t="s">
        <v>1234</v>
      </c>
      <c r="I411" s="256">
        <v>2</v>
      </c>
      <c r="J411" s="2"/>
      <c r="K411" s="255" t="s">
        <v>1267</v>
      </c>
      <c r="L411" s="256">
        <v>0</v>
      </c>
      <c r="M411" s="2"/>
      <c r="P411" s="2"/>
      <c r="Q411" s="255" t="s">
        <v>1234</v>
      </c>
      <c r="R411" s="256">
        <v>1</v>
      </c>
    </row>
    <row r="412" spans="2:18" x14ac:dyDescent="0.25">
      <c r="B412" s="255" t="s">
        <v>1232</v>
      </c>
      <c r="C412" s="256">
        <v>26</v>
      </c>
      <c r="D412" s="2"/>
      <c r="E412" s="255" t="s">
        <v>1267</v>
      </c>
      <c r="F412" s="256">
        <v>2</v>
      </c>
      <c r="G412" s="2"/>
      <c r="H412" s="255" t="s">
        <v>1235</v>
      </c>
      <c r="I412" s="256">
        <v>-4</v>
      </c>
      <c r="J412" s="2"/>
      <c r="K412" s="255" t="s">
        <v>1234</v>
      </c>
      <c r="L412" s="256">
        <v>8</v>
      </c>
      <c r="M412" s="2"/>
      <c r="P412" s="2"/>
      <c r="Q412" s="255" t="s">
        <v>1215</v>
      </c>
      <c r="R412" s="256">
        <v>11</v>
      </c>
    </row>
    <row r="413" spans="2:18" x14ac:dyDescent="0.25">
      <c r="B413" s="255" t="s">
        <v>1267</v>
      </c>
      <c r="C413" s="256">
        <v>11</v>
      </c>
      <c r="D413" s="2"/>
      <c r="E413" s="255" t="s">
        <v>1234</v>
      </c>
      <c r="F413" s="256">
        <v>0</v>
      </c>
      <c r="G413" s="2"/>
      <c r="H413" s="255" t="s">
        <v>1236</v>
      </c>
      <c r="I413" s="256">
        <v>4</v>
      </c>
      <c r="J413" s="2"/>
      <c r="K413" s="255" t="s">
        <v>1235</v>
      </c>
      <c r="L413" s="256">
        <v>8</v>
      </c>
      <c r="M413" s="2"/>
      <c r="N413" s="2"/>
      <c r="O413" s="2"/>
      <c r="P413" s="2"/>
      <c r="Q413" s="255" t="s">
        <v>1238</v>
      </c>
      <c r="R413" s="256">
        <v>9</v>
      </c>
    </row>
    <row r="414" spans="2:18" ht="15.75" thickBot="1" x14ac:dyDescent="0.3">
      <c r="B414" s="255" t="s">
        <v>1234</v>
      </c>
      <c r="C414" s="256">
        <v>3</v>
      </c>
      <c r="D414" s="2"/>
      <c r="E414" s="255" t="s">
        <v>1235</v>
      </c>
      <c r="F414" s="256">
        <v>11</v>
      </c>
      <c r="G414" s="2"/>
      <c r="H414" s="255" t="s">
        <v>1442</v>
      </c>
      <c r="I414" s="256">
        <v>5</v>
      </c>
      <c r="J414" s="2"/>
      <c r="K414" s="255" t="s">
        <v>1236</v>
      </c>
      <c r="L414" s="256">
        <v>4</v>
      </c>
      <c r="M414" s="2"/>
      <c r="N414" s="2"/>
      <c r="O414" s="2"/>
      <c r="P414" s="2"/>
      <c r="Q414" s="257" t="s">
        <v>1054</v>
      </c>
      <c r="R414" s="259">
        <v>61</v>
      </c>
    </row>
    <row r="415" spans="2:18" x14ac:dyDescent="0.25">
      <c r="B415" s="255" t="s">
        <v>1235</v>
      </c>
      <c r="C415" s="256">
        <v>12</v>
      </c>
      <c r="D415" s="2"/>
      <c r="E415" s="255" t="s">
        <v>1236</v>
      </c>
      <c r="F415" s="256">
        <v>18</v>
      </c>
      <c r="G415" s="2"/>
      <c r="H415" s="255" t="s">
        <v>1215</v>
      </c>
      <c r="I415" s="256">
        <v>13</v>
      </c>
      <c r="J415" s="2"/>
      <c r="K415" s="255" t="s">
        <v>1442</v>
      </c>
      <c r="L415" s="256">
        <v>5</v>
      </c>
      <c r="M415" s="2"/>
      <c r="N415" s="2"/>
      <c r="O415" s="2"/>
      <c r="P415" s="2"/>
    </row>
    <row r="416" spans="2:18" x14ac:dyDescent="0.25">
      <c r="B416" s="255" t="s">
        <v>1236</v>
      </c>
      <c r="C416" s="256">
        <v>11</v>
      </c>
      <c r="D416" s="2"/>
      <c r="E416" s="255" t="s">
        <v>1215</v>
      </c>
      <c r="F416" s="256">
        <v>24</v>
      </c>
      <c r="G416" s="2"/>
      <c r="H416" s="255" t="s">
        <v>1238</v>
      </c>
      <c r="I416" s="256">
        <v>3</v>
      </c>
      <c r="J416" s="2"/>
      <c r="K416" s="255" t="s">
        <v>1215</v>
      </c>
      <c r="L416" s="256">
        <v>0</v>
      </c>
      <c r="M416" s="2"/>
      <c r="N416" s="2"/>
      <c r="O416" s="2"/>
      <c r="P416" s="2"/>
    </row>
    <row r="417" spans="2:18" x14ac:dyDescent="0.25">
      <c r="B417" s="255" t="s">
        <v>1442</v>
      </c>
      <c r="C417" s="256">
        <v>296</v>
      </c>
      <c r="D417" s="2"/>
      <c r="E417" s="255" t="s">
        <v>1238</v>
      </c>
      <c r="F417" s="256">
        <v>9</v>
      </c>
      <c r="G417" s="2"/>
      <c r="H417" s="255" t="s">
        <v>1239</v>
      </c>
      <c r="I417" s="256">
        <v>0</v>
      </c>
      <c r="J417" s="2"/>
      <c r="K417" s="255" t="s">
        <v>1238</v>
      </c>
      <c r="L417" s="256">
        <v>4</v>
      </c>
      <c r="M417" s="2"/>
      <c r="N417" s="2"/>
      <c r="O417" s="2"/>
      <c r="P417" s="2"/>
    </row>
    <row r="418" spans="2:18" x14ac:dyDescent="0.25">
      <c r="B418" s="255" t="s">
        <v>1215</v>
      </c>
      <c r="C418" s="256">
        <v>164</v>
      </c>
      <c r="D418" s="2"/>
      <c r="E418" s="255" t="s">
        <v>1239</v>
      </c>
      <c r="F418" s="256">
        <v>3</v>
      </c>
      <c r="G418" s="2"/>
      <c r="H418" s="255" t="s">
        <v>1219</v>
      </c>
      <c r="I418" s="256">
        <v>4</v>
      </c>
      <c r="J418" s="2"/>
      <c r="K418" s="255" t="s">
        <v>1239</v>
      </c>
      <c r="L418" s="256">
        <v>3</v>
      </c>
      <c r="M418" s="2"/>
      <c r="N418" s="2"/>
      <c r="O418" s="2"/>
      <c r="P418" s="2"/>
    </row>
    <row r="419" spans="2:18" ht="15.75" thickBot="1" x14ac:dyDescent="0.3">
      <c r="B419" s="255" t="s">
        <v>1238</v>
      </c>
      <c r="C419" s="256">
        <v>3</v>
      </c>
      <c r="D419" s="2"/>
      <c r="E419" s="255" t="s">
        <v>1219</v>
      </c>
      <c r="F419" s="256">
        <v>-3</v>
      </c>
      <c r="G419" s="2"/>
      <c r="H419" s="257" t="s">
        <v>1054</v>
      </c>
      <c r="I419" s="259">
        <v>55</v>
      </c>
      <c r="J419" s="2"/>
      <c r="K419" s="255" t="s">
        <v>1219</v>
      </c>
      <c r="L419" s="256">
        <v>3</v>
      </c>
      <c r="M419" s="2"/>
      <c r="N419" s="2"/>
      <c r="O419" s="2"/>
      <c r="P419" s="2"/>
      <c r="Q419" s="2"/>
      <c r="R419" s="2"/>
    </row>
    <row r="420" spans="2:18" ht="15.75" thickBot="1" x14ac:dyDescent="0.3">
      <c r="B420" s="255" t="s">
        <v>1239</v>
      </c>
      <c r="C420" s="256">
        <v>3</v>
      </c>
      <c r="D420" s="2"/>
      <c r="E420" s="257" t="s">
        <v>1054</v>
      </c>
      <c r="F420" s="259">
        <v>183</v>
      </c>
      <c r="G420" s="2"/>
      <c r="J420" s="2"/>
      <c r="K420" s="257" t="s">
        <v>1054</v>
      </c>
      <c r="L420" s="259">
        <v>70</v>
      </c>
      <c r="M420" s="2"/>
      <c r="N420" s="2"/>
      <c r="O420" s="2"/>
      <c r="P420" s="2"/>
      <c r="Q420" s="2"/>
      <c r="R420" s="2"/>
    </row>
    <row r="421" spans="2:18" ht="15.75" thickBot="1" x14ac:dyDescent="0.3">
      <c r="B421" s="257" t="s">
        <v>1054</v>
      </c>
      <c r="C421" s="259">
        <v>624</v>
      </c>
      <c r="D421" s="2"/>
      <c r="G421" s="2"/>
      <c r="H421" s="2"/>
      <c r="I421" s="2"/>
      <c r="J421" s="2"/>
      <c r="K421" s="2"/>
      <c r="L421" s="2"/>
      <c r="M421" s="2"/>
      <c r="N421" s="2"/>
      <c r="O421" s="2"/>
      <c r="P421" s="2"/>
      <c r="Q421" s="2"/>
      <c r="R421" s="2"/>
    </row>
    <row r="422" spans="2:18" x14ac:dyDescent="0.25">
      <c r="B422" s="2"/>
      <c r="C422" s="2"/>
      <c r="D422" s="2"/>
      <c r="G422" s="2"/>
      <c r="H422" s="2"/>
      <c r="I422" s="2"/>
      <c r="J422" s="2"/>
      <c r="K422" s="2"/>
      <c r="L422" s="2"/>
      <c r="M422" s="2"/>
      <c r="N422" s="2"/>
      <c r="O422" s="2"/>
      <c r="P422" s="2"/>
      <c r="Q422" s="2"/>
      <c r="R422" s="2"/>
    </row>
    <row r="425" spans="2:18" ht="15.75" thickBot="1" x14ac:dyDescent="0.3"/>
    <row r="426" spans="2:18" ht="15.75" thickBot="1" x14ac:dyDescent="0.3">
      <c r="B426" s="3" t="s">
        <v>1036</v>
      </c>
      <c r="C426" s="4" t="s">
        <v>1335</v>
      </c>
      <c r="D426" s="2"/>
      <c r="E426" s="2"/>
      <c r="F426" s="2"/>
      <c r="G426" s="2"/>
      <c r="H426" s="2"/>
    </row>
    <row r="427" spans="2:18" ht="15.75" thickBot="1" x14ac:dyDescent="0.3">
      <c r="B427" s="2"/>
      <c r="C427" s="2"/>
      <c r="D427" s="2"/>
      <c r="E427" s="2"/>
      <c r="F427" s="2"/>
      <c r="G427" s="2"/>
      <c r="H427" s="2"/>
    </row>
    <row r="428" spans="2:18" x14ac:dyDescent="0.25">
      <c r="B428" s="262" t="s">
        <v>1053</v>
      </c>
      <c r="C428" s="234" t="s">
        <v>1307</v>
      </c>
      <c r="D428" s="234" t="s">
        <v>1308</v>
      </c>
      <c r="E428" s="234" t="s">
        <v>1309</v>
      </c>
      <c r="F428" s="234" t="s">
        <v>1310</v>
      </c>
      <c r="G428" s="235" t="s">
        <v>1311</v>
      </c>
      <c r="H428" s="2"/>
    </row>
    <row r="429" spans="2:18" x14ac:dyDescent="0.25">
      <c r="B429" s="255" t="s">
        <v>1212</v>
      </c>
      <c r="C429" s="244">
        <v>0</v>
      </c>
      <c r="D429" s="244">
        <v>0</v>
      </c>
      <c r="E429" s="244">
        <v>0</v>
      </c>
      <c r="F429" s="244">
        <v>0</v>
      </c>
      <c r="G429" s="256">
        <v>0</v>
      </c>
      <c r="H429" s="2">
        <f>SUM(C429:G429)</f>
        <v>0</v>
      </c>
    </row>
    <row r="430" spans="2:18" x14ac:dyDescent="0.25">
      <c r="B430" s="255" t="s">
        <v>1265</v>
      </c>
      <c r="C430" s="244">
        <v>0</v>
      </c>
      <c r="D430" s="244">
        <v>0</v>
      </c>
      <c r="E430" s="244">
        <v>0</v>
      </c>
      <c r="F430" s="244">
        <v>0</v>
      </c>
      <c r="G430" s="256">
        <v>0</v>
      </c>
      <c r="H430" s="2">
        <f t="shared" ref="H430:H440" si="0">SUM(C430:G430)</f>
        <v>0</v>
      </c>
    </row>
    <row r="431" spans="2:18" x14ac:dyDescent="0.25">
      <c r="B431" s="255" t="s">
        <v>1443</v>
      </c>
      <c r="C431" s="244">
        <v>0</v>
      </c>
      <c r="D431" s="244">
        <v>0</v>
      </c>
      <c r="E431" s="244">
        <v>60</v>
      </c>
      <c r="F431" s="244">
        <v>60</v>
      </c>
      <c r="G431" s="256">
        <v>60</v>
      </c>
      <c r="H431" s="2">
        <f t="shared" si="0"/>
        <v>180</v>
      </c>
    </row>
    <row r="432" spans="2:18" x14ac:dyDescent="0.25">
      <c r="B432" s="255" t="s">
        <v>1228</v>
      </c>
      <c r="C432" s="244">
        <v>0</v>
      </c>
      <c r="D432" s="244">
        <v>0</v>
      </c>
      <c r="E432" s="244">
        <v>0</v>
      </c>
      <c r="F432" s="244">
        <v>0</v>
      </c>
      <c r="G432" s="256">
        <v>0</v>
      </c>
      <c r="H432" s="2">
        <f t="shared" si="0"/>
        <v>0</v>
      </c>
    </row>
    <row r="433" spans="2:8" x14ac:dyDescent="0.25">
      <c r="B433" s="255" t="s">
        <v>1232</v>
      </c>
      <c r="C433" s="244">
        <v>0</v>
      </c>
      <c r="D433" s="244">
        <v>0</v>
      </c>
      <c r="E433" s="244">
        <v>0</v>
      </c>
      <c r="F433" s="244">
        <v>0</v>
      </c>
      <c r="G433" s="256">
        <v>0</v>
      </c>
      <c r="H433" s="2">
        <f t="shared" si="0"/>
        <v>0</v>
      </c>
    </row>
    <row r="434" spans="2:8" x14ac:dyDescent="0.25">
      <c r="B434" s="255" t="s">
        <v>1267</v>
      </c>
      <c r="C434" s="244">
        <v>16.600000000000001</v>
      </c>
      <c r="D434" s="244">
        <v>16.600000000000001</v>
      </c>
      <c r="E434" s="244">
        <v>16.600000000000001</v>
      </c>
      <c r="F434" s="244">
        <v>166.6</v>
      </c>
      <c r="G434" s="256">
        <v>166.6</v>
      </c>
      <c r="H434" s="2">
        <f t="shared" si="0"/>
        <v>383</v>
      </c>
    </row>
    <row r="435" spans="2:8" x14ac:dyDescent="0.25">
      <c r="B435" s="255" t="s">
        <v>1234</v>
      </c>
      <c r="C435" s="244">
        <v>0</v>
      </c>
      <c r="D435" s="244">
        <v>17.75</v>
      </c>
      <c r="E435" s="244">
        <v>17.75</v>
      </c>
      <c r="F435" s="244">
        <v>77.75</v>
      </c>
      <c r="G435" s="256">
        <v>77.75</v>
      </c>
      <c r="H435" s="2">
        <f t="shared" si="0"/>
        <v>191</v>
      </c>
    </row>
    <row r="436" spans="2:8" x14ac:dyDescent="0.25">
      <c r="B436" s="255" t="s">
        <v>1235</v>
      </c>
      <c r="C436" s="244">
        <v>0</v>
      </c>
      <c r="D436" s="244">
        <v>0</v>
      </c>
      <c r="E436" s="244">
        <v>0</v>
      </c>
      <c r="F436" s="244">
        <v>0</v>
      </c>
      <c r="G436" s="256">
        <v>0</v>
      </c>
      <c r="H436" s="2">
        <f t="shared" si="0"/>
        <v>0</v>
      </c>
    </row>
    <row r="437" spans="2:8" x14ac:dyDescent="0.25">
      <c r="B437" s="255" t="s">
        <v>1236</v>
      </c>
      <c r="C437" s="244">
        <v>0</v>
      </c>
      <c r="D437" s="244">
        <v>0</v>
      </c>
      <c r="E437" s="244">
        <v>0</v>
      </c>
      <c r="F437" s="244">
        <v>0</v>
      </c>
      <c r="G437" s="256">
        <v>0</v>
      </c>
      <c r="H437" s="2">
        <f t="shared" si="0"/>
        <v>0</v>
      </c>
    </row>
    <row r="438" spans="2:8" x14ac:dyDescent="0.25">
      <c r="B438" s="255" t="s">
        <v>1215</v>
      </c>
      <c r="C438" s="244">
        <v>0</v>
      </c>
      <c r="D438" s="244">
        <v>0</v>
      </c>
      <c r="E438" s="244">
        <v>0</v>
      </c>
      <c r="F438" s="244">
        <v>0</v>
      </c>
      <c r="G438" s="256">
        <v>0</v>
      </c>
      <c r="H438" s="2">
        <f t="shared" si="0"/>
        <v>0</v>
      </c>
    </row>
    <row r="439" spans="2:8" x14ac:dyDescent="0.25">
      <c r="B439" s="255" t="s">
        <v>1238</v>
      </c>
      <c r="C439" s="244">
        <v>0</v>
      </c>
      <c r="D439" s="244">
        <v>0</v>
      </c>
      <c r="E439" s="244">
        <v>0</v>
      </c>
      <c r="F439" s="244">
        <v>0</v>
      </c>
      <c r="G439" s="256">
        <v>0</v>
      </c>
      <c r="H439" s="2">
        <f t="shared" si="0"/>
        <v>0</v>
      </c>
    </row>
    <row r="440" spans="2:8" x14ac:dyDescent="0.25">
      <c r="B440" s="255" t="s">
        <v>1219</v>
      </c>
      <c r="C440" s="244">
        <v>0</v>
      </c>
      <c r="D440" s="244">
        <v>0</v>
      </c>
      <c r="E440" s="244">
        <v>0</v>
      </c>
      <c r="F440" s="244">
        <v>0</v>
      </c>
      <c r="G440" s="256">
        <v>0</v>
      </c>
      <c r="H440" s="2">
        <f t="shared" si="0"/>
        <v>0</v>
      </c>
    </row>
    <row r="441" spans="2:8" ht="15.75" thickBot="1" x14ac:dyDescent="0.3">
      <c r="B441" s="257" t="s">
        <v>1054</v>
      </c>
      <c r="C441" s="258">
        <v>16.600000000000001</v>
      </c>
      <c r="D441" s="258">
        <v>34.35</v>
      </c>
      <c r="E441" s="258">
        <v>94.35</v>
      </c>
      <c r="F441" s="258">
        <v>304.35000000000002</v>
      </c>
      <c r="G441" s="259">
        <v>304.35000000000002</v>
      </c>
    </row>
    <row r="442" spans="2:8" ht="15.75" thickBot="1" x14ac:dyDescent="0.3"/>
    <row r="443" spans="2:8" ht="15.75" thickBot="1" x14ac:dyDescent="0.3">
      <c r="B443" s="3" t="s">
        <v>1091</v>
      </c>
      <c r="C443" s="4" t="s">
        <v>1337</v>
      </c>
      <c r="D443" s="2"/>
      <c r="E443" s="2"/>
      <c r="F443" s="2"/>
      <c r="G443" s="2"/>
      <c r="H443" s="2"/>
    </row>
    <row r="444" spans="2:8" ht="15.75" thickBot="1" x14ac:dyDescent="0.3">
      <c r="B444" s="2"/>
      <c r="C444" s="2"/>
      <c r="D444" s="2"/>
      <c r="E444" s="2"/>
      <c r="F444" s="2"/>
      <c r="G444" s="2"/>
      <c r="H444" s="2"/>
    </row>
    <row r="445" spans="2:8" x14ac:dyDescent="0.25">
      <c r="B445" s="262" t="s">
        <v>1053</v>
      </c>
      <c r="C445" s="234" t="s">
        <v>1456</v>
      </c>
      <c r="D445" s="234" t="s">
        <v>1457</v>
      </c>
      <c r="E445" s="234" t="s">
        <v>1458</v>
      </c>
      <c r="F445" s="234" t="s">
        <v>1459</v>
      </c>
      <c r="G445" s="235" t="s">
        <v>1460</v>
      </c>
      <c r="H445" s="2"/>
    </row>
    <row r="446" spans="2:8" x14ac:dyDescent="0.25">
      <c r="B446" s="255" t="s">
        <v>1212</v>
      </c>
      <c r="C446" s="244">
        <v>2</v>
      </c>
      <c r="D446" s="244">
        <v>2</v>
      </c>
      <c r="E446" s="244">
        <v>2</v>
      </c>
      <c r="F446" s="244">
        <v>2</v>
      </c>
      <c r="G446" s="256">
        <v>2</v>
      </c>
      <c r="H446" s="2">
        <f>SUM(C446:G446)</f>
        <v>10</v>
      </c>
    </row>
    <row r="447" spans="2:8" x14ac:dyDescent="0.25">
      <c r="B447" s="255" t="s">
        <v>1265</v>
      </c>
      <c r="C447" s="244">
        <v>6</v>
      </c>
      <c r="D447" s="244">
        <v>6</v>
      </c>
      <c r="E447" s="244">
        <v>6</v>
      </c>
      <c r="F447" s="244">
        <v>6</v>
      </c>
      <c r="G447" s="256">
        <v>6</v>
      </c>
      <c r="H447" s="2">
        <f t="shared" ref="H447:H458" si="1">SUM(C447:G447)</f>
        <v>30</v>
      </c>
    </row>
    <row r="448" spans="2:8" x14ac:dyDescent="0.25">
      <c r="B448" s="255" t="s">
        <v>1443</v>
      </c>
      <c r="C448" s="244">
        <v>64</v>
      </c>
      <c r="D448" s="244">
        <v>4</v>
      </c>
      <c r="E448" s="244">
        <v>4</v>
      </c>
      <c r="F448" s="244">
        <v>4</v>
      </c>
      <c r="G448" s="256">
        <v>4</v>
      </c>
      <c r="H448" s="2">
        <f t="shared" si="1"/>
        <v>80</v>
      </c>
    </row>
    <row r="449" spans="2:13" x14ac:dyDescent="0.25">
      <c r="B449" s="255" t="s">
        <v>1228</v>
      </c>
      <c r="C449" s="244">
        <v>6</v>
      </c>
      <c r="D449" s="244">
        <v>6</v>
      </c>
      <c r="E449" s="244">
        <v>6</v>
      </c>
      <c r="F449" s="244">
        <v>6</v>
      </c>
      <c r="G449" s="256">
        <v>6</v>
      </c>
      <c r="H449" s="2">
        <f t="shared" si="1"/>
        <v>30</v>
      </c>
    </row>
    <row r="450" spans="2:13" x14ac:dyDescent="0.25">
      <c r="B450" s="255" t="s">
        <v>1232</v>
      </c>
      <c r="C450" s="244">
        <v>4</v>
      </c>
      <c r="D450" s="244">
        <v>4</v>
      </c>
      <c r="E450" s="244">
        <v>4</v>
      </c>
      <c r="F450" s="244">
        <v>4</v>
      </c>
      <c r="G450" s="256">
        <v>4</v>
      </c>
      <c r="H450" s="2">
        <f t="shared" si="1"/>
        <v>20</v>
      </c>
    </row>
    <row r="451" spans="2:13" x14ac:dyDescent="0.25">
      <c r="B451" s="255" t="s">
        <v>1267</v>
      </c>
      <c r="C451" s="244">
        <v>82</v>
      </c>
      <c r="D451" s="244">
        <v>82</v>
      </c>
      <c r="E451" s="244">
        <v>82</v>
      </c>
      <c r="F451" s="244">
        <v>82</v>
      </c>
      <c r="G451" s="256">
        <v>82</v>
      </c>
      <c r="H451" s="2">
        <f t="shared" si="1"/>
        <v>410</v>
      </c>
    </row>
    <row r="452" spans="2:13" x14ac:dyDescent="0.25">
      <c r="B452" s="255" t="s">
        <v>1234</v>
      </c>
      <c r="C452" s="244">
        <v>111</v>
      </c>
      <c r="D452" s="244">
        <v>111</v>
      </c>
      <c r="E452" s="244">
        <v>111</v>
      </c>
      <c r="F452" s="244">
        <v>51</v>
      </c>
      <c r="G452" s="256">
        <v>51</v>
      </c>
      <c r="H452" s="2">
        <f t="shared" si="1"/>
        <v>435</v>
      </c>
    </row>
    <row r="453" spans="2:13" x14ac:dyDescent="0.25">
      <c r="B453" s="255" t="s">
        <v>1235</v>
      </c>
      <c r="C453" s="244">
        <v>8</v>
      </c>
      <c r="D453" s="244">
        <v>8</v>
      </c>
      <c r="E453" s="244">
        <v>8</v>
      </c>
      <c r="F453" s="244">
        <v>8</v>
      </c>
      <c r="G453" s="256">
        <v>8</v>
      </c>
      <c r="H453" s="2">
        <f t="shared" si="1"/>
        <v>40</v>
      </c>
    </row>
    <row r="454" spans="2:13" x14ac:dyDescent="0.25">
      <c r="B454" s="255" t="s">
        <v>1236</v>
      </c>
      <c r="C454" s="244">
        <v>4</v>
      </c>
      <c r="D454" s="244">
        <v>4</v>
      </c>
      <c r="E454" s="244">
        <v>4</v>
      </c>
      <c r="F454" s="244">
        <v>4</v>
      </c>
      <c r="G454" s="256">
        <v>4</v>
      </c>
      <c r="H454" s="2">
        <f t="shared" si="1"/>
        <v>20</v>
      </c>
    </row>
    <row r="455" spans="2:13" x14ac:dyDescent="0.25">
      <c r="B455" s="255" t="s">
        <v>1215</v>
      </c>
      <c r="C455" s="244">
        <v>6</v>
      </c>
      <c r="D455" s="244">
        <v>6</v>
      </c>
      <c r="E455" s="244">
        <v>6</v>
      </c>
      <c r="F455" s="244">
        <v>6</v>
      </c>
      <c r="G455" s="256">
        <v>6</v>
      </c>
      <c r="H455" s="2">
        <f t="shared" si="1"/>
        <v>30</v>
      </c>
    </row>
    <row r="456" spans="2:13" x14ac:dyDescent="0.25">
      <c r="B456" s="255" t="s">
        <v>1238</v>
      </c>
      <c r="C456" s="244">
        <v>14</v>
      </c>
      <c r="D456" s="244">
        <v>14</v>
      </c>
      <c r="E456" s="244">
        <v>14</v>
      </c>
      <c r="F456" s="244">
        <v>14</v>
      </c>
      <c r="G456" s="256">
        <v>14</v>
      </c>
      <c r="H456" s="2">
        <f t="shared" si="1"/>
        <v>70</v>
      </c>
    </row>
    <row r="457" spans="2:13" x14ac:dyDescent="0.25">
      <c r="B457" s="255" t="s">
        <v>1219</v>
      </c>
      <c r="C457" s="244">
        <v>10</v>
      </c>
      <c r="D457" s="244">
        <v>10</v>
      </c>
      <c r="E457" s="244">
        <v>10</v>
      </c>
      <c r="F457" s="244">
        <v>10</v>
      </c>
      <c r="G457" s="256">
        <v>10</v>
      </c>
      <c r="H457" s="2">
        <f t="shared" si="1"/>
        <v>50</v>
      </c>
    </row>
    <row r="458" spans="2:13" ht="15.75" thickBot="1" x14ac:dyDescent="0.3">
      <c r="B458" s="257" t="s">
        <v>1054</v>
      </c>
      <c r="C458" s="258">
        <v>317</v>
      </c>
      <c r="D458" s="258">
        <v>257</v>
      </c>
      <c r="E458" s="258">
        <v>257</v>
      </c>
      <c r="F458" s="258">
        <v>197</v>
      </c>
      <c r="G458" s="259">
        <v>197</v>
      </c>
      <c r="H458" s="2">
        <f t="shared" si="1"/>
        <v>1225</v>
      </c>
    </row>
    <row r="462" spans="2:13" ht="15.75" thickBot="1" x14ac:dyDescent="0.3"/>
    <row r="463" spans="2:13" ht="15.75" thickBot="1" x14ac:dyDescent="0.3">
      <c r="B463" s="3" t="s">
        <v>1091</v>
      </c>
      <c r="C463" s="4" t="s">
        <v>1420</v>
      </c>
      <c r="D463" s="2"/>
      <c r="E463" s="2"/>
      <c r="F463" s="2"/>
      <c r="G463" s="2"/>
      <c r="H463" s="2"/>
      <c r="I463" s="2"/>
      <c r="J463" s="2"/>
      <c r="K463" s="2"/>
      <c r="L463" s="2"/>
      <c r="M463" s="2"/>
    </row>
    <row r="464" spans="2:13" ht="15.75" thickBot="1" x14ac:dyDescent="0.3">
      <c r="B464" s="2"/>
      <c r="C464" s="2"/>
      <c r="D464" s="2"/>
      <c r="E464" s="2"/>
      <c r="F464" s="2"/>
      <c r="G464" s="2"/>
      <c r="H464" s="2"/>
      <c r="I464" s="2"/>
      <c r="J464" s="2"/>
      <c r="K464" s="2"/>
      <c r="L464" s="2"/>
      <c r="M464" s="2"/>
    </row>
    <row r="465" spans="2:13" x14ac:dyDescent="0.25">
      <c r="B465" s="233" t="s">
        <v>1461</v>
      </c>
      <c r="C465" s="234" t="s">
        <v>1462</v>
      </c>
      <c r="D465" s="234" t="s">
        <v>1307</v>
      </c>
      <c r="E465" s="234" t="s">
        <v>1308</v>
      </c>
      <c r="F465" s="234" t="s">
        <v>1309</v>
      </c>
      <c r="G465" s="234" t="s">
        <v>1310</v>
      </c>
      <c r="H465" s="234" t="s">
        <v>1311</v>
      </c>
      <c r="I465" s="234" t="s">
        <v>1456</v>
      </c>
      <c r="J465" s="234" t="s">
        <v>1457</v>
      </c>
      <c r="K465" s="234" t="s">
        <v>1458</v>
      </c>
      <c r="L465" s="234" t="s">
        <v>1459</v>
      </c>
      <c r="M465" s="235" t="s">
        <v>1460</v>
      </c>
    </row>
    <row r="466" spans="2:13" ht="15.75" thickBot="1" x14ac:dyDescent="0.3">
      <c r="B466" s="265">
        <v>420</v>
      </c>
      <c r="C466" s="266">
        <v>303</v>
      </c>
      <c r="D466" s="266">
        <v>310.59999999999997</v>
      </c>
      <c r="E466" s="266">
        <v>247.85000000000014</v>
      </c>
      <c r="F466" s="266">
        <v>235.85</v>
      </c>
      <c r="G466" s="266">
        <v>375.35</v>
      </c>
      <c r="H466" s="266">
        <v>304.35000000000002</v>
      </c>
      <c r="I466" s="266">
        <v>521</v>
      </c>
      <c r="J466" s="266">
        <v>461</v>
      </c>
      <c r="K466" s="266">
        <v>461</v>
      </c>
      <c r="L466" s="266">
        <v>401</v>
      </c>
      <c r="M466" s="267">
        <v>401</v>
      </c>
    </row>
    <row r="472" spans="2:13" x14ac:dyDescent="0.25">
      <c r="B472" s="1" t="s">
        <v>1560</v>
      </c>
      <c r="C472" s="2"/>
      <c r="E472" s="1" t="s">
        <v>1558</v>
      </c>
      <c r="F472" s="2"/>
      <c r="H472" s="1" t="s">
        <v>1559</v>
      </c>
      <c r="I472" s="2"/>
    </row>
    <row r="473" spans="2:13" ht="15.75" thickBot="1" x14ac:dyDescent="0.3">
      <c r="B473" s="239" t="s">
        <v>1317</v>
      </c>
      <c r="C473" s="239"/>
      <c r="E473" s="239" t="s">
        <v>1323</v>
      </c>
      <c r="F473" s="239"/>
      <c r="H473" s="239" t="s">
        <v>1329</v>
      </c>
      <c r="I473" s="239"/>
    </row>
    <row r="474" spans="2:13" ht="15.75" thickBot="1" x14ac:dyDescent="0.3"/>
    <row r="475" spans="2:13" ht="15.75" thickBot="1" x14ac:dyDescent="0.3">
      <c r="B475" s="3" t="s">
        <v>1091</v>
      </c>
      <c r="C475" s="4" t="s">
        <v>1027</v>
      </c>
      <c r="E475" s="3" t="s">
        <v>1091</v>
      </c>
      <c r="F475" s="4" t="s">
        <v>1050</v>
      </c>
      <c r="H475" s="3" t="s">
        <v>1091</v>
      </c>
      <c r="I475" s="4" t="s">
        <v>1057</v>
      </c>
    </row>
    <row r="476" spans="2:13" ht="15.75" thickBot="1" x14ac:dyDescent="0.3">
      <c r="B476" s="2"/>
      <c r="C476" s="2"/>
      <c r="E476" s="2"/>
      <c r="F476" s="2"/>
      <c r="H476" s="2"/>
      <c r="I476" s="2"/>
    </row>
    <row r="477" spans="2:13" x14ac:dyDescent="0.25">
      <c r="B477" s="233" t="s">
        <v>1053</v>
      </c>
      <c r="C477" s="235" t="s">
        <v>1055</v>
      </c>
      <c r="E477" s="233" t="s">
        <v>1053</v>
      </c>
      <c r="F477" s="235" t="s">
        <v>1313</v>
      </c>
      <c r="H477" s="233" t="s">
        <v>1053</v>
      </c>
      <c r="I477" s="235" t="s">
        <v>1313</v>
      </c>
    </row>
    <row r="478" spans="2:13" x14ac:dyDescent="0.25">
      <c r="B478" s="255" t="s">
        <v>1430</v>
      </c>
      <c r="C478" s="256">
        <v>411</v>
      </c>
      <c r="D478" s="362"/>
      <c r="E478" s="255" t="s">
        <v>1430</v>
      </c>
      <c r="F478" s="256">
        <v>785</v>
      </c>
      <c r="G478" s="362"/>
      <c r="H478" s="255" t="s">
        <v>1430</v>
      </c>
      <c r="I478" s="256">
        <v>406</v>
      </c>
      <c r="J478" s="362"/>
    </row>
    <row r="479" spans="2:13" x14ac:dyDescent="0.25">
      <c r="B479" s="255" t="s">
        <v>39</v>
      </c>
      <c r="C479" s="256">
        <v>8</v>
      </c>
      <c r="E479" s="255" t="s">
        <v>39</v>
      </c>
      <c r="F479" s="256">
        <v>7</v>
      </c>
      <c r="H479" s="255" t="s">
        <v>39</v>
      </c>
      <c r="I479" s="256">
        <v>15</v>
      </c>
    </row>
    <row r="480" spans="2:13" ht="15.75" thickBot="1" x14ac:dyDescent="0.3">
      <c r="B480" s="257" t="s">
        <v>1054</v>
      </c>
      <c r="C480" s="259">
        <v>419</v>
      </c>
      <c r="E480" s="257" t="s">
        <v>1054</v>
      </c>
      <c r="F480" s="259">
        <v>792</v>
      </c>
      <c r="H480" s="257" t="s">
        <v>1054</v>
      </c>
      <c r="I480" s="259">
        <v>421</v>
      </c>
    </row>
    <row r="483" spans="2:8" ht="15.75" thickBot="1" x14ac:dyDescent="0.3"/>
    <row r="486" spans="2:8" x14ac:dyDescent="0.25">
      <c r="H486" s="362"/>
    </row>
    <row r="489" spans="2:8" x14ac:dyDescent="0.25">
      <c r="B489" s="1" t="s">
        <v>1561</v>
      </c>
      <c r="C489" s="2"/>
    </row>
    <row r="490" spans="2:8" ht="15.75" thickBot="1" x14ac:dyDescent="0.3">
      <c r="B490" s="239"/>
      <c r="C490" s="239"/>
    </row>
    <row r="491" spans="2:8" ht="15.75" thickBot="1" x14ac:dyDescent="0.3"/>
    <row r="492" spans="2:8" ht="15.75" thickBot="1" x14ac:dyDescent="0.3">
      <c r="B492" s="3" t="s">
        <v>1091</v>
      </c>
      <c r="C492" s="4" t="s">
        <v>1420</v>
      </c>
    </row>
    <row r="493" spans="2:8" ht="15.75" thickBot="1" x14ac:dyDescent="0.3">
      <c r="B493" s="2"/>
      <c r="C493" s="2"/>
    </row>
    <row r="494" spans="2:8" x14ac:dyDescent="0.25">
      <c r="B494" s="233" t="s">
        <v>1053</v>
      </c>
      <c r="C494" s="235" t="s">
        <v>1313</v>
      </c>
    </row>
    <row r="495" spans="2:8" x14ac:dyDescent="0.25">
      <c r="B495" s="255" t="s">
        <v>1430</v>
      </c>
      <c r="C495" s="256">
        <v>1676</v>
      </c>
      <c r="D495" s="363"/>
    </row>
    <row r="496" spans="2:8" x14ac:dyDescent="0.25">
      <c r="B496" s="255" t="s">
        <v>39</v>
      </c>
      <c r="C496" s="256">
        <v>33</v>
      </c>
    </row>
    <row r="497" spans="2:3" ht="15.75" thickBot="1" x14ac:dyDescent="0.3">
      <c r="B497" s="257" t="s">
        <v>1054</v>
      </c>
      <c r="C497" s="259">
        <v>1709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BA1EC-E578-49F6-BDEB-C3C65A0F04ED}">
  <sheetPr>
    <pageSetUpPr autoPageBreaks="0"/>
  </sheetPr>
  <dimension ref="A1:D26"/>
  <sheetViews>
    <sheetView zoomScaleNormal="100" workbookViewId="0">
      <selection sqref="A1:D1"/>
    </sheetView>
  </sheetViews>
  <sheetFormatPr defaultRowHeight="12.75" x14ac:dyDescent="0.2"/>
  <cols>
    <col min="1" max="1" width="3" style="310" bestFit="1" customWidth="1"/>
    <col min="2" max="2" width="22.28515625" style="311" customWidth="1"/>
    <col min="3" max="3" width="40.42578125" style="311" customWidth="1"/>
    <col min="4" max="4" width="31" style="311" customWidth="1"/>
    <col min="5" max="16384" width="9.140625" style="309"/>
  </cols>
  <sheetData>
    <row r="1" spans="1:4" s="294" customFormat="1" ht="18" customHeight="1" x14ac:dyDescent="0.25">
      <c r="A1" s="509" t="s">
        <v>1498</v>
      </c>
      <c r="B1" s="509"/>
      <c r="C1" s="509"/>
      <c r="D1" s="509"/>
    </row>
    <row r="2" spans="1:4" s="297" customFormat="1" ht="12" x14ac:dyDescent="0.2">
      <c r="A2" s="295"/>
      <c r="B2" s="296"/>
      <c r="C2" s="296"/>
      <c r="D2" s="296"/>
    </row>
    <row r="3" spans="1:4" s="298" customFormat="1" ht="37.5" customHeight="1" x14ac:dyDescent="0.2">
      <c r="A3" s="510" t="s">
        <v>1499</v>
      </c>
      <c r="B3" s="510"/>
      <c r="C3" s="510"/>
      <c r="D3" s="510"/>
    </row>
    <row r="4" spans="1:4" s="300" customFormat="1" ht="12" x14ac:dyDescent="0.2">
      <c r="A4" s="295"/>
      <c r="B4" s="299"/>
      <c r="C4" s="299"/>
      <c r="D4" s="299"/>
    </row>
    <row r="5" spans="1:4" s="298" customFormat="1" x14ac:dyDescent="0.2">
      <c r="A5" s="511" t="s">
        <v>1500</v>
      </c>
      <c r="B5" s="512"/>
      <c r="C5" s="301" t="s">
        <v>1501</v>
      </c>
      <c r="D5" s="301" t="s">
        <v>1502</v>
      </c>
    </row>
    <row r="6" spans="1:4" s="298" customFormat="1" ht="24" x14ac:dyDescent="0.2">
      <c r="A6" s="302">
        <v>1</v>
      </c>
      <c r="B6" s="303" t="s">
        <v>1503</v>
      </c>
      <c r="C6" s="303" t="s">
        <v>1504</v>
      </c>
      <c r="D6" s="304" t="s">
        <v>1505</v>
      </c>
    </row>
    <row r="7" spans="1:4" s="298" customFormat="1" ht="48" x14ac:dyDescent="0.2">
      <c r="A7" s="302" t="s">
        <v>1506</v>
      </c>
      <c r="B7" s="505" t="s">
        <v>1507</v>
      </c>
      <c r="C7" s="303" t="s">
        <v>1508</v>
      </c>
      <c r="D7" s="304" t="s">
        <v>1505</v>
      </c>
    </row>
    <row r="8" spans="1:4" s="298" customFormat="1" ht="36" x14ac:dyDescent="0.2">
      <c r="A8" s="302" t="s">
        <v>1509</v>
      </c>
      <c r="B8" s="506"/>
      <c r="C8" s="303" t="s">
        <v>1510</v>
      </c>
      <c r="D8" s="304" t="s">
        <v>1505</v>
      </c>
    </row>
    <row r="9" spans="1:4" s="298" customFormat="1" ht="36" x14ac:dyDescent="0.2">
      <c r="A9" s="305" t="s">
        <v>1511</v>
      </c>
      <c r="B9" s="513" t="s">
        <v>1512</v>
      </c>
      <c r="C9" s="303" t="s">
        <v>1513</v>
      </c>
      <c r="D9" s="304" t="s">
        <v>1505</v>
      </c>
    </row>
    <row r="10" spans="1:4" s="298" customFormat="1" ht="60" x14ac:dyDescent="0.2">
      <c r="A10" s="306" t="s">
        <v>1514</v>
      </c>
      <c r="B10" s="514"/>
      <c r="C10" s="303" t="s">
        <v>1515</v>
      </c>
      <c r="D10" s="304" t="s">
        <v>1516</v>
      </c>
    </row>
    <row r="11" spans="1:4" s="298" customFormat="1" ht="84" x14ac:dyDescent="0.2">
      <c r="A11" s="302">
        <v>4</v>
      </c>
      <c r="B11" s="303" t="s">
        <v>1517</v>
      </c>
      <c r="C11" s="303" t="s">
        <v>1518</v>
      </c>
      <c r="D11" s="304" t="s">
        <v>1519</v>
      </c>
    </row>
    <row r="12" spans="1:4" s="298" customFormat="1" ht="36" x14ac:dyDescent="0.2">
      <c r="A12" s="302" t="s">
        <v>1520</v>
      </c>
      <c r="B12" s="513" t="s">
        <v>1521</v>
      </c>
      <c r="C12" s="303" t="s">
        <v>1513</v>
      </c>
      <c r="D12" s="304" t="s">
        <v>1505</v>
      </c>
    </row>
    <row r="13" spans="1:4" s="298" customFormat="1" ht="108" x14ac:dyDescent="0.2">
      <c r="A13" s="302" t="s">
        <v>1522</v>
      </c>
      <c r="B13" s="514"/>
      <c r="C13" s="303" t="s">
        <v>1523</v>
      </c>
      <c r="D13" s="304" t="s">
        <v>1524</v>
      </c>
    </row>
    <row r="14" spans="1:4" s="298" customFormat="1" ht="48" x14ac:dyDescent="0.2">
      <c r="A14" s="302">
        <v>6</v>
      </c>
      <c r="B14" s="303" t="s">
        <v>1525</v>
      </c>
      <c r="C14" s="303" t="s">
        <v>1526</v>
      </c>
      <c r="D14" s="304" t="s">
        <v>1505</v>
      </c>
    </row>
    <row r="15" spans="1:4" s="298" customFormat="1" ht="60" x14ac:dyDescent="0.2">
      <c r="A15" s="302">
        <v>7</v>
      </c>
      <c r="B15" s="303" t="s">
        <v>1527</v>
      </c>
      <c r="C15" s="303" t="s">
        <v>1504</v>
      </c>
      <c r="D15" s="304" t="s">
        <v>1505</v>
      </c>
    </row>
    <row r="16" spans="1:4" s="298" customFormat="1" ht="60" x14ac:dyDescent="0.2">
      <c r="A16" s="302" t="s">
        <v>1528</v>
      </c>
      <c r="B16" s="505" t="s">
        <v>1529</v>
      </c>
      <c r="C16" s="303" t="s">
        <v>1530</v>
      </c>
      <c r="D16" s="304" t="s">
        <v>1505</v>
      </c>
    </row>
    <row r="17" spans="1:4" s="298" customFormat="1" ht="36" x14ac:dyDescent="0.2">
      <c r="A17" s="302" t="s">
        <v>1531</v>
      </c>
      <c r="B17" s="506"/>
      <c r="C17" s="303" t="s">
        <v>1510</v>
      </c>
      <c r="D17" s="304" t="s">
        <v>1505</v>
      </c>
    </row>
    <row r="18" spans="1:4" s="298" customFormat="1" ht="108" x14ac:dyDescent="0.2">
      <c r="A18" s="302" t="s">
        <v>1532</v>
      </c>
      <c r="B18" s="304" t="s">
        <v>1533</v>
      </c>
      <c r="C18" s="383" t="s">
        <v>1552</v>
      </c>
      <c r="D18" s="304" t="s">
        <v>1505</v>
      </c>
    </row>
    <row r="19" spans="1:4" s="298" customFormat="1" ht="36" x14ac:dyDescent="0.2">
      <c r="A19" s="302" t="s">
        <v>1534</v>
      </c>
      <c r="B19" s="507" t="s">
        <v>1535</v>
      </c>
      <c r="C19" s="307" t="s">
        <v>1536</v>
      </c>
      <c r="D19" s="304" t="s">
        <v>1505</v>
      </c>
    </row>
    <row r="20" spans="1:4" s="298" customFormat="1" ht="72" customHeight="1" x14ac:dyDescent="0.2">
      <c r="A20" s="302" t="s">
        <v>1537</v>
      </c>
      <c r="B20" s="508"/>
      <c r="C20" s="307" t="s">
        <v>1538</v>
      </c>
      <c r="D20" s="304" t="s">
        <v>1505</v>
      </c>
    </row>
    <row r="21" spans="1:4" s="298" customFormat="1" ht="72" x14ac:dyDescent="0.2">
      <c r="A21" s="302">
        <v>10</v>
      </c>
      <c r="B21" s="304" t="s">
        <v>1539</v>
      </c>
      <c r="C21" s="304" t="s">
        <v>1540</v>
      </c>
      <c r="D21" s="304" t="s">
        <v>1505</v>
      </c>
    </row>
    <row r="22" spans="1:4" s="298" customFormat="1" ht="158.25" customHeight="1" x14ac:dyDescent="0.2">
      <c r="A22" s="302">
        <v>11</v>
      </c>
      <c r="B22" s="304" t="s">
        <v>1541</v>
      </c>
      <c r="C22" s="308" t="s">
        <v>1542</v>
      </c>
      <c r="D22" s="304" t="s">
        <v>1505</v>
      </c>
    </row>
    <row r="23" spans="1:4" s="298" customFormat="1" ht="120" x14ac:dyDescent="0.2">
      <c r="A23" s="302">
        <v>12</v>
      </c>
      <c r="B23" s="304" t="s">
        <v>1543</v>
      </c>
      <c r="C23" s="304" t="s">
        <v>1544</v>
      </c>
      <c r="D23" s="304" t="s">
        <v>1545</v>
      </c>
    </row>
    <row r="24" spans="1:4" s="298" customFormat="1" ht="108" x14ac:dyDescent="0.2">
      <c r="A24" s="302">
        <v>13</v>
      </c>
      <c r="B24" s="304" t="s">
        <v>1546</v>
      </c>
      <c r="C24" s="304" t="s">
        <v>1547</v>
      </c>
      <c r="D24" s="304" t="s">
        <v>1505</v>
      </c>
    </row>
    <row r="25" spans="1:4" s="298" customFormat="1" ht="144" x14ac:dyDescent="0.2">
      <c r="A25" s="302">
        <v>14</v>
      </c>
      <c r="B25" s="304" t="s">
        <v>1548</v>
      </c>
      <c r="C25" s="304" t="s">
        <v>1549</v>
      </c>
      <c r="D25" s="304" t="s">
        <v>1505</v>
      </c>
    </row>
    <row r="26" spans="1:4" ht="36" x14ac:dyDescent="0.2">
      <c r="A26" s="302">
        <v>15</v>
      </c>
      <c r="B26" s="304" t="s">
        <v>1550</v>
      </c>
      <c r="C26" s="304" t="s">
        <v>1551</v>
      </c>
      <c r="D26" s="304" t="s">
        <v>1505</v>
      </c>
    </row>
  </sheetData>
  <mergeCells count="8">
    <mergeCell ref="B16:B17"/>
    <mergeCell ref="B19:B20"/>
    <mergeCell ref="A1:D1"/>
    <mergeCell ref="A3:D3"/>
    <mergeCell ref="A5:B5"/>
    <mergeCell ref="B7:B8"/>
    <mergeCell ref="B9:B10"/>
    <mergeCell ref="B12:B13"/>
  </mergeCells>
  <printOptions horizontalCentered="1"/>
  <pageMargins left="0.39370078740157483" right="0.39370078740157483" top="0.39370078740157483" bottom="0.39370078740157483" header="0.19685039370078741" footer="0.19685039370078741"/>
  <pageSetup paperSize="9" orientation="portrait" verticalDpi="1200" r:id="rId1"/>
  <headerFooter alignWithMargins="0">
    <oddHeader>&amp;L&amp;"Calibri"&amp;10 Official&amp;1#</oddHeader>
    <oddFooter>&amp;C&amp;8&amp;P of &amp;N</oddFooter>
  </headerFooter>
  <rowBreaks count="1" manualBreakCount="1">
    <brk id="39"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982c6484-1d38-4eee-8ef1-d460a5d7340e">
      <UserInfo>
        <DisplayName>Weselak, Ryszard</DisplayName>
        <AccountId>12</AccountId>
        <AccountType/>
      </UserInfo>
      <UserInfo>
        <DisplayName>Boerkamp, Belinda</DisplayName>
        <AccountId>15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F8DCA78859CF48A525E26B29FDC9BB" ma:contentTypeVersion="4" ma:contentTypeDescription="Create a new document." ma:contentTypeScope="" ma:versionID="8f388fefbc3417897a2350a0cc19a5da">
  <xsd:schema xmlns:xsd="http://www.w3.org/2001/XMLSchema" xmlns:xs="http://www.w3.org/2001/XMLSchema" xmlns:p="http://schemas.microsoft.com/office/2006/metadata/properties" xmlns:ns2="5fb24ce2-c3c0-4789-89d7-8cd6bbdedc12" xmlns:ns3="982c6484-1d38-4eee-8ef1-d460a5d7340e" targetNamespace="http://schemas.microsoft.com/office/2006/metadata/properties" ma:root="true" ma:fieldsID="0d69d880e79dfe9ef907ee1c513c94a5" ns2:_="" ns3:_="">
    <xsd:import namespace="5fb24ce2-c3c0-4789-89d7-8cd6bbdedc12"/>
    <xsd:import namespace="982c6484-1d38-4eee-8ef1-d460a5d734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b24ce2-c3c0-4789-89d7-8cd6bbdedc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2c6484-1d38-4eee-8ef1-d460a5d734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630E30-A3C6-4964-B7B5-6C1A0A8F3FF3}">
  <ds:schemaRefs>
    <ds:schemaRef ds:uri="http://schemas.microsoft.com/sharepoint/v3/contenttype/forms"/>
  </ds:schemaRefs>
</ds:datastoreItem>
</file>

<file path=customXml/itemProps2.xml><?xml version="1.0" encoding="utf-8"?>
<ds:datastoreItem xmlns:ds="http://schemas.openxmlformats.org/officeDocument/2006/customXml" ds:itemID="{C955C129-4C56-47D5-96D3-7AD2DDAF1228}">
  <ds:schemaRefs>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982c6484-1d38-4eee-8ef1-d460a5d7340e"/>
    <ds:schemaRef ds:uri="http://www.w3.org/XML/1998/namespace"/>
    <ds:schemaRef ds:uri="http://schemas.microsoft.com/office/2006/metadata/properties"/>
    <ds:schemaRef ds:uri="5fb24ce2-c3c0-4789-89d7-8cd6bbdedc12"/>
  </ds:schemaRefs>
</ds:datastoreItem>
</file>

<file path=customXml/itemProps3.xml><?xml version="1.0" encoding="utf-8"?>
<ds:datastoreItem xmlns:ds="http://schemas.openxmlformats.org/officeDocument/2006/customXml" ds:itemID="{93310F0A-C070-4983-85F2-1CBE5EA41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b24ce2-c3c0-4789-89d7-8cd6bbdedc12"/>
    <ds:schemaRef ds:uri="982c6484-1d38-4eee-8ef1-d460a5d734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Summary Tables</vt:lpstr>
      <vt:lpstr>Trajectory</vt:lpstr>
      <vt:lpstr>Data</vt:lpstr>
      <vt:lpstr>Pivots</vt:lpstr>
      <vt:lpstr>Assumptions</vt:lpstr>
      <vt:lpstr>'Summary Tables'!Print_Area</vt:lpstr>
      <vt:lpstr>Trajectory!Print_Area</vt:lpstr>
      <vt:lpstr>Assumptions!Print_Titles</vt:lpstr>
      <vt:lpstr>Data!Print_Titles</vt:lpstr>
      <vt:lpstr>'Summary Tables'!Print_Titles</vt:lpstr>
      <vt:lpstr>SURVEY_COMBINED_2019_05_09___o</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 Chris</dc:creator>
  <cp:keywords/>
  <dc:description/>
  <cp:lastModifiedBy>Williams, Chris</cp:lastModifiedBy>
  <cp:revision/>
  <dcterms:created xsi:type="dcterms:W3CDTF">2019-05-14T09:46:02Z</dcterms:created>
  <dcterms:modified xsi:type="dcterms:W3CDTF">2019-09-13T09:26:50Z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63da656-5c75-4f6d-9461-4a3ce9a537cc_Enabled">
    <vt:lpwstr>True</vt:lpwstr>
  </property>
  <property fmtid="{D5CDD505-2E9C-101B-9397-08002B2CF9AE}" pid="3" name="MSIP_Label_763da656-5c75-4f6d-9461-4a3ce9a537cc_SiteId">
    <vt:lpwstr>d9d3f5ac-f803-49be-949f-14a7074d74a7</vt:lpwstr>
  </property>
  <property fmtid="{D5CDD505-2E9C-101B-9397-08002B2CF9AE}" pid="4" name="MSIP_Label_763da656-5c75-4f6d-9461-4a3ce9a537cc_Owner">
    <vt:lpwstr>Ryszard.Weselak@richmondandwandsworth.gov.uk</vt:lpwstr>
  </property>
  <property fmtid="{D5CDD505-2E9C-101B-9397-08002B2CF9AE}" pid="5" name="MSIP_Label_763da656-5c75-4f6d-9461-4a3ce9a537cc_SetDate">
    <vt:lpwstr>2019-05-29T15:28:19.0354221Z</vt:lpwstr>
  </property>
  <property fmtid="{D5CDD505-2E9C-101B-9397-08002B2CF9AE}" pid="6" name="MSIP_Label_763da656-5c75-4f6d-9461-4a3ce9a537cc_Name">
    <vt:lpwstr>Official</vt:lpwstr>
  </property>
  <property fmtid="{D5CDD505-2E9C-101B-9397-08002B2CF9AE}" pid="7" name="MSIP_Label_763da656-5c75-4f6d-9461-4a3ce9a537cc_Application">
    <vt:lpwstr>Microsoft Azure Information Protection</vt:lpwstr>
  </property>
  <property fmtid="{D5CDD505-2E9C-101B-9397-08002B2CF9AE}" pid="8" name="MSIP_Label_763da656-5c75-4f6d-9461-4a3ce9a537cc_Extended_MSFT_Method">
    <vt:lpwstr>Automatic</vt:lpwstr>
  </property>
  <property fmtid="{D5CDD505-2E9C-101B-9397-08002B2CF9AE}" pid="9" name="Sensitivity">
    <vt:lpwstr>Official</vt:lpwstr>
  </property>
  <property fmtid="{D5CDD505-2E9C-101B-9397-08002B2CF9AE}" pid="10" name="ContentTypeId">
    <vt:lpwstr>0x010100F4F8DCA78859CF48A525E26B29FDC9BB</vt:lpwstr>
  </property>
</Properties>
</file>