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drawings/drawing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6031" documentId="8_{E0B2E829-EFF9-40AE-B00A-BEC60CC1748E}" xr6:coauthVersionLast="47" xr6:coauthVersionMax="47" xr10:uidLastSave="{F89F33E3-7089-45EF-B161-079C58648F73}"/>
  <bookViews>
    <workbookView xWindow="-120" yWindow="-120" windowWidth="29040" windowHeight="15720" tabRatio="727" xr2:uid="{00000000-000D-0000-FFFF-FFFF00000000}"/>
  </bookViews>
  <sheets>
    <sheet name="Summary Tables" sheetId="18" r:id="rId1"/>
    <sheet name="Pivot" sheetId="19" state="hidden" r:id="rId2"/>
    <sheet name="Data" sheetId="1" r:id="rId3"/>
    <sheet name="Non-Self-Contained" sheetId="16" r:id="rId4"/>
    <sheet name="Trajectory" sheetId="17" r:id="rId5"/>
  </sheets>
  <definedNames>
    <definedName name="_xlnm._FilterDatabase" localSheetId="2" hidden="1">Data!$A$1:$CC$319</definedName>
    <definedName name="_xlnm._FilterDatabase" localSheetId="3" hidden="1">'Non-Self-Contained'!$A$1:$AQ$5</definedName>
    <definedName name="_xlnm._FilterDatabase" localSheetId="0" hidden="1">'Summary Tables'!#REF!</definedName>
    <definedName name="Data">Data!$A$1:$CC$319</definedName>
    <definedName name="_xlnm.Print_Area" localSheetId="2">Data!$A$1:$O$135</definedName>
    <definedName name="_xlnm.Print_Area" localSheetId="0">'Summary Tables'!$B$2:$S$463</definedName>
    <definedName name="_xlnm.Print_Titles" localSheetId="2">Data!$1:$1</definedName>
  </definedNames>
  <calcPr calcId="191028"/>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8" l="1"/>
  <c r="M17" i="18"/>
  <c r="M18" i="18"/>
  <c r="M19" i="18"/>
  <c r="Y305" i="1"/>
  <c r="AI210" i="1"/>
  <c r="Y210" i="1"/>
  <c r="M30" i="18"/>
  <c r="M31" i="18" s="1"/>
  <c r="J16" i="17"/>
  <c r="BL308" i="1"/>
  <c r="BL309" i="1"/>
  <c r="BL310" i="1"/>
  <c r="BL311" i="1"/>
  <c r="BL312" i="1"/>
  <c r="BL313" i="1"/>
  <c r="BL314" i="1"/>
  <c r="BL315" i="1"/>
  <c r="BL316" i="1"/>
  <c r="BL317" i="1"/>
  <c r="BL318" i="1"/>
  <c r="BL319" i="1"/>
  <c r="BK308" i="1"/>
  <c r="BK309" i="1"/>
  <c r="BK310" i="1"/>
  <c r="BK311" i="1"/>
  <c r="BK312" i="1"/>
  <c r="BK313" i="1"/>
  <c r="BK314" i="1"/>
  <c r="BK315" i="1"/>
  <c r="BK316" i="1"/>
  <c r="BK317" i="1"/>
  <c r="BK318" i="1"/>
  <c r="BK319" i="1"/>
  <c r="K23" i="1"/>
  <c r="K22" i="1"/>
  <c r="M33" i="18"/>
  <c r="H458" i="18"/>
  <c r="H293" i="18"/>
  <c r="G294" i="18"/>
  <c r="F293" i="18"/>
  <c r="F289" i="18"/>
  <c r="G293" i="18"/>
  <c r="F458" i="18"/>
  <c r="H290" i="18"/>
  <c r="G295" i="18"/>
  <c r="F295" i="18"/>
  <c r="G290" i="18"/>
  <c r="F288" i="18"/>
  <c r="H289" i="18"/>
  <c r="G287" i="18"/>
  <c r="H291" i="18"/>
  <c r="F290" i="18"/>
  <c r="G292" i="18"/>
  <c r="H295" i="18"/>
  <c r="H288" i="18"/>
  <c r="H287" i="18"/>
  <c r="G288" i="18"/>
  <c r="G289" i="18"/>
  <c r="F287" i="18"/>
  <c r="F292" i="18"/>
  <c r="E458" i="18"/>
  <c r="H294" i="18"/>
  <c r="G291" i="18"/>
  <c r="F294" i="18"/>
  <c r="D458" i="18"/>
  <c r="H292" i="18"/>
  <c r="F291" i="18"/>
  <c r="G458" i="18"/>
  <c r="H296" i="18" l="1"/>
  <c r="F296" i="18"/>
  <c r="G296" i="18"/>
  <c r="L459" i="18"/>
  <c r="J459" i="18"/>
  <c r="I459" i="18"/>
  <c r="K459" i="18"/>
  <c r="H369" i="18"/>
  <c r="H367" i="18"/>
  <c r="H358" i="18"/>
  <c r="H361" i="18"/>
  <c r="H357" i="18"/>
  <c r="H364" i="18"/>
  <c r="H356" i="18"/>
  <c r="H359" i="18"/>
  <c r="H383" i="18"/>
  <c r="H384" i="18"/>
  <c r="H366" i="18"/>
  <c r="H362" i="18"/>
  <c r="H386" i="18"/>
  <c r="H370" i="18"/>
  <c r="H385" i="18"/>
  <c r="H365" i="18"/>
  <c r="H387" i="18"/>
  <c r="D459" i="18" l="1"/>
  <c r="E459" i="18"/>
  <c r="F459" i="18"/>
  <c r="H459" i="18"/>
  <c r="G459" i="18"/>
  <c r="E83" i="18"/>
  <c r="K13" i="1"/>
  <c r="K19" i="1"/>
  <c r="K20" i="1"/>
  <c r="K21" i="1"/>
  <c r="K24" i="1"/>
  <c r="K25" i="1"/>
  <c r="K26" i="1"/>
  <c r="K27" i="1"/>
  <c r="K28" i="1"/>
  <c r="K3" i="1"/>
  <c r="K29" i="1"/>
  <c r="K4" i="1"/>
  <c r="K30" i="1"/>
  <c r="K11" i="1"/>
  <c r="K31" i="1"/>
  <c r="K32" i="1"/>
  <c r="K5" i="1"/>
  <c r="K6" i="1"/>
  <c r="K33" i="1"/>
  <c r="K34" i="1"/>
  <c r="K7" i="1"/>
  <c r="K8" i="1"/>
  <c r="K35" i="1"/>
  <c r="K36" i="1"/>
  <c r="K37" i="1"/>
  <c r="K38" i="1"/>
  <c r="K39" i="1"/>
  <c r="K2" i="1"/>
  <c r="K40" i="1"/>
  <c r="K41" i="1"/>
  <c r="K42" i="1"/>
  <c r="K43" i="1"/>
  <c r="K44" i="1"/>
  <c r="K45" i="1"/>
  <c r="K46" i="1"/>
  <c r="K47" i="1"/>
  <c r="K48" i="1"/>
  <c r="K49" i="1"/>
  <c r="K50" i="1"/>
  <c r="K51" i="1"/>
  <c r="K52" i="1"/>
  <c r="K53" i="1"/>
  <c r="K54" i="1"/>
  <c r="K55" i="1"/>
  <c r="K12" i="1"/>
  <c r="K56" i="1"/>
  <c r="K57" i="1"/>
  <c r="K58" i="1"/>
  <c r="K59" i="1"/>
  <c r="K14" i="1"/>
  <c r="K17" i="1"/>
  <c r="K60" i="1"/>
  <c r="K9" i="1"/>
  <c r="K61" i="1"/>
  <c r="K62" i="1"/>
  <c r="K16" i="1"/>
  <c r="K15" i="1"/>
  <c r="K18" i="1"/>
  <c r="I405" i="18"/>
  <c r="F400" i="18"/>
  <c r="K198" i="18"/>
  <c r="H399" i="18"/>
  <c r="F257" i="18"/>
  <c r="F258" i="18"/>
  <c r="G404" i="18"/>
  <c r="G272" i="18"/>
  <c r="G274" i="18"/>
  <c r="F259" i="18"/>
  <c r="H255" i="18"/>
  <c r="H272" i="18"/>
  <c r="H279" i="18"/>
  <c r="I399" i="18"/>
  <c r="H256" i="18"/>
  <c r="F271" i="18"/>
  <c r="F406" i="18"/>
  <c r="G259" i="18"/>
  <c r="H400" i="18"/>
  <c r="G399" i="18"/>
  <c r="F279" i="18"/>
  <c r="H276" i="18"/>
  <c r="K196" i="18"/>
  <c r="J406" i="18"/>
  <c r="G260" i="18"/>
  <c r="G275" i="18"/>
  <c r="H273" i="18"/>
  <c r="F404" i="18"/>
  <c r="H257" i="18"/>
  <c r="H401" i="18"/>
  <c r="F275" i="18"/>
  <c r="H404" i="18"/>
  <c r="F274" i="18"/>
  <c r="E196" i="18"/>
  <c r="K200" i="18"/>
  <c r="F398" i="18"/>
  <c r="K406" i="18"/>
  <c r="I406" i="18"/>
  <c r="K405" i="18"/>
  <c r="F405" i="18"/>
  <c r="F402" i="18"/>
  <c r="H406" i="18"/>
  <c r="G405" i="18"/>
  <c r="G401" i="18"/>
  <c r="H278" i="18"/>
  <c r="E197" i="18"/>
  <c r="J400" i="18"/>
  <c r="G255" i="18"/>
  <c r="H258" i="18"/>
  <c r="G279" i="18"/>
  <c r="H274" i="18"/>
  <c r="G257" i="18"/>
  <c r="F276" i="18"/>
  <c r="K400" i="18"/>
  <c r="G256" i="18"/>
  <c r="J402" i="18"/>
  <c r="J398" i="18"/>
  <c r="F260" i="18"/>
  <c r="G406" i="18"/>
  <c r="G400" i="18"/>
  <c r="K402" i="18"/>
  <c r="I404" i="18"/>
  <c r="F272" i="18"/>
  <c r="H271" i="18"/>
  <c r="I402" i="18"/>
  <c r="K199" i="18"/>
  <c r="H403" i="18"/>
  <c r="F399" i="18"/>
  <c r="H277" i="18"/>
  <c r="G402" i="18"/>
  <c r="G258" i="18"/>
  <c r="G278" i="18"/>
  <c r="I398" i="18"/>
  <c r="G276" i="18"/>
  <c r="H259" i="18"/>
  <c r="F273" i="18"/>
  <c r="F255" i="18"/>
  <c r="H275" i="18"/>
  <c r="E195" i="18"/>
  <c r="G277" i="18"/>
  <c r="K407" i="18"/>
  <c r="J404" i="18"/>
  <c r="J401" i="18"/>
  <c r="H405" i="18"/>
  <c r="E194" i="18"/>
  <c r="G273" i="18"/>
  <c r="G271" i="18"/>
  <c r="K404" i="18"/>
  <c r="I403" i="18"/>
  <c r="F401" i="18"/>
  <c r="K195" i="18"/>
  <c r="F403" i="18"/>
  <c r="J405" i="18"/>
  <c r="K403" i="18"/>
  <c r="H260" i="18"/>
  <c r="J403" i="18"/>
  <c r="I401" i="18"/>
  <c r="G403" i="18"/>
  <c r="H402" i="18"/>
  <c r="F277" i="18"/>
  <c r="F256" i="18"/>
  <c r="F278" i="18"/>
  <c r="G398" i="18"/>
  <c r="I400" i="18"/>
  <c r="E199" i="18" l="1"/>
  <c r="K194" i="18" s="1"/>
  <c r="I408" i="18"/>
  <c r="K408" i="18"/>
  <c r="L402" i="18"/>
  <c r="J408" i="18"/>
  <c r="L403" i="18"/>
  <c r="L401" i="18"/>
  <c r="L399" i="18"/>
  <c r="L405" i="18"/>
  <c r="L406" i="18"/>
  <c r="L398" i="18"/>
  <c r="F408" i="18"/>
  <c r="L404" i="18"/>
  <c r="G408" i="18"/>
  <c r="F280" i="18"/>
  <c r="L400" i="18"/>
  <c r="L407" i="18"/>
  <c r="H408" i="18"/>
  <c r="G280" i="18"/>
  <c r="H280" i="18"/>
  <c r="F261" i="18"/>
  <c r="G261" i="18"/>
  <c r="H261" i="18"/>
  <c r="L408" i="18" l="1"/>
  <c r="AA8" i="16"/>
  <c r="E432" i="18"/>
  <c r="D432" i="18"/>
  <c r="BK306" i="1" l="1"/>
  <c r="BL306" i="1"/>
  <c r="AI78" i="1"/>
  <c r="AI306" i="1"/>
  <c r="AI175" i="1"/>
  <c r="AI174" i="1"/>
  <c r="AI221" i="1"/>
  <c r="AJ306" i="1"/>
  <c r="AK306" i="1"/>
  <c r="AL306" i="1"/>
  <c r="AM306" i="1"/>
  <c r="AN306" i="1"/>
  <c r="AO306" i="1"/>
  <c r="AP306" i="1"/>
  <c r="AQ306" i="1"/>
  <c r="Y306" i="1"/>
  <c r="BK175" i="1"/>
  <c r="BL175" i="1"/>
  <c r="AL175" i="1"/>
  <c r="AJ175" i="1"/>
  <c r="AK175" i="1"/>
  <c r="AM175" i="1"/>
  <c r="AN175" i="1"/>
  <c r="AO175" i="1"/>
  <c r="AP175" i="1"/>
  <c r="AQ175" i="1"/>
  <c r="Y175" i="1"/>
  <c r="AJ174" i="1"/>
  <c r="BL174" i="1"/>
  <c r="BK174" i="1"/>
  <c r="AQ174" i="1"/>
  <c r="AP174" i="1"/>
  <c r="AO174" i="1"/>
  <c r="AN174" i="1"/>
  <c r="AM174" i="1"/>
  <c r="AL174" i="1"/>
  <c r="AK174" i="1"/>
  <c r="Y174" i="1"/>
  <c r="F386" i="18"/>
  <c r="F382" i="18"/>
  <c r="G386" i="18"/>
  <c r="I383" i="18"/>
  <c r="F384" i="18"/>
  <c r="H382" i="18"/>
  <c r="K385" i="18"/>
  <c r="G382" i="18"/>
  <c r="K382" i="18"/>
  <c r="J386" i="18"/>
  <c r="G384" i="18"/>
  <c r="K386" i="18"/>
  <c r="F387" i="18"/>
  <c r="J382" i="18"/>
  <c r="J384" i="18"/>
  <c r="J385" i="18"/>
  <c r="G385" i="18"/>
  <c r="G383" i="18"/>
  <c r="G387" i="18"/>
  <c r="J387" i="18"/>
  <c r="F385" i="18"/>
  <c r="K387" i="18"/>
  <c r="K388" i="18"/>
  <c r="K373" i="18"/>
  <c r="F383" i="18"/>
  <c r="I384" i="18"/>
  <c r="I387" i="18"/>
  <c r="I385" i="18"/>
  <c r="K384" i="18"/>
  <c r="I386" i="18"/>
  <c r="I382" i="18"/>
  <c r="L373" i="18" l="1"/>
  <c r="L382" i="18"/>
  <c r="F389" i="18"/>
  <c r="J389" i="18"/>
  <c r="L383" i="18"/>
  <c r="L384" i="18"/>
  <c r="I389" i="18"/>
  <c r="L385" i="18"/>
  <c r="L388" i="18"/>
  <c r="L386" i="18"/>
  <c r="H389" i="18"/>
  <c r="L387" i="18"/>
  <c r="K389" i="18"/>
  <c r="G389" i="18"/>
  <c r="AR306" i="1"/>
  <c r="AR174" i="1"/>
  <c r="AR175" i="1"/>
  <c r="L389" i="18" l="1"/>
  <c r="BK185" i="1"/>
  <c r="BK186" i="1"/>
  <c r="AI195" i="1"/>
  <c r="AI18" i="1" l="1"/>
  <c r="Y281" i="1"/>
  <c r="U13" i="17"/>
  <c r="I359" i="18"/>
  <c r="I361" i="18"/>
  <c r="I371" i="18"/>
  <c r="I356" i="18"/>
  <c r="I362" i="18"/>
  <c r="I369" i="18"/>
  <c r="I366" i="18"/>
  <c r="N13" i="17"/>
  <c r="I367" i="18"/>
  <c r="M13" i="17"/>
  <c r="S13" i="17"/>
  <c r="T13" i="17"/>
  <c r="Q13" i="17"/>
  <c r="I360" i="18"/>
  <c r="I358" i="18"/>
  <c r="I363" i="18"/>
  <c r="I357" i="18"/>
  <c r="I355" i="18"/>
  <c r="O13" i="17"/>
  <c r="R13" i="17"/>
  <c r="L13" i="17"/>
  <c r="I370" i="18"/>
  <c r="P13" i="17"/>
  <c r="I368" i="18"/>
  <c r="I364" i="18"/>
  <c r="BK307" i="1" l="1"/>
  <c r="BL13" i="1" l="1"/>
  <c r="BL19" i="1"/>
  <c r="BL20" i="1"/>
  <c r="BL21" i="1"/>
  <c r="BL22" i="1"/>
  <c r="BL23" i="1"/>
  <c r="BL24" i="1"/>
  <c r="BL25" i="1"/>
  <c r="BL26" i="1"/>
  <c r="BL27" i="1"/>
  <c r="BL28" i="1"/>
  <c r="BL3" i="1"/>
  <c r="BL29" i="1"/>
  <c r="BL4" i="1"/>
  <c r="BL30" i="1"/>
  <c r="BL11" i="1"/>
  <c r="BL31" i="1"/>
  <c r="BL32" i="1"/>
  <c r="BL5" i="1"/>
  <c r="BL6" i="1"/>
  <c r="BL33" i="1"/>
  <c r="BL34" i="1"/>
  <c r="BL7" i="1"/>
  <c r="BL8" i="1"/>
  <c r="BL35" i="1"/>
  <c r="BL36" i="1"/>
  <c r="BL37" i="1"/>
  <c r="BL38" i="1"/>
  <c r="BL39" i="1"/>
  <c r="BL2" i="1"/>
  <c r="BL40" i="1"/>
  <c r="BL41" i="1"/>
  <c r="BL42" i="1"/>
  <c r="BL43" i="1"/>
  <c r="BL44" i="1"/>
  <c r="BL45" i="1"/>
  <c r="BL46" i="1"/>
  <c r="BL47" i="1"/>
  <c r="BL48" i="1"/>
  <c r="BL49" i="1"/>
  <c r="BL50" i="1"/>
  <c r="BL51" i="1"/>
  <c r="BL52" i="1"/>
  <c r="BL53" i="1"/>
  <c r="BL54" i="1"/>
  <c r="BL55" i="1"/>
  <c r="BL12" i="1"/>
  <c r="BL56" i="1"/>
  <c r="BL57" i="1"/>
  <c r="BL58" i="1"/>
  <c r="BL59" i="1"/>
  <c r="BL14" i="1"/>
  <c r="BL17" i="1"/>
  <c r="BL60" i="1"/>
  <c r="BL9" i="1"/>
  <c r="BL61" i="1"/>
  <c r="BL62" i="1"/>
  <c r="BL10" i="1"/>
  <c r="BL63" i="1"/>
  <c r="BL16" i="1"/>
  <c r="BL64" i="1"/>
  <c r="BL65" i="1"/>
  <c r="BL66" i="1"/>
  <c r="BL67" i="1"/>
  <c r="BL15" i="1"/>
  <c r="BL68" i="1"/>
  <c r="BL69" i="1"/>
  <c r="BL83" i="1"/>
  <c r="BL84" i="1"/>
  <c r="BL92" i="1"/>
  <c r="BL95" i="1"/>
  <c r="BL96" i="1"/>
  <c r="BL97" i="1"/>
  <c r="BL91" i="1"/>
  <c r="BL85" i="1"/>
  <c r="BL98" i="1"/>
  <c r="BL99" i="1"/>
  <c r="BL100" i="1"/>
  <c r="BL101" i="1"/>
  <c r="BL70" i="1"/>
  <c r="BL102" i="1"/>
  <c r="BL103" i="1"/>
  <c r="BL72" i="1"/>
  <c r="BL104" i="1"/>
  <c r="BL105" i="1"/>
  <c r="BL73" i="1"/>
  <c r="BL74" i="1"/>
  <c r="BL106" i="1"/>
  <c r="BL107" i="1"/>
  <c r="BL108" i="1"/>
  <c r="BL109" i="1"/>
  <c r="BL110" i="1"/>
  <c r="BL111" i="1"/>
  <c r="BL112" i="1"/>
  <c r="BL113" i="1"/>
  <c r="BL114" i="1"/>
  <c r="BL115" i="1"/>
  <c r="BL116" i="1"/>
  <c r="BL117" i="1"/>
  <c r="BL118" i="1"/>
  <c r="BL119" i="1"/>
  <c r="BL120" i="1"/>
  <c r="BL121" i="1"/>
  <c r="BL75" i="1"/>
  <c r="BL76" i="1"/>
  <c r="BL122" i="1"/>
  <c r="BL123" i="1"/>
  <c r="BL86" i="1"/>
  <c r="BL124" i="1"/>
  <c r="BL125" i="1"/>
  <c r="BL126" i="1"/>
  <c r="BL127" i="1"/>
  <c r="BL128" i="1"/>
  <c r="BL129" i="1"/>
  <c r="BL130" i="1"/>
  <c r="BL93" i="1"/>
  <c r="BL131" i="1"/>
  <c r="BL132" i="1"/>
  <c r="BL94" i="1"/>
  <c r="BL77" i="1"/>
  <c r="BL133" i="1"/>
  <c r="BL221" i="1"/>
  <c r="BL78" i="1"/>
  <c r="BL89" i="1"/>
  <c r="BL134" i="1"/>
  <c r="BL135" i="1"/>
  <c r="BL136" i="1"/>
  <c r="BL137" i="1"/>
  <c r="BL71" i="1"/>
  <c r="BL138" i="1"/>
  <c r="BL139" i="1"/>
  <c r="BL140" i="1"/>
  <c r="BL141" i="1"/>
  <c r="BL142" i="1"/>
  <c r="BL143" i="1"/>
  <c r="BL79" i="1"/>
  <c r="BL144" i="1"/>
  <c r="BL145" i="1"/>
  <c r="BL146" i="1"/>
  <c r="BL147" i="1"/>
  <c r="BL148" i="1"/>
  <c r="BL149" i="1"/>
  <c r="BL80" i="1"/>
  <c r="BL87" i="1"/>
  <c r="BL150" i="1"/>
  <c r="BL151" i="1"/>
  <c r="BL152" i="1"/>
  <c r="BL153" i="1"/>
  <c r="BL154" i="1"/>
  <c r="BL81" i="1"/>
  <c r="BL155" i="1"/>
  <c r="BL82" i="1"/>
  <c r="BL156" i="1"/>
  <c r="BL157" i="1"/>
  <c r="BL158" i="1"/>
  <c r="BL159" i="1"/>
  <c r="BL160" i="1"/>
  <c r="BL90" i="1"/>
  <c r="BL161" i="1"/>
  <c r="BL162" i="1"/>
  <c r="BL163" i="1"/>
  <c r="BL164" i="1"/>
  <c r="BL165" i="1"/>
  <c r="BL166" i="1"/>
  <c r="BL167" i="1"/>
  <c r="BL168" i="1"/>
  <c r="BL169" i="1"/>
  <c r="BL88" i="1"/>
  <c r="BL170" i="1"/>
  <c r="BL171" i="1"/>
  <c r="BL172" i="1"/>
  <c r="BL173" i="1"/>
  <c r="BL179" i="1"/>
  <c r="BL224" i="1"/>
  <c r="BL225" i="1"/>
  <c r="BL226" i="1"/>
  <c r="BL227" i="1"/>
  <c r="BL228" i="1"/>
  <c r="BL229" i="1"/>
  <c r="BL230" i="1"/>
  <c r="BL231" i="1"/>
  <c r="BL232" i="1"/>
  <c r="BL233" i="1"/>
  <c r="BL234" i="1"/>
  <c r="BL180" i="1"/>
  <c r="BL235" i="1"/>
  <c r="BL236" i="1"/>
  <c r="BL237" i="1"/>
  <c r="BL213" i="1"/>
  <c r="BL218" i="1"/>
  <c r="BL181" i="1"/>
  <c r="BL238" i="1"/>
  <c r="BL239" i="1"/>
  <c r="BL240" i="1"/>
  <c r="BL241" i="1"/>
  <c r="BL242" i="1"/>
  <c r="BL243" i="1"/>
  <c r="BL182" i="1"/>
  <c r="BL244" i="1"/>
  <c r="BL245" i="1"/>
  <c r="BL246" i="1"/>
  <c r="BL211" i="1"/>
  <c r="BL247" i="1"/>
  <c r="BL248" i="1"/>
  <c r="BL249" i="1"/>
  <c r="BL250" i="1"/>
  <c r="BL251" i="1"/>
  <c r="BL252" i="1"/>
  <c r="BL253" i="1"/>
  <c r="BL254" i="1"/>
  <c r="BL220" i="1"/>
  <c r="BL255" i="1"/>
  <c r="BL256" i="1"/>
  <c r="BL214" i="1"/>
  <c r="BL257" i="1"/>
  <c r="BL258" i="1"/>
  <c r="BL259" i="1"/>
  <c r="BL260" i="1"/>
  <c r="BL261" i="1"/>
  <c r="BL262" i="1"/>
  <c r="BL263" i="1"/>
  <c r="BL264" i="1"/>
  <c r="BL265" i="1"/>
  <c r="BL176" i="1"/>
  <c r="BL266" i="1"/>
  <c r="BL267" i="1"/>
  <c r="BL183" i="1"/>
  <c r="BL177" i="1"/>
  <c r="BL219" i="1"/>
  <c r="BL184" i="1"/>
  <c r="BL185" i="1"/>
  <c r="BL186" i="1"/>
  <c r="BL187" i="1"/>
  <c r="BL188" i="1"/>
  <c r="BL189" i="1"/>
  <c r="BL190" i="1"/>
  <c r="BL191" i="1"/>
  <c r="BL192" i="1"/>
  <c r="BL193" i="1"/>
  <c r="BL194" i="1"/>
  <c r="BL195" i="1"/>
  <c r="BL196" i="1"/>
  <c r="BL197" i="1"/>
  <c r="BL198" i="1"/>
  <c r="BL199" i="1"/>
  <c r="BL268" i="1"/>
  <c r="BL200" i="1"/>
  <c r="BL269" i="1"/>
  <c r="BL270" i="1"/>
  <c r="BL271" i="1"/>
  <c r="BL201" i="1"/>
  <c r="BL202" i="1"/>
  <c r="BL272" i="1"/>
  <c r="BL273" i="1"/>
  <c r="BL274" i="1"/>
  <c r="BL275" i="1"/>
  <c r="BL178" i="1"/>
  <c r="BL276" i="1"/>
  <c r="BL277" i="1"/>
  <c r="BL278" i="1"/>
  <c r="BL215" i="1"/>
  <c r="BL279" i="1"/>
  <c r="BL280" i="1"/>
  <c r="BL281" i="1"/>
  <c r="BL222" i="1"/>
  <c r="BL203" i="1"/>
  <c r="BL282" i="1"/>
  <c r="BL283" i="1"/>
  <c r="BL284" i="1"/>
  <c r="BL204" i="1"/>
  <c r="BL285" i="1"/>
  <c r="BL223" i="1"/>
  <c r="BL286" i="1"/>
  <c r="BL287" i="1"/>
  <c r="BL205" i="1"/>
  <c r="BL288" i="1"/>
  <c r="BL289" i="1"/>
  <c r="BL206" i="1"/>
  <c r="BL290" i="1"/>
  <c r="BL217" i="1"/>
  <c r="BL291" i="1"/>
  <c r="BL292" i="1"/>
  <c r="BL293" i="1"/>
  <c r="BL294" i="1"/>
  <c r="BL295" i="1"/>
  <c r="BL296" i="1"/>
  <c r="BL297" i="1"/>
  <c r="BL298" i="1"/>
  <c r="BL207" i="1"/>
  <c r="BL212" i="1"/>
  <c r="BL208" i="1"/>
  <c r="BL216" i="1"/>
  <c r="BL299" i="1"/>
  <c r="BL209" i="1"/>
  <c r="BL210" i="1"/>
  <c r="BL300" i="1"/>
  <c r="BL301" i="1"/>
  <c r="BL302" i="1"/>
  <c r="BL303" i="1"/>
  <c r="BL304" i="1"/>
  <c r="BL305" i="1"/>
  <c r="BL307" i="1"/>
  <c r="BL18" i="1"/>
  <c r="H47" i="18"/>
  <c r="J8" i="18"/>
  <c r="Q53" i="18"/>
  <c r="Q46" i="18"/>
  <c r="Q49" i="18"/>
  <c r="Q50" i="18"/>
  <c r="K357" i="18"/>
  <c r="K361" i="18"/>
  <c r="Q48" i="18"/>
  <c r="K365" i="18"/>
  <c r="Q47" i="18"/>
  <c r="K372" i="18"/>
  <c r="Q52" i="18"/>
  <c r="K369" i="18"/>
  <c r="K370" i="18"/>
  <c r="K367" i="18"/>
  <c r="K364" i="18"/>
  <c r="K12" i="17" l="1"/>
  <c r="M32" i="18" s="1"/>
  <c r="I315" i="18"/>
  <c r="I139" i="18"/>
  <c r="J364" i="18"/>
  <c r="H243" i="18"/>
  <c r="G357" i="18"/>
  <c r="F367" i="18"/>
  <c r="F246" i="18"/>
  <c r="F366" i="18"/>
  <c r="G321" i="18"/>
  <c r="F365" i="18"/>
  <c r="H222" i="18"/>
  <c r="F363" i="18"/>
  <c r="H234" i="18"/>
  <c r="E342" i="18"/>
  <c r="H336" i="18"/>
  <c r="F231" i="18"/>
  <c r="F216" i="18"/>
  <c r="E323" i="18"/>
  <c r="H245" i="18"/>
  <c r="G364" i="18"/>
  <c r="F371" i="18"/>
  <c r="H209" i="18"/>
  <c r="F357" i="18"/>
  <c r="G208" i="18"/>
  <c r="G367" i="18"/>
  <c r="F323" i="18"/>
  <c r="G372" i="18"/>
  <c r="F359" i="18"/>
  <c r="H307" i="18"/>
  <c r="H231" i="18"/>
  <c r="F240" i="18"/>
  <c r="G218" i="18"/>
  <c r="F241" i="18"/>
  <c r="F233" i="18"/>
  <c r="F212" i="18"/>
  <c r="G237" i="18"/>
  <c r="F217" i="18"/>
  <c r="H206" i="18"/>
  <c r="F239" i="18"/>
  <c r="G242" i="18"/>
  <c r="H325" i="18"/>
  <c r="F369" i="18"/>
  <c r="G356" i="18"/>
  <c r="G216" i="18"/>
  <c r="H210" i="18"/>
  <c r="H214" i="18"/>
  <c r="G243" i="18"/>
  <c r="G222" i="18"/>
  <c r="F245" i="18"/>
  <c r="F309" i="18"/>
  <c r="G336" i="18"/>
  <c r="E325" i="18"/>
  <c r="G209" i="18"/>
  <c r="H372" i="18"/>
  <c r="H213" i="18"/>
  <c r="J356" i="18"/>
  <c r="H248" i="18"/>
  <c r="F237" i="18"/>
  <c r="J362" i="18"/>
  <c r="G238" i="18"/>
  <c r="F206" i="18"/>
  <c r="E119" i="18"/>
  <c r="E338" i="18"/>
  <c r="G205" i="18"/>
  <c r="G369" i="18"/>
  <c r="G366" i="18"/>
  <c r="G215" i="18"/>
  <c r="H237" i="18"/>
  <c r="F234" i="18"/>
  <c r="G118" i="18"/>
  <c r="G342" i="18"/>
  <c r="F213" i="18"/>
  <c r="E309" i="18"/>
  <c r="E340" i="18"/>
  <c r="F215" i="18"/>
  <c r="H220" i="18"/>
  <c r="H208" i="18"/>
  <c r="H215" i="18"/>
  <c r="H242" i="18"/>
  <c r="H244" i="18"/>
  <c r="H218" i="18"/>
  <c r="G214" i="18"/>
  <c r="G244" i="18"/>
  <c r="E157" i="18"/>
  <c r="J371" i="18"/>
  <c r="G371" i="18"/>
  <c r="G311" i="18"/>
  <c r="F362" i="18"/>
  <c r="G360" i="18"/>
  <c r="G323" i="18"/>
  <c r="J363" i="18"/>
  <c r="J359" i="18"/>
  <c r="G232" i="18"/>
  <c r="F356" i="18"/>
  <c r="F321" i="18"/>
  <c r="G358" i="18"/>
  <c r="G220" i="18"/>
  <c r="F372" i="18"/>
  <c r="F236" i="18"/>
  <c r="D157" i="18"/>
  <c r="G340" i="18"/>
  <c r="H238" i="18"/>
  <c r="G213" i="18"/>
  <c r="G240" i="18"/>
  <c r="G206" i="18"/>
  <c r="F368" i="18"/>
  <c r="J368" i="18"/>
  <c r="G245" i="18"/>
  <c r="G246" i="18"/>
  <c r="F243" i="18"/>
  <c r="E116" i="18"/>
  <c r="H233" i="18"/>
  <c r="H219" i="18"/>
  <c r="F235" i="18"/>
  <c r="H240" i="18"/>
  <c r="H236" i="18"/>
  <c r="H241" i="18"/>
  <c r="H207" i="18"/>
  <c r="F205" i="18"/>
  <c r="G365" i="18"/>
  <c r="F210" i="18"/>
  <c r="G119" i="18"/>
  <c r="H205" i="18"/>
  <c r="F340" i="18"/>
  <c r="G219" i="18"/>
  <c r="G236" i="18"/>
  <c r="G248" i="18"/>
  <c r="H217" i="18"/>
  <c r="G210" i="18"/>
  <c r="H212" i="18"/>
  <c r="H338" i="18"/>
  <c r="H211" i="18"/>
  <c r="G231" i="18"/>
  <c r="G359" i="18"/>
  <c r="H239" i="18"/>
  <c r="F221" i="18"/>
  <c r="F370" i="18"/>
  <c r="H311" i="18"/>
  <c r="H235" i="18"/>
  <c r="G221" i="18"/>
  <c r="G355" i="18"/>
  <c r="G211" i="18"/>
  <c r="G239" i="18"/>
  <c r="G361" i="18"/>
  <c r="F342" i="18"/>
  <c r="J357" i="18"/>
  <c r="G233" i="18"/>
  <c r="G217" i="18"/>
  <c r="F211" i="18"/>
  <c r="G362" i="18"/>
  <c r="F242" i="18"/>
  <c r="F207" i="18"/>
  <c r="F220" i="18"/>
  <c r="G207" i="18"/>
  <c r="E117" i="18"/>
  <c r="F360" i="18"/>
  <c r="E336" i="18"/>
  <c r="E311" i="18"/>
  <c r="F232" i="18"/>
  <c r="E321" i="18"/>
  <c r="F244" i="18"/>
  <c r="J366" i="18"/>
  <c r="G368" i="18"/>
  <c r="G234" i="18"/>
  <c r="H342" i="18"/>
  <c r="F208" i="18"/>
  <c r="F325" i="18"/>
  <c r="J372" i="18"/>
  <c r="G363" i="18"/>
  <c r="F218" i="18"/>
  <c r="G212" i="18"/>
  <c r="G116" i="18"/>
  <c r="G325" i="18"/>
  <c r="G117" i="18"/>
  <c r="H216" i="18"/>
  <c r="F238" i="18"/>
  <c r="G307" i="18"/>
  <c r="G241" i="18"/>
  <c r="E118" i="18"/>
  <c r="F361" i="18"/>
  <c r="H246" i="18"/>
  <c r="F307" i="18"/>
  <c r="J369" i="18"/>
  <c r="H232" i="18"/>
  <c r="F248" i="18"/>
  <c r="F209" i="18"/>
  <c r="E307" i="18"/>
  <c r="F214" i="18"/>
  <c r="F219" i="18"/>
  <c r="F338" i="18"/>
  <c r="F364" i="18"/>
  <c r="F222" i="18"/>
  <c r="G235" i="18"/>
  <c r="G370" i="18"/>
  <c r="F336" i="18"/>
  <c r="F355" i="18"/>
  <c r="F358" i="18"/>
  <c r="H321" i="18"/>
  <c r="G338" i="18"/>
  <c r="F311" i="18"/>
  <c r="H374" i="18" l="1"/>
  <c r="G374" i="18"/>
  <c r="D158" i="18"/>
  <c r="E158" i="18"/>
  <c r="L355" i="18"/>
  <c r="H344" i="18"/>
  <c r="G344" i="18"/>
  <c r="H315" i="18"/>
  <c r="G315" i="18"/>
  <c r="F315" i="18"/>
  <c r="E315" i="18"/>
  <c r="E159" i="18"/>
  <c r="D159" i="18"/>
  <c r="F157" i="18"/>
  <c r="J315" i="18" l="1"/>
  <c r="G157" i="18"/>
  <c r="H157" i="18"/>
  <c r="D185" i="18" s="1"/>
  <c r="AK18" i="1" l="1"/>
  <c r="AL18" i="1"/>
  <c r="AM18" i="1"/>
  <c r="AN18" i="1"/>
  <c r="AO18" i="1"/>
  <c r="AP18" i="1"/>
  <c r="AQ18" i="1"/>
  <c r="AK13" i="1"/>
  <c r="AL13" i="1"/>
  <c r="AM13" i="1"/>
  <c r="AN13" i="1"/>
  <c r="AO13" i="1"/>
  <c r="AP13" i="1"/>
  <c r="AQ13" i="1"/>
  <c r="AK20" i="1"/>
  <c r="AL20" i="1"/>
  <c r="AM20" i="1"/>
  <c r="AN20" i="1"/>
  <c r="AO20" i="1"/>
  <c r="AP20" i="1"/>
  <c r="AQ20" i="1"/>
  <c r="AK26" i="1"/>
  <c r="AL26" i="1"/>
  <c r="AM26" i="1"/>
  <c r="AN26" i="1"/>
  <c r="AO26" i="1"/>
  <c r="AP26" i="1"/>
  <c r="AQ26" i="1"/>
  <c r="AK25" i="1"/>
  <c r="AL25" i="1"/>
  <c r="AM25" i="1"/>
  <c r="AN25" i="1"/>
  <c r="AO25" i="1"/>
  <c r="AP25" i="1"/>
  <c r="AQ25" i="1"/>
  <c r="AK21" i="1"/>
  <c r="AL21" i="1"/>
  <c r="AM21" i="1"/>
  <c r="AN21" i="1"/>
  <c r="AO21" i="1"/>
  <c r="AP21" i="1"/>
  <c r="AQ21" i="1"/>
  <c r="AK22" i="1"/>
  <c r="AL22" i="1"/>
  <c r="AM22" i="1"/>
  <c r="AN22" i="1"/>
  <c r="AO22" i="1"/>
  <c r="AP22" i="1"/>
  <c r="AQ22" i="1"/>
  <c r="AK23" i="1"/>
  <c r="AL23" i="1"/>
  <c r="AM23" i="1"/>
  <c r="AN23" i="1"/>
  <c r="AO23" i="1"/>
  <c r="AP23" i="1"/>
  <c r="AQ23" i="1"/>
  <c r="AK19" i="1"/>
  <c r="AL19" i="1"/>
  <c r="AM19" i="1"/>
  <c r="AN19" i="1"/>
  <c r="AO19" i="1"/>
  <c r="AP19" i="1"/>
  <c r="AQ19" i="1"/>
  <c r="AK28" i="1"/>
  <c r="AL28" i="1"/>
  <c r="AM28" i="1"/>
  <c r="AN28" i="1"/>
  <c r="AO28" i="1"/>
  <c r="AP28" i="1"/>
  <c r="AQ28" i="1"/>
  <c r="AK24" i="1"/>
  <c r="AL24" i="1"/>
  <c r="AM24" i="1"/>
  <c r="AN24" i="1"/>
  <c r="AO24" i="1"/>
  <c r="AP24" i="1"/>
  <c r="AQ24" i="1"/>
  <c r="AK27" i="1"/>
  <c r="AL27" i="1"/>
  <c r="AM27" i="1"/>
  <c r="AN27" i="1"/>
  <c r="AO27" i="1"/>
  <c r="AP27" i="1"/>
  <c r="AQ27" i="1"/>
  <c r="AK4" i="1"/>
  <c r="AL4" i="1"/>
  <c r="AM4" i="1"/>
  <c r="AN4" i="1"/>
  <c r="AO4" i="1"/>
  <c r="AP4" i="1"/>
  <c r="AQ4" i="1"/>
  <c r="AK6" i="1"/>
  <c r="AL6" i="1"/>
  <c r="AM6" i="1"/>
  <c r="AN6" i="1"/>
  <c r="AO6" i="1"/>
  <c r="AP6" i="1"/>
  <c r="AQ6" i="1"/>
  <c r="AK3" i="1"/>
  <c r="AL3" i="1"/>
  <c r="AM3" i="1"/>
  <c r="AN3" i="1"/>
  <c r="AO3" i="1"/>
  <c r="AP3" i="1"/>
  <c r="AQ3" i="1"/>
  <c r="AK7" i="1"/>
  <c r="AL7" i="1"/>
  <c r="AM7" i="1"/>
  <c r="AN7" i="1"/>
  <c r="AO7" i="1"/>
  <c r="AP7" i="1"/>
  <c r="AQ7" i="1"/>
  <c r="AK29" i="1"/>
  <c r="AL29" i="1"/>
  <c r="AM29" i="1"/>
  <c r="AN29" i="1"/>
  <c r="AO29" i="1"/>
  <c r="AP29" i="1"/>
  <c r="AQ29" i="1"/>
  <c r="AK33" i="1"/>
  <c r="AL33" i="1"/>
  <c r="AM33" i="1"/>
  <c r="AN33" i="1"/>
  <c r="AO33" i="1"/>
  <c r="AP33" i="1"/>
  <c r="AQ33" i="1"/>
  <c r="AK30" i="1"/>
  <c r="AL30" i="1"/>
  <c r="AM30" i="1"/>
  <c r="AN30" i="1"/>
  <c r="AO30" i="1"/>
  <c r="AP30" i="1"/>
  <c r="AQ30" i="1"/>
  <c r="AK35" i="1"/>
  <c r="AL35" i="1"/>
  <c r="AM35" i="1"/>
  <c r="AN35" i="1"/>
  <c r="AO35" i="1"/>
  <c r="AP35" i="1"/>
  <c r="AQ35" i="1"/>
  <c r="AK34" i="1"/>
  <c r="AL34" i="1"/>
  <c r="AM34" i="1"/>
  <c r="AN34" i="1"/>
  <c r="AO34" i="1"/>
  <c r="AP34" i="1"/>
  <c r="AQ34" i="1"/>
  <c r="AK37" i="1"/>
  <c r="AL37" i="1"/>
  <c r="AM37" i="1"/>
  <c r="AN37" i="1"/>
  <c r="AO37" i="1"/>
  <c r="AP37" i="1"/>
  <c r="AQ37" i="1"/>
  <c r="AK31" i="1"/>
  <c r="AL31" i="1"/>
  <c r="AM31" i="1"/>
  <c r="AN31" i="1"/>
  <c r="AO31" i="1"/>
  <c r="AP31" i="1"/>
  <c r="AQ31" i="1"/>
  <c r="AK32" i="1"/>
  <c r="AL32" i="1"/>
  <c r="AM32" i="1"/>
  <c r="AN32" i="1"/>
  <c r="AO32" i="1"/>
  <c r="AP32" i="1"/>
  <c r="AQ32" i="1"/>
  <c r="AK38" i="1"/>
  <c r="AL38" i="1"/>
  <c r="AM38" i="1"/>
  <c r="AN38" i="1"/>
  <c r="AO38" i="1"/>
  <c r="AP38" i="1"/>
  <c r="AQ38" i="1"/>
  <c r="AK41" i="1"/>
  <c r="AL41" i="1"/>
  <c r="AM41" i="1"/>
  <c r="AN41" i="1"/>
  <c r="AO41" i="1"/>
  <c r="AP41" i="1"/>
  <c r="AQ41" i="1"/>
  <c r="AK40" i="1"/>
  <c r="AL40" i="1"/>
  <c r="AM40" i="1"/>
  <c r="AN40" i="1"/>
  <c r="AO40" i="1"/>
  <c r="AP40" i="1"/>
  <c r="AQ40" i="1"/>
  <c r="AK36" i="1"/>
  <c r="AL36" i="1"/>
  <c r="AM36" i="1"/>
  <c r="AN36" i="1"/>
  <c r="AO36" i="1"/>
  <c r="AP36" i="1"/>
  <c r="AQ36" i="1"/>
  <c r="AK8" i="1"/>
  <c r="AL8" i="1"/>
  <c r="AM8" i="1"/>
  <c r="AN8" i="1"/>
  <c r="AO8" i="1"/>
  <c r="AP8" i="1"/>
  <c r="AQ8" i="1"/>
  <c r="AK11" i="1"/>
  <c r="AL11" i="1"/>
  <c r="AM11" i="1"/>
  <c r="AN11" i="1"/>
  <c r="AO11" i="1"/>
  <c r="AP11" i="1"/>
  <c r="AQ11" i="1"/>
  <c r="AK46" i="1"/>
  <c r="AL46" i="1"/>
  <c r="AM46" i="1"/>
  <c r="AN46" i="1"/>
  <c r="AO46" i="1"/>
  <c r="AP46" i="1"/>
  <c r="AQ46" i="1"/>
  <c r="AK44" i="1"/>
  <c r="AL44" i="1"/>
  <c r="AM44" i="1"/>
  <c r="AN44" i="1"/>
  <c r="AO44" i="1"/>
  <c r="AP44" i="1"/>
  <c r="AQ44" i="1"/>
  <c r="AK48" i="1"/>
  <c r="AL48" i="1"/>
  <c r="AM48" i="1"/>
  <c r="AN48" i="1"/>
  <c r="AO48" i="1"/>
  <c r="AP48" i="1"/>
  <c r="AQ48" i="1"/>
  <c r="AK47" i="1"/>
  <c r="AL47" i="1"/>
  <c r="AM47" i="1"/>
  <c r="AN47" i="1"/>
  <c r="AO47" i="1"/>
  <c r="AP47" i="1"/>
  <c r="AQ47" i="1"/>
  <c r="AK51" i="1"/>
  <c r="AL51" i="1"/>
  <c r="AM51" i="1"/>
  <c r="AN51" i="1"/>
  <c r="AO51" i="1"/>
  <c r="AP51" i="1"/>
  <c r="AQ51" i="1"/>
  <c r="AK5" i="1"/>
  <c r="AL5" i="1"/>
  <c r="AM5" i="1"/>
  <c r="AN5" i="1"/>
  <c r="AO5" i="1"/>
  <c r="AP5" i="1"/>
  <c r="AQ5" i="1"/>
  <c r="AK53" i="1"/>
  <c r="AL53" i="1"/>
  <c r="AM53" i="1"/>
  <c r="AN53" i="1"/>
  <c r="AO53" i="1"/>
  <c r="AP53" i="1"/>
  <c r="AQ53" i="1"/>
  <c r="AK52" i="1"/>
  <c r="AL52" i="1"/>
  <c r="AM52" i="1"/>
  <c r="AN52" i="1"/>
  <c r="AO52" i="1"/>
  <c r="AP52" i="1"/>
  <c r="AQ52" i="1"/>
  <c r="AK43" i="1"/>
  <c r="AL43" i="1"/>
  <c r="AM43" i="1"/>
  <c r="AN43" i="1"/>
  <c r="AO43" i="1"/>
  <c r="AP43" i="1"/>
  <c r="AQ43" i="1"/>
  <c r="AK45" i="1"/>
  <c r="AL45" i="1"/>
  <c r="AM45" i="1"/>
  <c r="AN45" i="1"/>
  <c r="AO45" i="1"/>
  <c r="AP45" i="1"/>
  <c r="AQ45" i="1"/>
  <c r="AK2" i="1"/>
  <c r="AL2" i="1"/>
  <c r="AM2" i="1"/>
  <c r="AN2" i="1"/>
  <c r="AO2" i="1"/>
  <c r="AP2" i="1"/>
  <c r="AQ2" i="1"/>
  <c r="AK55" i="1"/>
  <c r="AL55" i="1"/>
  <c r="AM55" i="1"/>
  <c r="AN55" i="1"/>
  <c r="AO55" i="1"/>
  <c r="AP55" i="1"/>
  <c r="AQ55" i="1"/>
  <c r="AK39" i="1"/>
  <c r="AL39" i="1"/>
  <c r="AM39" i="1"/>
  <c r="AN39" i="1"/>
  <c r="AO39" i="1"/>
  <c r="AP39" i="1"/>
  <c r="AQ39" i="1"/>
  <c r="AK12" i="1"/>
  <c r="AL12" i="1"/>
  <c r="AM12" i="1"/>
  <c r="AN12" i="1"/>
  <c r="AO12" i="1"/>
  <c r="AP12" i="1"/>
  <c r="AQ12" i="1"/>
  <c r="AK50" i="1"/>
  <c r="AL50" i="1"/>
  <c r="AM50" i="1"/>
  <c r="AN50" i="1"/>
  <c r="AO50" i="1"/>
  <c r="AP50" i="1"/>
  <c r="AQ50" i="1"/>
  <c r="AK49" i="1"/>
  <c r="AL49" i="1"/>
  <c r="AM49" i="1"/>
  <c r="AN49" i="1"/>
  <c r="AO49" i="1"/>
  <c r="AP49" i="1"/>
  <c r="AQ49" i="1"/>
  <c r="AK58" i="1"/>
  <c r="AL58" i="1"/>
  <c r="AM58" i="1"/>
  <c r="AN58" i="1"/>
  <c r="AO58" i="1"/>
  <c r="AP58" i="1"/>
  <c r="AQ58" i="1"/>
  <c r="AK56" i="1"/>
  <c r="AL56" i="1"/>
  <c r="AM56" i="1"/>
  <c r="AN56" i="1"/>
  <c r="AO56" i="1"/>
  <c r="AP56" i="1"/>
  <c r="AQ56" i="1"/>
  <c r="AK59" i="1"/>
  <c r="AL59" i="1"/>
  <c r="AM59" i="1"/>
  <c r="AN59" i="1"/>
  <c r="AO59" i="1"/>
  <c r="AP59" i="1"/>
  <c r="AQ59" i="1"/>
  <c r="AK42" i="1"/>
  <c r="AL42" i="1"/>
  <c r="AM42" i="1"/>
  <c r="AN42" i="1"/>
  <c r="AO42" i="1"/>
  <c r="AP42" i="1"/>
  <c r="AQ42" i="1"/>
  <c r="AK17" i="1"/>
  <c r="AL17" i="1"/>
  <c r="AM17" i="1"/>
  <c r="AN17" i="1"/>
  <c r="AO17" i="1"/>
  <c r="AP17" i="1"/>
  <c r="AQ17" i="1"/>
  <c r="AK54" i="1"/>
  <c r="AL54" i="1"/>
  <c r="AM54" i="1"/>
  <c r="AN54" i="1"/>
  <c r="AO54" i="1"/>
  <c r="AP54" i="1"/>
  <c r="AQ54" i="1"/>
  <c r="AK14" i="1"/>
  <c r="AL14" i="1"/>
  <c r="AM14" i="1"/>
  <c r="AN14" i="1"/>
  <c r="AO14" i="1"/>
  <c r="AP14" i="1"/>
  <c r="AQ14" i="1"/>
  <c r="AK9" i="1"/>
  <c r="AL9" i="1"/>
  <c r="AM9" i="1"/>
  <c r="AN9" i="1"/>
  <c r="AO9" i="1"/>
  <c r="AP9" i="1"/>
  <c r="AQ9" i="1"/>
  <c r="AK62" i="1"/>
  <c r="AL62" i="1"/>
  <c r="AM62" i="1"/>
  <c r="AN62" i="1"/>
  <c r="AO62" i="1"/>
  <c r="AP62" i="1"/>
  <c r="AQ62" i="1"/>
  <c r="AK57" i="1"/>
  <c r="AL57" i="1"/>
  <c r="AM57" i="1"/>
  <c r="AN57" i="1"/>
  <c r="AO57" i="1"/>
  <c r="AP57" i="1"/>
  <c r="AQ57" i="1"/>
  <c r="AK60" i="1"/>
  <c r="AL60" i="1"/>
  <c r="AM60" i="1"/>
  <c r="AN60" i="1"/>
  <c r="AO60" i="1"/>
  <c r="AP60" i="1"/>
  <c r="AQ60" i="1"/>
  <c r="AK16" i="1"/>
  <c r="AL16" i="1"/>
  <c r="AM16" i="1"/>
  <c r="AN16" i="1"/>
  <c r="AO16" i="1"/>
  <c r="AP16" i="1"/>
  <c r="AQ16" i="1"/>
  <c r="AK64" i="1"/>
  <c r="AL64" i="1"/>
  <c r="AM64" i="1"/>
  <c r="AN64" i="1"/>
  <c r="AO64" i="1"/>
  <c r="AP64" i="1"/>
  <c r="AQ64" i="1"/>
  <c r="AK65" i="1"/>
  <c r="AL65" i="1"/>
  <c r="AM65" i="1"/>
  <c r="AN65" i="1"/>
  <c r="AO65" i="1"/>
  <c r="AP65" i="1"/>
  <c r="AQ65" i="1"/>
  <c r="AK66" i="1"/>
  <c r="AL66" i="1"/>
  <c r="AM66" i="1"/>
  <c r="AN66" i="1"/>
  <c r="AO66" i="1"/>
  <c r="AP66" i="1"/>
  <c r="AQ66" i="1"/>
  <c r="AK67" i="1"/>
  <c r="AL67" i="1"/>
  <c r="AM67" i="1"/>
  <c r="AN67" i="1"/>
  <c r="AO67" i="1"/>
  <c r="AP67" i="1"/>
  <c r="AQ67" i="1"/>
  <c r="AK15" i="1"/>
  <c r="AL15" i="1"/>
  <c r="AM15" i="1"/>
  <c r="AN15" i="1"/>
  <c r="AO15" i="1"/>
  <c r="AP15" i="1"/>
  <c r="AQ15" i="1"/>
  <c r="AK63" i="1"/>
  <c r="AL63" i="1"/>
  <c r="AM63" i="1"/>
  <c r="AN63" i="1"/>
  <c r="AO63" i="1"/>
  <c r="AP63" i="1"/>
  <c r="AQ63" i="1"/>
  <c r="AK10" i="1"/>
  <c r="AL10" i="1"/>
  <c r="AM10" i="1"/>
  <c r="AN10" i="1"/>
  <c r="AO10" i="1"/>
  <c r="AP10" i="1"/>
  <c r="AQ10" i="1"/>
  <c r="AK68" i="1"/>
  <c r="AL68" i="1"/>
  <c r="AM68" i="1"/>
  <c r="AN68" i="1"/>
  <c r="AO68" i="1"/>
  <c r="AP68" i="1"/>
  <c r="AQ68" i="1"/>
  <c r="AK69" i="1"/>
  <c r="AL69" i="1"/>
  <c r="AM69" i="1"/>
  <c r="AN69" i="1"/>
  <c r="AO69" i="1"/>
  <c r="AP69" i="1"/>
  <c r="AQ69" i="1"/>
  <c r="AK61" i="1"/>
  <c r="AL61" i="1"/>
  <c r="AM61" i="1"/>
  <c r="AN61" i="1"/>
  <c r="AO61" i="1"/>
  <c r="AP61" i="1"/>
  <c r="AQ61" i="1"/>
  <c r="AK83" i="1"/>
  <c r="AL83" i="1"/>
  <c r="AM83" i="1"/>
  <c r="AN83" i="1"/>
  <c r="AO83" i="1"/>
  <c r="AP83" i="1"/>
  <c r="AQ83" i="1"/>
  <c r="AK84" i="1"/>
  <c r="AL84" i="1"/>
  <c r="AM84" i="1"/>
  <c r="AN84" i="1"/>
  <c r="AO84" i="1"/>
  <c r="AP84" i="1"/>
  <c r="AQ84" i="1"/>
  <c r="AK92" i="1"/>
  <c r="AL92" i="1"/>
  <c r="AM92" i="1"/>
  <c r="AN92" i="1"/>
  <c r="AO92" i="1"/>
  <c r="AP92" i="1"/>
  <c r="AQ92" i="1"/>
  <c r="AK95" i="1"/>
  <c r="AL95" i="1"/>
  <c r="AM95" i="1"/>
  <c r="AN95" i="1"/>
  <c r="AO95" i="1"/>
  <c r="AP95" i="1"/>
  <c r="AQ95" i="1"/>
  <c r="AK96" i="1"/>
  <c r="AL96" i="1"/>
  <c r="AM96" i="1"/>
  <c r="AN96" i="1"/>
  <c r="AO96" i="1"/>
  <c r="AP96" i="1"/>
  <c r="AQ96" i="1"/>
  <c r="AK97" i="1"/>
  <c r="AL97" i="1"/>
  <c r="AM97" i="1"/>
  <c r="AN97" i="1"/>
  <c r="AO97" i="1"/>
  <c r="AP97" i="1"/>
  <c r="AQ97" i="1"/>
  <c r="AK99" i="1"/>
  <c r="AL99" i="1"/>
  <c r="AM99" i="1"/>
  <c r="AN99" i="1"/>
  <c r="AO99" i="1"/>
  <c r="AP99" i="1"/>
  <c r="AQ99" i="1"/>
  <c r="AK85" i="1"/>
  <c r="AL85" i="1"/>
  <c r="AM85" i="1"/>
  <c r="AN85" i="1"/>
  <c r="AO85" i="1"/>
  <c r="AP85" i="1"/>
  <c r="AQ85" i="1"/>
  <c r="AK98" i="1"/>
  <c r="AL98" i="1"/>
  <c r="AM98" i="1"/>
  <c r="AN98" i="1"/>
  <c r="AO98" i="1"/>
  <c r="AP98" i="1"/>
  <c r="AQ98" i="1"/>
  <c r="AK101" i="1"/>
  <c r="AL101" i="1"/>
  <c r="AM101" i="1"/>
  <c r="AN101" i="1"/>
  <c r="AO101" i="1"/>
  <c r="AP101" i="1"/>
  <c r="AQ101" i="1"/>
  <c r="AK100" i="1"/>
  <c r="AL100" i="1"/>
  <c r="AM100" i="1"/>
  <c r="AN100" i="1"/>
  <c r="AO100" i="1"/>
  <c r="AP100" i="1"/>
  <c r="AQ100" i="1"/>
  <c r="AK72" i="1"/>
  <c r="AL72" i="1"/>
  <c r="AM72" i="1"/>
  <c r="AN72" i="1"/>
  <c r="AO72" i="1"/>
  <c r="AP72" i="1"/>
  <c r="AQ72" i="1"/>
  <c r="AK91" i="1"/>
  <c r="AL91" i="1"/>
  <c r="AM91" i="1"/>
  <c r="AN91" i="1"/>
  <c r="AO91" i="1"/>
  <c r="AP91" i="1"/>
  <c r="AQ91" i="1"/>
  <c r="AK103" i="1"/>
  <c r="AL103" i="1"/>
  <c r="AM103" i="1"/>
  <c r="AN103" i="1"/>
  <c r="AO103" i="1"/>
  <c r="AP103" i="1"/>
  <c r="AQ103" i="1"/>
  <c r="AK102" i="1"/>
  <c r="AL102" i="1"/>
  <c r="AM102" i="1"/>
  <c r="AN102" i="1"/>
  <c r="AO102" i="1"/>
  <c r="AP102" i="1"/>
  <c r="AQ102" i="1"/>
  <c r="AK74" i="1"/>
  <c r="AL74" i="1"/>
  <c r="AM74" i="1"/>
  <c r="AN74" i="1"/>
  <c r="AO74" i="1"/>
  <c r="AP74" i="1"/>
  <c r="AQ74" i="1"/>
  <c r="AK104" i="1"/>
  <c r="AL104" i="1"/>
  <c r="AM104" i="1"/>
  <c r="AN104" i="1"/>
  <c r="AO104" i="1"/>
  <c r="AP104" i="1"/>
  <c r="AQ104" i="1"/>
  <c r="AK105" i="1"/>
  <c r="AL105" i="1"/>
  <c r="AM105" i="1"/>
  <c r="AN105" i="1"/>
  <c r="AO105" i="1"/>
  <c r="AP105" i="1"/>
  <c r="AQ105" i="1"/>
  <c r="AK73" i="1"/>
  <c r="AL73" i="1"/>
  <c r="AM73" i="1"/>
  <c r="AN73" i="1"/>
  <c r="AO73" i="1"/>
  <c r="AP73" i="1"/>
  <c r="AQ73" i="1"/>
  <c r="AK107" i="1"/>
  <c r="AL107" i="1"/>
  <c r="AM107" i="1"/>
  <c r="AN107" i="1"/>
  <c r="AO107" i="1"/>
  <c r="AP107" i="1"/>
  <c r="AQ107" i="1"/>
  <c r="AK114" i="1"/>
  <c r="AL114" i="1"/>
  <c r="AM114" i="1"/>
  <c r="AN114" i="1"/>
  <c r="AO114" i="1"/>
  <c r="AP114" i="1"/>
  <c r="AQ114" i="1"/>
  <c r="AK117" i="1"/>
  <c r="AL117" i="1"/>
  <c r="AM117" i="1"/>
  <c r="AN117" i="1"/>
  <c r="AO117" i="1"/>
  <c r="AP117" i="1"/>
  <c r="AQ117" i="1"/>
  <c r="AK109" i="1"/>
  <c r="AL109" i="1"/>
  <c r="AM109" i="1"/>
  <c r="AN109" i="1"/>
  <c r="AO109" i="1"/>
  <c r="AP109" i="1"/>
  <c r="AQ109" i="1"/>
  <c r="AK110" i="1"/>
  <c r="AL110" i="1"/>
  <c r="AM110" i="1"/>
  <c r="AN110" i="1"/>
  <c r="AO110" i="1"/>
  <c r="AP110" i="1"/>
  <c r="AQ110" i="1"/>
  <c r="AK111" i="1"/>
  <c r="AL111" i="1"/>
  <c r="AM111" i="1"/>
  <c r="AN111" i="1"/>
  <c r="AO111" i="1"/>
  <c r="AP111" i="1"/>
  <c r="AQ111" i="1"/>
  <c r="AK119" i="1"/>
  <c r="AL119" i="1"/>
  <c r="AM119" i="1"/>
  <c r="AN119" i="1"/>
  <c r="AO119" i="1"/>
  <c r="AP119" i="1"/>
  <c r="AQ119" i="1"/>
  <c r="AK116" i="1"/>
  <c r="AL116" i="1"/>
  <c r="AM116" i="1"/>
  <c r="AN116" i="1"/>
  <c r="AO116" i="1"/>
  <c r="AP116" i="1"/>
  <c r="AQ116" i="1"/>
  <c r="AK108" i="1"/>
  <c r="AL108" i="1"/>
  <c r="AM108" i="1"/>
  <c r="AN108" i="1"/>
  <c r="AO108" i="1"/>
  <c r="AP108" i="1"/>
  <c r="AQ108" i="1"/>
  <c r="AK112" i="1"/>
  <c r="AL112" i="1"/>
  <c r="AM112" i="1"/>
  <c r="AN112" i="1"/>
  <c r="AO112" i="1"/>
  <c r="AP112" i="1"/>
  <c r="AQ112" i="1"/>
  <c r="AK113" i="1"/>
  <c r="AL113" i="1"/>
  <c r="AM113" i="1"/>
  <c r="AN113" i="1"/>
  <c r="AO113" i="1"/>
  <c r="AP113" i="1"/>
  <c r="AQ113" i="1"/>
  <c r="AK115" i="1"/>
  <c r="AL115" i="1"/>
  <c r="AM115" i="1"/>
  <c r="AN115" i="1"/>
  <c r="AO115" i="1"/>
  <c r="AP115" i="1"/>
  <c r="AQ115" i="1"/>
  <c r="AK118" i="1"/>
  <c r="AL118" i="1"/>
  <c r="AM118" i="1"/>
  <c r="AN118" i="1"/>
  <c r="AO118" i="1"/>
  <c r="AP118" i="1"/>
  <c r="AQ118" i="1"/>
  <c r="AK122" i="1"/>
  <c r="AL122" i="1"/>
  <c r="AM122" i="1"/>
  <c r="AN122" i="1"/>
  <c r="AO122" i="1"/>
  <c r="AP122" i="1"/>
  <c r="AQ122" i="1"/>
  <c r="AK120" i="1"/>
  <c r="AL120" i="1"/>
  <c r="AM120" i="1"/>
  <c r="AN120" i="1"/>
  <c r="AO120" i="1"/>
  <c r="AP120" i="1"/>
  <c r="AQ120" i="1"/>
  <c r="AK126" i="1"/>
  <c r="AL126" i="1"/>
  <c r="AM126" i="1"/>
  <c r="AN126" i="1"/>
  <c r="AO126" i="1"/>
  <c r="AP126" i="1"/>
  <c r="AQ126" i="1"/>
  <c r="AK123" i="1"/>
  <c r="AL123" i="1"/>
  <c r="AM123" i="1"/>
  <c r="AN123" i="1"/>
  <c r="AO123" i="1"/>
  <c r="AP123" i="1"/>
  <c r="AQ123" i="1"/>
  <c r="AK131" i="1"/>
  <c r="AL131" i="1"/>
  <c r="AM131" i="1"/>
  <c r="AN131" i="1"/>
  <c r="AO131" i="1"/>
  <c r="AP131" i="1"/>
  <c r="AQ131" i="1"/>
  <c r="AK132" i="1"/>
  <c r="AL132" i="1"/>
  <c r="AM132" i="1"/>
  <c r="AN132" i="1"/>
  <c r="AO132" i="1"/>
  <c r="AP132" i="1"/>
  <c r="AQ132" i="1"/>
  <c r="AK106" i="1"/>
  <c r="AL106" i="1"/>
  <c r="AM106" i="1"/>
  <c r="AN106" i="1"/>
  <c r="AO106" i="1"/>
  <c r="AP106" i="1"/>
  <c r="AQ106" i="1"/>
  <c r="AK86" i="1"/>
  <c r="AL86" i="1"/>
  <c r="AM86" i="1"/>
  <c r="AN86" i="1"/>
  <c r="AO86" i="1"/>
  <c r="AP86" i="1"/>
  <c r="AQ86" i="1"/>
  <c r="AK93" i="1"/>
  <c r="AL93" i="1"/>
  <c r="AM93" i="1"/>
  <c r="AN93" i="1"/>
  <c r="AO93" i="1"/>
  <c r="AP93" i="1"/>
  <c r="AQ93" i="1"/>
  <c r="AK77" i="1"/>
  <c r="AL77" i="1"/>
  <c r="AM77" i="1"/>
  <c r="AN77" i="1"/>
  <c r="AO77" i="1"/>
  <c r="AP77" i="1"/>
  <c r="AQ77" i="1"/>
  <c r="AK128" i="1"/>
  <c r="AL128" i="1"/>
  <c r="AM128" i="1"/>
  <c r="AN128" i="1"/>
  <c r="AO128" i="1"/>
  <c r="AP128" i="1"/>
  <c r="AQ128" i="1"/>
  <c r="AK127" i="1"/>
  <c r="AL127" i="1"/>
  <c r="AM127" i="1"/>
  <c r="AN127" i="1"/>
  <c r="AO127" i="1"/>
  <c r="AP127" i="1"/>
  <c r="AQ127" i="1"/>
  <c r="AK221" i="1"/>
  <c r="AL221" i="1"/>
  <c r="AM221" i="1"/>
  <c r="AN221" i="1"/>
  <c r="AO221" i="1"/>
  <c r="AP221" i="1"/>
  <c r="AQ221" i="1"/>
  <c r="AK121" i="1"/>
  <c r="AL121" i="1"/>
  <c r="AM121" i="1"/>
  <c r="AN121" i="1"/>
  <c r="AO121" i="1"/>
  <c r="AP121" i="1"/>
  <c r="AQ121" i="1"/>
  <c r="AK94" i="1"/>
  <c r="AL94" i="1"/>
  <c r="AM94" i="1"/>
  <c r="AN94" i="1"/>
  <c r="AO94" i="1"/>
  <c r="AP94" i="1"/>
  <c r="AQ94" i="1"/>
  <c r="AK89" i="1"/>
  <c r="AL89" i="1"/>
  <c r="AM89" i="1"/>
  <c r="AN89" i="1"/>
  <c r="AO89" i="1"/>
  <c r="AP89" i="1"/>
  <c r="AQ89" i="1"/>
  <c r="AK137" i="1"/>
  <c r="AL137" i="1"/>
  <c r="AM137" i="1"/>
  <c r="AN137" i="1"/>
  <c r="AO137" i="1"/>
  <c r="AP137" i="1"/>
  <c r="AQ137" i="1"/>
  <c r="AK124" i="1"/>
  <c r="AL124" i="1"/>
  <c r="AM124" i="1"/>
  <c r="AN124" i="1"/>
  <c r="AO124" i="1"/>
  <c r="AP124" i="1"/>
  <c r="AQ124" i="1"/>
  <c r="AK125" i="1"/>
  <c r="AL125" i="1"/>
  <c r="AM125" i="1"/>
  <c r="AN125" i="1"/>
  <c r="AO125" i="1"/>
  <c r="AP125" i="1"/>
  <c r="AQ125" i="1"/>
  <c r="AK135" i="1"/>
  <c r="AL135" i="1"/>
  <c r="AM135" i="1"/>
  <c r="AN135" i="1"/>
  <c r="AO135" i="1"/>
  <c r="AP135" i="1"/>
  <c r="AQ135" i="1"/>
  <c r="AK71" i="1"/>
  <c r="AL71" i="1"/>
  <c r="AM71" i="1"/>
  <c r="AN71" i="1"/>
  <c r="AO71" i="1"/>
  <c r="AP71" i="1"/>
  <c r="AQ71" i="1"/>
  <c r="AK136" i="1"/>
  <c r="AL136" i="1"/>
  <c r="AM136" i="1"/>
  <c r="AN136" i="1"/>
  <c r="AO136" i="1"/>
  <c r="AP136" i="1"/>
  <c r="AQ136" i="1"/>
  <c r="AK138" i="1"/>
  <c r="AL138" i="1"/>
  <c r="AM138" i="1"/>
  <c r="AN138" i="1"/>
  <c r="AO138" i="1"/>
  <c r="AP138" i="1"/>
  <c r="AQ138" i="1"/>
  <c r="AK78" i="1"/>
  <c r="AL78" i="1"/>
  <c r="AM78" i="1"/>
  <c r="AN78" i="1"/>
  <c r="AO78" i="1"/>
  <c r="AP78" i="1"/>
  <c r="AQ78" i="1"/>
  <c r="AK75" i="1"/>
  <c r="AL75" i="1"/>
  <c r="AM75" i="1"/>
  <c r="AN75" i="1"/>
  <c r="AO75" i="1"/>
  <c r="AP75" i="1"/>
  <c r="AQ75" i="1"/>
  <c r="AK76" i="1"/>
  <c r="AL76" i="1"/>
  <c r="AM76" i="1"/>
  <c r="AN76" i="1"/>
  <c r="AO76" i="1"/>
  <c r="AP76" i="1"/>
  <c r="AQ76" i="1"/>
  <c r="AK133" i="1"/>
  <c r="AL133" i="1"/>
  <c r="AM133" i="1"/>
  <c r="AN133" i="1"/>
  <c r="AO133" i="1"/>
  <c r="AP133" i="1"/>
  <c r="AQ133" i="1"/>
  <c r="AK70" i="1"/>
  <c r="AL70" i="1"/>
  <c r="AM70" i="1"/>
  <c r="AN70" i="1"/>
  <c r="AO70" i="1"/>
  <c r="AP70" i="1"/>
  <c r="AQ70" i="1"/>
  <c r="AK134" i="1"/>
  <c r="AL134" i="1"/>
  <c r="AM134" i="1"/>
  <c r="AN134" i="1"/>
  <c r="AO134" i="1"/>
  <c r="AP134" i="1"/>
  <c r="AQ134" i="1"/>
  <c r="AK151" i="1"/>
  <c r="AL151" i="1"/>
  <c r="AM151" i="1"/>
  <c r="AN151" i="1"/>
  <c r="AO151" i="1"/>
  <c r="AP151" i="1"/>
  <c r="AQ151" i="1"/>
  <c r="AK80" i="1"/>
  <c r="AL80" i="1"/>
  <c r="AM80" i="1"/>
  <c r="AN80" i="1"/>
  <c r="AO80" i="1"/>
  <c r="AP80" i="1"/>
  <c r="AQ80" i="1"/>
  <c r="AK152" i="1"/>
  <c r="AL152" i="1"/>
  <c r="AM152" i="1"/>
  <c r="AN152" i="1"/>
  <c r="AO152" i="1"/>
  <c r="AP152" i="1"/>
  <c r="AQ152" i="1"/>
  <c r="AK129" i="1"/>
  <c r="AL129" i="1"/>
  <c r="AM129" i="1"/>
  <c r="AN129" i="1"/>
  <c r="AO129" i="1"/>
  <c r="AP129" i="1"/>
  <c r="AQ129" i="1"/>
  <c r="AK130" i="1"/>
  <c r="AL130" i="1"/>
  <c r="AM130" i="1"/>
  <c r="AN130" i="1"/>
  <c r="AO130" i="1"/>
  <c r="AP130" i="1"/>
  <c r="AQ130" i="1"/>
  <c r="AK144" i="1"/>
  <c r="AL144" i="1"/>
  <c r="AM144" i="1"/>
  <c r="AN144" i="1"/>
  <c r="AO144" i="1"/>
  <c r="AP144" i="1"/>
  <c r="AQ144" i="1"/>
  <c r="AK87" i="1"/>
  <c r="AL87" i="1"/>
  <c r="AM87" i="1"/>
  <c r="AN87" i="1"/>
  <c r="AO87" i="1"/>
  <c r="AP87" i="1"/>
  <c r="AQ87" i="1"/>
  <c r="AK150" i="1"/>
  <c r="AL150" i="1"/>
  <c r="AM150" i="1"/>
  <c r="AN150" i="1"/>
  <c r="AO150" i="1"/>
  <c r="AP150" i="1"/>
  <c r="AQ150" i="1"/>
  <c r="AK82" i="1"/>
  <c r="AL82" i="1"/>
  <c r="AM82" i="1"/>
  <c r="AN82" i="1"/>
  <c r="AO82" i="1"/>
  <c r="AP82" i="1"/>
  <c r="AQ82" i="1"/>
  <c r="AK141" i="1"/>
  <c r="AL141" i="1"/>
  <c r="AM141" i="1"/>
  <c r="AN141" i="1"/>
  <c r="AO141" i="1"/>
  <c r="AP141" i="1"/>
  <c r="AQ141" i="1"/>
  <c r="AK148" i="1"/>
  <c r="AL148" i="1"/>
  <c r="AM148" i="1"/>
  <c r="AN148" i="1"/>
  <c r="AO148" i="1"/>
  <c r="AP148" i="1"/>
  <c r="AQ148" i="1"/>
  <c r="AK149" i="1"/>
  <c r="AL149" i="1"/>
  <c r="AM149" i="1"/>
  <c r="AN149" i="1"/>
  <c r="AO149" i="1"/>
  <c r="AP149" i="1"/>
  <c r="AQ149" i="1"/>
  <c r="AK79" i="1"/>
  <c r="AL79" i="1"/>
  <c r="AM79" i="1"/>
  <c r="AN79" i="1"/>
  <c r="AO79" i="1"/>
  <c r="AP79" i="1"/>
  <c r="AQ79" i="1"/>
  <c r="AK154" i="1"/>
  <c r="AL154" i="1"/>
  <c r="AM154" i="1"/>
  <c r="AN154" i="1"/>
  <c r="AO154" i="1"/>
  <c r="AP154" i="1"/>
  <c r="AQ154" i="1"/>
  <c r="AK159" i="1"/>
  <c r="AL159" i="1"/>
  <c r="AM159" i="1"/>
  <c r="AN159" i="1"/>
  <c r="AO159" i="1"/>
  <c r="AP159" i="1"/>
  <c r="AQ159" i="1"/>
  <c r="AK160" i="1"/>
  <c r="AL160" i="1"/>
  <c r="AM160" i="1"/>
  <c r="AN160" i="1"/>
  <c r="AO160" i="1"/>
  <c r="AP160" i="1"/>
  <c r="AQ160" i="1"/>
  <c r="AK153" i="1"/>
  <c r="AL153" i="1"/>
  <c r="AM153" i="1"/>
  <c r="AN153" i="1"/>
  <c r="AO153" i="1"/>
  <c r="AP153" i="1"/>
  <c r="AQ153" i="1"/>
  <c r="AK161" i="1"/>
  <c r="AL161" i="1"/>
  <c r="AM161" i="1"/>
  <c r="AN161" i="1"/>
  <c r="AO161" i="1"/>
  <c r="AP161" i="1"/>
  <c r="AQ161" i="1"/>
  <c r="AK162" i="1"/>
  <c r="AL162" i="1"/>
  <c r="AM162" i="1"/>
  <c r="AN162" i="1"/>
  <c r="AO162" i="1"/>
  <c r="AP162" i="1"/>
  <c r="AQ162" i="1"/>
  <c r="AK157" i="1"/>
  <c r="AL157" i="1"/>
  <c r="AM157" i="1"/>
  <c r="AN157" i="1"/>
  <c r="AO157" i="1"/>
  <c r="AP157" i="1"/>
  <c r="AQ157" i="1"/>
  <c r="AK158" i="1"/>
  <c r="AL158" i="1"/>
  <c r="AM158" i="1"/>
  <c r="AN158" i="1"/>
  <c r="AO158" i="1"/>
  <c r="AP158" i="1"/>
  <c r="AQ158" i="1"/>
  <c r="AK163" i="1"/>
  <c r="AL163" i="1"/>
  <c r="AM163" i="1"/>
  <c r="AN163" i="1"/>
  <c r="AO163" i="1"/>
  <c r="AP163" i="1"/>
  <c r="AQ163" i="1"/>
  <c r="AK143" i="1"/>
  <c r="AL143" i="1"/>
  <c r="AM143" i="1"/>
  <c r="AN143" i="1"/>
  <c r="AO143" i="1"/>
  <c r="AP143" i="1"/>
  <c r="AQ143" i="1"/>
  <c r="AK81" i="1"/>
  <c r="AL81" i="1"/>
  <c r="AM81" i="1"/>
  <c r="AN81" i="1"/>
  <c r="AO81" i="1"/>
  <c r="AP81" i="1"/>
  <c r="AQ81" i="1"/>
  <c r="AK139" i="1"/>
  <c r="AL139" i="1"/>
  <c r="AM139" i="1"/>
  <c r="AN139" i="1"/>
  <c r="AO139" i="1"/>
  <c r="AP139" i="1"/>
  <c r="AQ139" i="1"/>
  <c r="AK145" i="1"/>
  <c r="AL145" i="1"/>
  <c r="AM145" i="1"/>
  <c r="AN145" i="1"/>
  <c r="AO145" i="1"/>
  <c r="AP145" i="1"/>
  <c r="AQ145" i="1"/>
  <c r="AK146" i="1"/>
  <c r="AL146" i="1"/>
  <c r="AM146" i="1"/>
  <c r="AN146" i="1"/>
  <c r="AO146" i="1"/>
  <c r="AP146" i="1"/>
  <c r="AQ146" i="1"/>
  <c r="AK147" i="1"/>
  <c r="AL147" i="1"/>
  <c r="AM147" i="1"/>
  <c r="AN147" i="1"/>
  <c r="AO147" i="1"/>
  <c r="AP147" i="1"/>
  <c r="AQ147" i="1"/>
  <c r="AK165" i="1"/>
  <c r="AL165" i="1"/>
  <c r="AM165" i="1"/>
  <c r="AN165" i="1"/>
  <c r="AO165" i="1"/>
  <c r="AP165" i="1"/>
  <c r="AQ165" i="1"/>
  <c r="AK166" i="1"/>
  <c r="AL166" i="1"/>
  <c r="AM166" i="1"/>
  <c r="AN166" i="1"/>
  <c r="AO166" i="1"/>
  <c r="AP166" i="1"/>
  <c r="AQ166" i="1"/>
  <c r="AK142" i="1"/>
  <c r="AL142" i="1"/>
  <c r="AM142" i="1"/>
  <c r="AN142" i="1"/>
  <c r="AO142" i="1"/>
  <c r="AP142" i="1"/>
  <c r="AQ142" i="1"/>
  <c r="AK156" i="1"/>
  <c r="AL156" i="1"/>
  <c r="AM156" i="1"/>
  <c r="AN156" i="1"/>
  <c r="AO156" i="1"/>
  <c r="AP156" i="1"/>
  <c r="AQ156" i="1"/>
  <c r="AK140" i="1"/>
  <c r="AL140" i="1"/>
  <c r="AM140" i="1"/>
  <c r="AN140" i="1"/>
  <c r="AO140" i="1"/>
  <c r="AP140" i="1"/>
  <c r="AQ140" i="1"/>
  <c r="AK167" i="1"/>
  <c r="AL167" i="1"/>
  <c r="AM167" i="1"/>
  <c r="AN167" i="1"/>
  <c r="AO167" i="1"/>
  <c r="AP167" i="1"/>
  <c r="AQ167" i="1"/>
  <c r="AK88" i="1"/>
  <c r="AL88" i="1"/>
  <c r="AM88" i="1"/>
  <c r="AN88" i="1"/>
  <c r="AO88" i="1"/>
  <c r="AP88" i="1"/>
  <c r="AQ88" i="1"/>
  <c r="AK170" i="1"/>
  <c r="AL170" i="1"/>
  <c r="AM170" i="1"/>
  <c r="AN170" i="1"/>
  <c r="AO170" i="1"/>
  <c r="AP170" i="1"/>
  <c r="AQ170" i="1"/>
  <c r="AK90" i="1"/>
  <c r="AL90" i="1"/>
  <c r="AM90" i="1"/>
  <c r="AN90" i="1"/>
  <c r="AO90" i="1"/>
  <c r="AP90" i="1"/>
  <c r="AQ90" i="1"/>
  <c r="AK168" i="1"/>
  <c r="AL168" i="1"/>
  <c r="AM168" i="1"/>
  <c r="AN168" i="1"/>
  <c r="AO168" i="1"/>
  <c r="AP168" i="1"/>
  <c r="AQ168" i="1"/>
  <c r="AK171" i="1"/>
  <c r="AL171" i="1"/>
  <c r="AM171" i="1"/>
  <c r="AN171" i="1"/>
  <c r="AO171" i="1"/>
  <c r="AP171" i="1"/>
  <c r="AQ171" i="1"/>
  <c r="AK172" i="1"/>
  <c r="AL172" i="1"/>
  <c r="AM172" i="1"/>
  <c r="AN172" i="1"/>
  <c r="AO172" i="1"/>
  <c r="AP172" i="1"/>
  <c r="AQ172" i="1"/>
  <c r="AK155" i="1"/>
  <c r="AL155" i="1"/>
  <c r="AM155" i="1"/>
  <c r="AN155" i="1"/>
  <c r="AO155" i="1"/>
  <c r="AP155" i="1"/>
  <c r="AQ155" i="1"/>
  <c r="AK164" i="1"/>
  <c r="AL164" i="1"/>
  <c r="AM164" i="1"/>
  <c r="AN164" i="1"/>
  <c r="AO164" i="1"/>
  <c r="AP164" i="1"/>
  <c r="AQ164" i="1"/>
  <c r="AK173" i="1"/>
  <c r="AL173" i="1"/>
  <c r="AM173" i="1"/>
  <c r="AN173" i="1"/>
  <c r="AO173" i="1"/>
  <c r="AP173" i="1"/>
  <c r="AQ173" i="1"/>
  <c r="AK169" i="1"/>
  <c r="AL169" i="1"/>
  <c r="AM169" i="1"/>
  <c r="AN169" i="1"/>
  <c r="AO169" i="1"/>
  <c r="AP169" i="1"/>
  <c r="AQ169" i="1"/>
  <c r="AK237" i="1"/>
  <c r="AL237" i="1"/>
  <c r="AM237" i="1"/>
  <c r="AN237" i="1"/>
  <c r="AO237" i="1"/>
  <c r="AP237" i="1"/>
  <c r="AQ237" i="1"/>
  <c r="AK233" i="1"/>
  <c r="AL233" i="1"/>
  <c r="AM233" i="1"/>
  <c r="AN233" i="1"/>
  <c r="AO233" i="1"/>
  <c r="AP233" i="1"/>
  <c r="AQ233" i="1"/>
  <c r="AK231" i="1"/>
  <c r="AL231" i="1"/>
  <c r="AM231" i="1"/>
  <c r="AN231" i="1"/>
  <c r="AO231" i="1"/>
  <c r="AP231" i="1"/>
  <c r="AQ231" i="1"/>
  <c r="AK241" i="1"/>
  <c r="AL241" i="1"/>
  <c r="AM241" i="1"/>
  <c r="AN241" i="1"/>
  <c r="AO241" i="1"/>
  <c r="AP241" i="1"/>
  <c r="AQ241" i="1"/>
  <c r="AK238" i="1"/>
  <c r="AL238" i="1"/>
  <c r="AM238" i="1"/>
  <c r="AN238" i="1"/>
  <c r="AO238" i="1"/>
  <c r="AP238" i="1"/>
  <c r="AQ238" i="1"/>
  <c r="AK227" i="1"/>
  <c r="AL227" i="1"/>
  <c r="AM227" i="1"/>
  <c r="AN227" i="1"/>
  <c r="AO227" i="1"/>
  <c r="AP227" i="1"/>
  <c r="AQ227" i="1"/>
  <c r="AK218" i="1"/>
  <c r="AL218" i="1"/>
  <c r="AM218" i="1"/>
  <c r="AN218" i="1"/>
  <c r="AO218" i="1"/>
  <c r="AP218" i="1"/>
  <c r="AQ218" i="1"/>
  <c r="AK226" i="1"/>
  <c r="AL226" i="1"/>
  <c r="AM226" i="1"/>
  <c r="AN226" i="1"/>
  <c r="AO226" i="1"/>
  <c r="AP226" i="1"/>
  <c r="AQ226" i="1"/>
  <c r="AK245" i="1"/>
  <c r="AL245" i="1"/>
  <c r="AM245" i="1"/>
  <c r="AN245" i="1"/>
  <c r="AO245" i="1"/>
  <c r="AP245" i="1"/>
  <c r="AQ245" i="1"/>
  <c r="AK180" i="1"/>
  <c r="AL180" i="1"/>
  <c r="AM180" i="1"/>
  <c r="AN180" i="1"/>
  <c r="AO180" i="1"/>
  <c r="AP180" i="1"/>
  <c r="AQ180" i="1"/>
  <c r="AK247" i="1"/>
  <c r="AL247" i="1"/>
  <c r="AM247" i="1"/>
  <c r="AN247" i="1"/>
  <c r="AO247" i="1"/>
  <c r="AP247" i="1"/>
  <c r="AQ247" i="1"/>
  <c r="AK211" i="1"/>
  <c r="AL211" i="1"/>
  <c r="AM211" i="1"/>
  <c r="AN211" i="1"/>
  <c r="AO211" i="1"/>
  <c r="AP211" i="1"/>
  <c r="AQ211" i="1"/>
  <c r="AK235" i="1"/>
  <c r="AL235" i="1"/>
  <c r="AM235" i="1"/>
  <c r="AN235" i="1"/>
  <c r="AO235" i="1"/>
  <c r="AP235" i="1"/>
  <c r="AQ235" i="1"/>
  <c r="AK232" i="1"/>
  <c r="AL232" i="1"/>
  <c r="AM232" i="1"/>
  <c r="AN232" i="1"/>
  <c r="AO232" i="1"/>
  <c r="AP232" i="1"/>
  <c r="AQ232" i="1"/>
  <c r="AK244" i="1"/>
  <c r="AL244" i="1"/>
  <c r="AM244" i="1"/>
  <c r="AN244" i="1"/>
  <c r="AO244" i="1"/>
  <c r="AP244" i="1"/>
  <c r="AQ244" i="1"/>
  <c r="AK228" i="1"/>
  <c r="AL228" i="1"/>
  <c r="AM228" i="1"/>
  <c r="AN228" i="1"/>
  <c r="AO228" i="1"/>
  <c r="AP228" i="1"/>
  <c r="AQ228" i="1"/>
  <c r="AK253" i="1"/>
  <c r="AL253" i="1"/>
  <c r="AM253" i="1"/>
  <c r="AN253" i="1"/>
  <c r="AO253" i="1"/>
  <c r="AP253" i="1"/>
  <c r="AQ253" i="1"/>
  <c r="AK236" i="1"/>
  <c r="AL236" i="1"/>
  <c r="AM236" i="1"/>
  <c r="AN236" i="1"/>
  <c r="AO236" i="1"/>
  <c r="AP236" i="1"/>
  <c r="AQ236" i="1"/>
  <c r="AK257" i="1"/>
  <c r="AL257" i="1"/>
  <c r="AM257" i="1"/>
  <c r="AN257" i="1"/>
  <c r="AO257" i="1"/>
  <c r="AP257" i="1"/>
  <c r="AQ257" i="1"/>
  <c r="AK260" i="1"/>
  <c r="AL260" i="1"/>
  <c r="AM260" i="1"/>
  <c r="AN260" i="1"/>
  <c r="AO260" i="1"/>
  <c r="AP260" i="1"/>
  <c r="AQ260" i="1"/>
  <c r="AK254" i="1"/>
  <c r="AL254" i="1"/>
  <c r="AM254" i="1"/>
  <c r="AN254" i="1"/>
  <c r="AO254" i="1"/>
  <c r="AP254" i="1"/>
  <c r="AQ254" i="1"/>
  <c r="AK182" i="1"/>
  <c r="AL182" i="1"/>
  <c r="AM182" i="1"/>
  <c r="AN182" i="1"/>
  <c r="AO182" i="1"/>
  <c r="AP182" i="1"/>
  <c r="AQ182" i="1"/>
  <c r="AK181" i="1"/>
  <c r="AL181" i="1"/>
  <c r="AM181" i="1"/>
  <c r="AN181" i="1"/>
  <c r="AO181" i="1"/>
  <c r="AP181" i="1"/>
  <c r="AQ181" i="1"/>
  <c r="AK220" i="1"/>
  <c r="AL220" i="1"/>
  <c r="AM220" i="1"/>
  <c r="AN220" i="1"/>
  <c r="AO220" i="1"/>
  <c r="AP220" i="1"/>
  <c r="AQ220" i="1"/>
  <c r="AK266" i="1"/>
  <c r="AL266" i="1"/>
  <c r="AM266" i="1"/>
  <c r="AN266" i="1"/>
  <c r="AO266" i="1"/>
  <c r="AP266" i="1"/>
  <c r="AQ266" i="1"/>
  <c r="AK219" i="1"/>
  <c r="AL219" i="1"/>
  <c r="AM219" i="1"/>
  <c r="AN219" i="1"/>
  <c r="AO219" i="1"/>
  <c r="AP219" i="1"/>
  <c r="AQ219" i="1"/>
  <c r="AK176" i="1"/>
  <c r="AL176" i="1"/>
  <c r="AM176" i="1"/>
  <c r="AN176" i="1"/>
  <c r="AO176" i="1"/>
  <c r="AP176" i="1"/>
  <c r="AQ176" i="1"/>
  <c r="AK267" i="1"/>
  <c r="AL267" i="1"/>
  <c r="AM267" i="1"/>
  <c r="AN267" i="1"/>
  <c r="AO267" i="1"/>
  <c r="AP267" i="1"/>
  <c r="AQ267" i="1"/>
  <c r="AK262" i="1"/>
  <c r="AL262" i="1"/>
  <c r="AM262" i="1"/>
  <c r="AN262" i="1"/>
  <c r="AO262" i="1"/>
  <c r="AP262" i="1"/>
  <c r="AQ262" i="1"/>
  <c r="AK177" i="1"/>
  <c r="AL177" i="1"/>
  <c r="AM177" i="1"/>
  <c r="AN177" i="1"/>
  <c r="AO177" i="1"/>
  <c r="AP177" i="1"/>
  <c r="AQ177" i="1"/>
  <c r="AK246" i="1"/>
  <c r="AL246" i="1"/>
  <c r="AM246" i="1"/>
  <c r="AN246" i="1"/>
  <c r="AO246" i="1"/>
  <c r="AP246" i="1"/>
  <c r="AQ246" i="1"/>
  <c r="AK251" i="1"/>
  <c r="AL251" i="1"/>
  <c r="AM251" i="1"/>
  <c r="AN251" i="1"/>
  <c r="AO251" i="1"/>
  <c r="AP251" i="1"/>
  <c r="AQ251" i="1"/>
  <c r="AK225" i="1"/>
  <c r="AL225" i="1"/>
  <c r="AM225" i="1"/>
  <c r="AN225" i="1"/>
  <c r="AO225" i="1"/>
  <c r="AP225" i="1"/>
  <c r="AQ225" i="1"/>
  <c r="AK261" i="1"/>
  <c r="AL261" i="1"/>
  <c r="AM261" i="1"/>
  <c r="AN261" i="1"/>
  <c r="AO261" i="1"/>
  <c r="AP261" i="1"/>
  <c r="AQ261" i="1"/>
  <c r="AK258" i="1"/>
  <c r="AL258" i="1"/>
  <c r="AM258" i="1"/>
  <c r="AN258" i="1"/>
  <c r="AO258" i="1"/>
  <c r="AP258" i="1"/>
  <c r="AQ258" i="1"/>
  <c r="AK256" i="1"/>
  <c r="AL256" i="1"/>
  <c r="AM256" i="1"/>
  <c r="AN256" i="1"/>
  <c r="AO256" i="1"/>
  <c r="AP256" i="1"/>
  <c r="AQ256" i="1"/>
  <c r="AK243" i="1"/>
  <c r="AL243" i="1"/>
  <c r="AM243" i="1"/>
  <c r="AN243" i="1"/>
  <c r="AO243" i="1"/>
  <c r="AP243" i="1"/>
  <c r="AQ243" i="1"/>
  <c r="AK242" i="1"/>
  <c r="AL242" i="1"/>
  <c r="AM242" i="1"/>
  <c r="AN242" i="1"/>
  <c r="AO242" i="1"/>
  <c r="AP242" i="1"/>
  <c r="AQ242" i="1"/>
  <c r="AK259" i="1"/>
  <c r="AL259" i="1"/>
  <c r="AM259" i="1"/>
  <c r="AN259" i="1"/>
  <c r="AO259" i="1"/>
  <c r="AP259" i="1"/>
  <c r="AQ259" i="1"/>
  <c r="AK200" i="1"/>
  <c r="AL200" i="1"/>
  <c r="AM200" i="1"/>
  <c r="AN200" i="1"/>
  <c r="AO200" i="1"/>
  <c r="AP200" i="1"/>
  <c r="AQ200" i="1"/>
  <c r="AK202" i="1"/>
  <c r="AL202" i="1"/>
  <c r="AM202" i="1"/>
  <c r="AN202" i="1"/>
  <c r="AO202" i="1"/>
  <c r="AP202" i="1"/>
  <c r="AQ202" i="1"/>
  <c r="AK234" i="1"/>
  <c r="AL234" i="1"/>
  <c r="AM234" i="1"/>
  <c r="AN234" i="1"/>
  <c r="AO234" i="1"/>
  <c r="AP234" i="1"/>
  <c r="AQ234" i="1"/>
  <c r="AK255" i="1"/>
  <c r="AL255" i="1"/>
  <c r="AM255" i="1"/>
  <c r="AN255" i="1"/>
  <c r="AO255" i="1"/>
  <c r="AP255" i="1"/>
  <c r="AQ255" i="1"/>
  <c r="AK271" i="1"/>
  <c r="AL271" i="1"/>
  <c r="AM271" i="1"/>
  <c r="AN271" i="1"/>
  <c r="AO271" i="1"/>
  <c r="AP271" i="1"/>
  <c r="AQ271" i="1"/>
  <c r="AK230" i="1"/>
  <c r="AL230" i="1"/>
  <c r="AM230" i="1"/>
  <c r="AN230" i="1"/>
  <c r="AO230" i="1"/>
  <c r="AP230" i="1"/>
  <c r="AQ230" i="1"/>
  <c r="AK276" i="1"/>
  <c r="AL276" i="1"/>
  <c r="AM276" i="1"/>
  <c r="AN276" i="1"/>
  <c r="AO276" i="1"/>
  <c r="AP276" i="1"/>
  <c r="AQ276" i="1"/>
  <c r="AK277" i="1"/>
  <c r="AL277" i="1"/>
  <c r="AM277" i="1"/>
  <c r="AN277" i="1"/>
  <c r="AO277" i="1"/>
  <c r="AP277" i="1"/>
  <c r="AQ277" i="1"/>
  <c r="AK178" i="1"/>
  <c r="AL178" i="1"/>
  <c r="AM178" i="1"/>
  <c r="AN178" i="1"/>
  <c r="AO178" i="1"/>
  <c r="AP178" i="1"/>
  <c r="AQ178" i="1"/>
  <c r="AK273" i="1"/>
  <c r="AL273" i="1"/>
  <c r="AM273" i="1"/>
  <c r="AN273" i="1"/>
  <c r="AO273" i="1"/>
  <c r="AP273" i="1"/>
  <c r="AQ273" i="1"/>
  <c r="AK284" i="1"/>
  <c r="AL284" i="1"/>
  <c r="AM284" i="1"/>
  <c r="AN284" i="1"/>
  <c r="AO284" i="1"/>
  <c r="AP284" i="1"/>
  <c r="AQ284" i="1"/>
  <c r="AK252" i="1"/>
  <c r="AL252" i="1"/>
  <c r="AM252" i="1"/>
  <c r="AN252" i="1"/>
  <c r="AO252" i="1"/>
  <c r="AP252" i="1"/>
  <c r="AQ252" i="1"/>
  <c r="AK281" i="1"/>
  <c r="AL281" i="1"/>
  <c r="AM281" i="1"/>
  <c r="AN281" i="1"/>
  <c r="AO281" i="1"/>
  <c r="AP281" i="1"/>
  <c r="AQ281" i="1"/>
  <c r="AK248" i="1"/>
  <c r="AL248" i="1"/>
  <c r="AM248" i="1"/>
  <c r="AN248" i="1"/>
  <c r="AO248" i="1"/>
  <c r="AP248" i="1"/>
  <c r="AQ248" i="1"/>
  <c r="AK249" i="1"/>
  <c r="AL249" i="1"/>
  <c r="AM249" i="1"/>
  <c r="AN249" i="1"/>
  <c r="AO249" i="1"/>
  <c r="AP249" i="1"/>
  <c r="AQ249" i="1"/>
  <c r="AK250" i="1"/>
  <c r="AL250" i="1"/>
  <c r="AM250" i="1"/>
  <c r="AN250" i="1"/>
  <c r="AO250" i="1"/>
  <c r="AP250" i="1"/>
  <c r="AQ250" i="1"/>
  <c r="AK204" i="1"/>
  <c r="AL204" i="1"/>
  <c r="AM204" i="1"/>
  <c r="AN204" i="1"/>
  <c r="AO204" i="1"/>
  <c r="AP204" i="1"/>
  <c r="AQ204" i="1"/>
  <c r="AK269" i="1"/>
  <c r="AL269" i="1"/>
  <c r="AM269" i="1"/>
  <c r="AN269" i="1"/>
  <c r="AO269" i="1"/>
  <c r="AP269" i="1"/>
  <c r="AQ269" i="1"/>
  <c r="AK239" i="1"/>
  <c r="AL239" i="1"/>
  <c r="AM239" i="1"/>
  <c r="AN239" i="1"/>
  <c r="AO239" i="1"/>
  <c r="AP239" i="1"/>
  <c r="AQ239" i="1"/>
  <c r="AK265" i="1"/>
  <c r="AL265" i="1"/>
  <c r="AM265" i="1"/>
  <c r="AN265" i="1"/>
  <c r="AO265" i="1"/>
  <c r="AP265" i="1"/>
  <c r="AQ265" i="1"/>
  <c r="AK275" i="1"/>
  <c r="AL275" i="1"/>
  <c r="AM275" i="1"/>
  <c r="AN275" i="1"/>
  <c r="AO275" i="1"/>
  <c r="AP275" i="1"/>
  <c r="AQ275" i="1"/>
  <c r="AK268" i="1"/>
  <c r="AL268" i="1"/>
  <c r="AM268" i="1"/>
  <c r="AN268" i="1"/>
  <c r="AO268" i="1"/>
  <c r="AP268" i="1"/>
  <c r="AQ268" i="1"/>
  <c r="AK214" i="1"/>
  <c r="AL214" i="1"/>
  <c r="AM214" i="1"/>
  <c r="AN214" i="1"/>
  <c r="AO214" i="1"/>
  <c r="AP214" i="1"/>
  <c r="AQ214" i="1"/>
  <c r="AK184" i="1"/>
  <c r="AL184" i="1"/>
  <c r="AM184" i="1"/>
  <c r="AN184" i="1"/>
  <c r="AO184" i="1"/>
  <c r="AP184" i="1"/>
  <c r="AQ184" i="1"/>
  <c r="AK185" i="1"/>
  <c r="AL185" i="1"/>
  <c r="AM185" i="1"/>
  <c r="AN185" i="1"/>
  <c r="AO185" i="1"/>
  <c r="AP185" i="1"/>
  <c r="AQ185" i="1"/>
  <c r="AK186" i="1"/>
  <c r="AL186" i="1"/>
  <c r="AM186" i="1"/>
  <c r="AN186" i="1"/>
  <c r="AO186" i="1"/>
  <c r="AP186" i="1"/>
  <c r="AQ186" i="1"/>
  <c r="AK187" i="1"/>
  <c r="AL187" i="1"/>
  <c r="AM187" i="1"/>
  <c r="AN187" i="1"/>
  <c r="AO187" i="1"/>
  <c r="AP187" i="1"/>
  <c r="AQ187" i="1"/>
  <c r="AK188" i="1"/>
  <c r="AL188" i="1"/>
  <c r="AM188" i="1"/>
  <c r="AN188" i="1"/>
  <c r="AO188" i="1"/>
  <c r="AP188" i="1"/>
  <c r="AQ188" i="1"/>
  <c r="AK189" i="1"/>
  <c r="AL189" i="1"/>
  <c r="AM189" i="1"/>
  <c r="AN189" i="1"/>
  <c r="AO189" i="1"/>
  <c r="AP189" i="1"/>
  <c r="AQ189" i="1"/>
  <c r="AK190" i="1"/>
  <c r="AL190" i="1"/>
  <c r="AM190" i="1"/>
  <c r="AN190" i="1"/>
  <c r="AO190" i="1"/>
  <c r="AP190" i="1"/>
  <c r="AQ190" i="1"/>
  <c r="AK191" i="1"/>
  <c r="AL191" i="1"/>
  <c r="AM191" i="1"/>
  <c r="AN191" i="1"/>
  <c r="AO191" i="1"/>
  <c r="AP191" i="1"/>
  <c r="AQ191" i="1"/>
  <c r="AK192" i="1"/>
  <c r="AL192" i="1"/>
  <c r="AM192" i="1"/>
  <c r="AN192" i="1"/>
  <c r="AO192" i="1"/>
  <c r="AP192" i="1"/>
  <c r="AQ192" i="1"/>
  <c r="AK193" i="1"/>
  <c r="AL193" i="1"/>
  <c r="AM193" i="1"/>
  <c r="AN193" i="1"/>
  <c r="AO193" i="1"/>
  <c r="AP193" i="1"/>
  <c r="AQ193" i="1"/>
  <c r="AK194" i="1"/>
  <c r="AL194" i="1"/>
  <c r="AM194" i="1"/>
  <c r="AN194" i="1"/>
  <c r="AO194" i="1"/>
  <c r="AP194" i="1"/>
  <c r="AQ194" i="1"/>
  <c r="AK195" i="1"/>
  <c r="AL195" i="1"/>
  <c r="AM195" i="1"/>
  <c r="AN195" i="1"/>
  <c r="AO195" i="1"/>
  <c r="AP195" i="1"/>
  <c r="AQ195" i="1"/>
  <c r="AK196" i="1"/>
  <c r="AL196" i="1"/>
  <c r="AM196" i="1"/>
  <c r="AN196" i="1"/>
  <c r="AO196" i="1"/>
  <c r="AP196" i="1"/>
  <c r="AQ196" i="1"/>
  <c r="AK197" i="1"/>
  <c r="AL197" i="1"/>
  <c r="AM197" i="1"/>
  <c r="AN197" i="1"/>
  <c r="AO197" i="1"/>
  <c r="AP197" i="1"/>
  <c r="AQ197" i="1"/>
  <c r="AK198" i="1"/>
  <c r="AL198" i="1"/>
  <c r="AM198" i="1"/>
  <c r="AN198" i="1"/>
  <c r="AO198" i="1"/>
  <c r="AP198" i="1"/>
  <c r="AQ198" i="1"/>
  <c r="AK282" i="1"/>
  <c r="AL282" i="1"/>
  <c r="AM282" i="1"/>
  <c r="AN282" i="1"/>
  <c r="AO282" i="1"/>
  <c r="AP282" i="1"/>
  <c r="AQ282" i="1"/>
  <c r="AK283" i="1"/>
  <c r="AL283" i="1"/>
  <c r="AM283" i="1"/>
  <c r="AN283" i="1"/>
  <c r="AO283" i="1"/>
  <c r="AP283" i="1"/>
  <c r="AQ283" i="1"/>
  <c r="AK201" i="1"/>
  <c r="AL201" i="1"/>
  <c r="AM201" i="1"/>
  <c r="AN201" i="1"/>
  <c r="AO201" i="1"/>
  <c r="AP201" i="1"/>
  <c r="AQ201" i="1"/>
  <c r="AK263" i="1"/>
  <c r="AL263" i="1"/>
  <c r="AM263" i="1"/>
  <c r="AN263" i="1"/>
  <c r="AO263" i="1"/>
  <c r="AP263" i="1"/>
  <c r="AQ263" i="1"/>
  <c r="AK272" i="1"/>
  <c r="AL272" i="1"/>
  <c r="AM272" i="1"/>
  <c r="AN272" i="1"/>
  <c r="AO272" i="1"/>
  <c r="AP272" i="1"/>
  <c r="AQ272" i="1"/>
  <c r="AK217" i="1"/>
  <c r="AL217" i="1"/>
  <c r="AM217" i="1"/>
  <c r="AN217" i="1"/>
  <c r="AO217" i="1"/>
  <c r="AP217" i="1"/>
  <c r="AQ217" i="1"/>
  <c r="AK223" i="1"/>
  <c r="AL223" i="1"/>
  <c r="AM223" i="1"/>
  <c r="AN223" i="1"/>
  <c r="AO223" i="1"/>
  <c r="AP223" i="1"/>
  <c r="AQ223" i="1"/>
  <c r="AK205" i="1"/>
  <c r="AL205" i="1"/>
  <c r="AM205" i="1"/>
  <c r="AN205" i="1"/>
  <c r="AO205" i="1"/>
  <c r="AP205" i="1"/>
  <c r="AQ205" i="1"/>
  <c r="AK288" i="1"/>
  <c r="AL288" i="1"/>
  <c r="AM288" i="1"/>
  <c r="AN288" i="1"/>
  <c r="AO288" i="1"/>
  <c r="AP288" i="1"/>
  <c r="AQ288" i="1"/>
  <c r="AK291" i="1"/>
  <c r="AL291" i="1"/>
  <c r="AM291" i="1"/>
  <c r="AN291" i="1"/>
  <c r="AO291" i="1"/>
  <c r="AP291" i="1"/>
  <c r="AQ291" i="1"/>
  <c r="AK293" i="1"/>
  <c r="AL293" i="1"/>
  <c r="AM293" i="1"/>
  <c r="AN293" i="1"/>
  <c r="AO293" i="1"/>
  <c r="AP293" i="1"/>
  <c r="AQ293" i="1"/>
  <c r="AK229" i="1"/>
  <c r="AL229" i="1"/>
  <c r="AM229" i="1"/>
  <c r="AN229" i="1"/>
  <c r="AO229" i="1"/>
  <c r="AP229" i="1"/>
  <c r="AQ229" i="1"/>
  <c r="AK274" i="1"/>
  <c r="AL274" i="1"/>
  <c r="AM274" i="1"/>
  <c r="AN274" i="1"/>
  <c r="AO274" i="1"/>
  <c r="AP274" i="1"/>
  <c r="AQ274" i="1"/>
  <c r="AK222" i="1"/>
  <c r="AL222" i="1"/>
  <c r="AM222" i="1"/>
  <c r="AN222" i="1"/>
  <c r="AO222" i="1"/>
  <c r="AP222" i="1"/>
  <c r="AQ222" i="1"/>
  <c r="AK295" i="1"/>
  <c r="AL295" i="1"/>
  <c r="AM295" i="1"/>
  <c r="AN295" i="1"/>
  <c r="AO295" i="1"/>
  <c r="AP295" i="1"/>
  <c r="AQ295" i="1"/>
  <c r="AK298" i="1"/>
  <c r="AL298" i="1"/>
  <c r="AM298" i="1"/>
  <c r="AN298" i="1"/>
  <c r="AO298" i="1"/>
  <c r="AP298" i="1"/>
  <c r="AQ298" i="1"/>
  <c r="AK206" i="1"/>
  <c r="AL206" i="1"/>
  <c r="AM206" i="1"/>
  <c r="AN206" i="1"/>
  <c r="AO206" i="1"/>
  <c r="AP206" i="1"/>
  <c r="AQ206" i="1"/>
  <c r="AK212" i="1"/>
  <c r="AL212" i="1"/>
  <c r="AM212" i="1"/>
  <c r="AN212" i="1"/>
  <c r="AO212" i="1"/>
  <c r="AP212" i="1"/>
  <c r="AQ212" i="1"/>
  <c r="AK264" i="1"/>
  <c r="AL264" i="1"/>
  <c r="AM264" i="1"/>
  <c r="AN264" i="1"/>
  <c r="AO264" i="1"/>
  <c r="AP264" i="1"/>
  <c r="AQ264" i="1"/>
  <c r="AK297" i="1"/>
  <c r="AL297" i="1"/>
  <c r="AM297" i="1"/>
  <c r="AN297" i="1"/>
  <c r="AO297" i="1"/>
  <c r="AP297" i="1"/>
  <c r="AQ297" i="1"/>
  <c r="AK290" i="1"/>
  <c r="AL290" i="1"/>
  <c r="AM290" i="1"/>
  <c r="AN290" i="1"/>
  <c r="AO290" i="1"/>
  <c r="AP290" i="1"/>
  <c r="AQ290" i="1"/>
  <c r="AK296" i="1"/>
  <c r="AL296" i="1"/>
  <c r="AM296" i="1"/>
  <c r="AN296" i="1"/>
  <c r="AO296" i="1"/>
  <c r="AP296" i="1"/>
  <c r="AQ296" i="1"/>
  <c r="AK224" i="1"/>
  <c r="AL224" i="1"/>
  <c r="AM224" i="1"/>
  <c r="AN224" i="1"/>
  <c r="AO224" i="1"/>
  <c r="AP224" i="1"/>
  <c r="AQ224" i="1"/>
  <c r="AK208" i="1"/>
  <c r="AL208" i="1"/>
  <c r="AM208" i="1"/>
  <c r="AN208" i="1"/>
  <c r="AO208" i="1"/>
  <c r="AP208" i="1"/>
  <c r="AQ208" i="1"/>
  <c r="AK279" i="1"/>
  <c r="AL279" i="1"/>
  <c r="AM279" i="1"/>
  <c r="AN279" i="1"/>
  <c r="AO279" i="1"/>
  <c r="AP279" i="1"/>
  <c r="AQ279" i="1"/>
  <c r="AK280" i="1"/>
  <c r="AL280" i="1"/>
  <c r="AM280" i="1"/>
  <c r="AN280" i="1"/>
  <c r="AO280" i="1"/>
  <c r="AP280" i="1"/>
  <c r="AQ280" i="1"/>
  <c r="AK270" i="1"/>
  <c r="AL270" i="1"/>
  <c r="AM270" i="1"/>
  <c r="AN270" i="1"/>
  <c r="AO270" i="1"/>
  <c r="AP270" i="1"/>
  <c r="AQ270" i="1"/>
  <c r="AK216" i="1"/>
  <c r="AL216" i="1"/>
  <c r="AM216" i="1"/>
  <c r="AN216" i="1"/>
  <c r="AO216" i="1"/>
  <c r="AP216" i="1"/>
  <c r="AQ216" i="1"/>
  <c r="AK199" i="1"/>
  <c r="AL199" i="1"/>
  <c r="AM199" i="1"/>
  <c r="AN199" i="1"/>
  <c r="AO199" i="1"/>
  <c r="AP199" i="1"/>
  <c r="AQ199" i="1"/>
  <c r="AK183" i="1"/>
  <c r="AL183" i="1"/>
  <c r="AM183" i="1"/>
  <c r="AN183" i="1"/>
  <c r="AO183" i="1"/>
  <c r="AP183" i="1"/>
  <c r="AQ183" i="1"/>
  <c r="AK207" i="1"/>
  <c r="AL207" i="1"/>
  <c r="AM207" i="1"/>
  <c r="AN207" i="1"/>
  <c r="AO207" i="1"/>
  <c r="AP207" i="1"/>
  <c r="AQ207" i="1"/>
  <c r="AK179" i="1"/>
  <c r="AL179" i="1"/>
  <c r="AM179" i="1"/>
  <c r="AN179" i="1"/>
  <c r="AO179" i="1"/>
  <c r="AP179" i="1"/>
  <c r="AQ179" i="1"/>
  <c r="AK286" i="1"/>
  <c r="AL286" i="1"/>
  <c r="AM286" i="1"/>
  <c r="AN286" i="1"/>
  <c r="AO286" i="1"/>
  <c r="AP286" i="1"/>
  <c r="AQ286" i="1"/>
  <c r="AK213" i="1"/>
  <c r="AL213" i="1"/>
  <c r="AM213" i="1"/>
  <c r="AN213" i="1"/>
  <c r="AO213" i="1"/>
  <c r="AP213" i="1"/>
  <c r="AQ213" i="1"/>
  <c r="AK278" i="1"/>
  <c r="AL278" i="1"/>
  <c r="AM278" i="1"/>
  <c r="AN278" i="1"/>
  <c r="AO278" i="1"/>
  <c r="AP278" i="1"/>
  <c r="AQ278" i="1"/>
  <c r="AK303" i="1"/>
  <c r="AL303" i="1"/>
  <c r="AM303" i="1"/>
  <c r="AN303" i="1"/>
  <c r="AO303" i="1"/>
  <c r="AP303" i="1"/>
  <c r="AQ303" i="1"/>
  <c r="AK300" i="1"/>
  <c r="AL300" i="1"/>
  <c r="AM300" i="1"/>
  <c r="AN300" i="1"/>
  <c r="AO300" i="1"/>
  <c r="AP300" i="1"/>
  <c r="AQ300" i="1"/>
  <c r="AK240" i="1"/>
  <c r="AL240" i="1"/>
  <c r="AM240" i="1"/>
  <c r="AN240" i="1"/>
  <c r="AO240" i="1"/>
  <c r="AP240" i="1"/>
  <c r="AQ240" i="1"/>
  <c r="AK203" i="1"/>
  <c r="AL203" i="1"/>
  <c r="AM203" i="1"/>
  <c r="AN203" i="1"/>
  <c r="AO203" i="1"/>
  <c r="AP203" i="1"/>
  <c r="AQ203" i="1"/>
  <c r="AK299" i="1"/>
  <c r="AL299" i="1"/>
  <c r="AM299" i="1"/>
  <c r="AN299" i="1"/>
  <c r="AO299" i="1"/>
  <c r="AP299" i="1"/>
  <c r="AQ299" i="1"/>
  <c r="AK209" i="1"/>
  <c r="AL209" i="1"/>
  <c r="AM209" i="1"/>
  <c r="AN209" i="1"/>
  <c r="AO209" i="1"/>
  <c r="AP209" i="1"/>
  <c r="AQ209" i="1"/>
  <c r="AK302" i="1"/>
  <c r="AL302" i="1"/>
  <c r="AM302" i="1"/>
  <c r="AN302" i="1"/>
  <c r="AO302" i="1"/>
  <c r="AP302" i="1"/>
  <c r="AQ302" i="1"/>
  <c r="AK292" i="1"/>
  <c r="AL292" i="1"/>
  <c r="AM292" i="1"/>
  <c r="AN292" i="1"/>
  <c r="AO292" i="1"/>
  <c r="AP292" i="1"/>
  <c r="AQ292" i="1"/>
  <c r="AK294" i="1"/>
  <c r="AL294" i="1"/>
  <c r="AM294" i="1"/>
  <c r="AN294" i="1"/>
  <c r="AO294" i="1"/>
  <c r="AP294" i="1"/>
  <c r="AQ294" i="1"/>
  <c r="AK289" i="1"/>
  <c r="AL289" i="1"/>
  <c r="AM289" i="1"/>
  <c r="AN289" i="1"/>
  <c r="AO289" i="1"/>
  <c r="AP289" i="1"/>
  <c r="AQ289" i="1"/>
  <c r="AK287" i="1"/>
  <c r="AL287" i="1"/>
  <c r="AM287" i="1"/>
  <c r="AN287" i="1"/>
  <c r="AO287" i="1"/>
  <c r="AP287" i="1"/>
  <c r="AQ287" i="1"/>
  <c r="AK285" i="1"/>
  <c r="AL285" i="1"/>
  <c r="AM285" i="1"/>
  <c r="AN285" i="1"/>
  <c r="AO285" i="1"/>
  <c r="AP285" i="1"/>
  <c r="AQ285" i="1"/>
  <c r="AK215" i="1"/>
  <c r="AL215" i="1"/>
  <c r="AM215" i="1"/>
  <c r="AN215" i="1"/>
  <c r="AO215" i="1"/>
  <c r="AP215" i="1"/>
  <c r="AQ215" i="1"/>
  <c r="AK304" i="1"/>
  <c r="AL304" i="1"/>
  <c r="AM304" i="1"/>
  <c r="AN304" i="1"/>
  <c r="AO304" i="1"/>
  <c r="AP304" i="1"/>
  <c r="AQ304" i="1"/>
  <c r="AK301" i="1"/>
  <c r="AL301" i="1"/>
  <c r="AM301" i="1"/>
  <c r="AN301" i="1"/>
  <c r="AO301" i="1"/>
  <c r="AP301" i="1"/>
  <c r="AQ301" i="1"/>
  <c r="AK305" i="1"/>
  <c r="AL305" i="1"/>
  <c r="AM305" i="1"/>
  <c r="AN305" i="1"/>
  <c r="AO305" i="1"/>
  <c r="AP305" i="1"/>
  <c r="AQ305" i="1"/>
  <c r="AK210" i="1"/>
  <c r="AL210" i="1"/>
  <c r="AM210" i="1"/>
  <c r="AN210" i="1"/>
  <c r="AO210" i="1"/>
  <c r="AP210" i="1"/>
  <c r="AQ210" i="1"/>
  <c r="AK307" i="1"/>
  <c r="AL307" i="1"/>
  <c r="AM307" i="1"/>
  <c r="AN307" i="1"/>
  <c r="AO307" i="1"/>
  <c r="AP307" i="1"/>
  <c r="AQ307" i="1"/>
  <c r="AK308" i="1"/>
  <c r="AL308" i="1"/>
  <c r="AM308" i="1"/>
  <c r="AN308" i="1"/>
  <c r="AO308" i="1"/>
  <c r="AP308" i="1"/>
  <c r="AQ308" i="1"/>
  <c r="AK309" i="1"/>
  <c r="AL309" i="1"/>
  <c r="AM309" i="1"/>
  <c r="AN309" i="1"/>
  <c r="AO309" i="1"/>
  <c r="AP309" i="1"/>
  <c r="AQ309" i="1"/>
  <c r="AK310" i="1"/>
  <c r="AL310" i="1"/>
  <c r="AM310" i="1"/>
  <c r="AN310" i="1"/>
  <c r="AO310" i="1"/>
  <c r="AP310" i="1"/>
  <c r="AQ310" i="1"/>
  <c r="AK313" i="1"/>
  <c r="AL313" i="1"/>
  <c r="AM313" i="1"/>
  <c r="AN313" i="1"/>
  <c r="AO313" i="1"/>
  <c r="AP313" i="1"/>
  <c r="AQ313" i="1"/>
  <c r="AK314" i="1"/>
  <c r="AL314" i="1"/>
  <c r="AM314" i="1"/>
  <c r="AN314" i="1"/>
  <c r="AO314" i="1"/>
  <c r="AP314" i="1"/>
  <c r="AQ314" i="1"/>
  <c r="AK311" i="1"/>
  <c r="AL311" i="1"/>
  <c r="AM311" i="1"/>
  <c r="AN311" i="1"/>
  <c r="AO311" i="1"/>
  <c r="AP311" i="1"/>
  <c r="AQ311" i="1"/>
  <c r="AK312" i="1"/>
  <c r="AL312" i="1"/>
  <c r="AM312" i="1"/>
  <c r="AN312" i="1"/>
  <c r="AO312" i="1"/>
  <c r="AP312" i="1"/>
  <c r="AQ312" i="1"/>
  <c r="AK315" i="1"/>
  <c r="AL315" i="1"/>
  <c r="AM315" i="1"/>
  <c r="AN315" i="1"/>
  <c r="AO315" i="1"/>
  <c r="AP315" i="1"/>
  <c r="AQ315" i="1"/>
  <c r="AK316" i="1"/>
  <c r="AL316" i="1"/>
  <c r="AM316" i="1"/>
  <c r="AN316" i="1"/>
  <c r="AO316" i="1"/>
  <c r="AP316" i="1"/>
  <c r="AQ316" i="1"/>
  <c r="AK317" i="1"/>
  <c r="AL317" i="1"/>
  <c r="AM317" i="1"/>
  <c r="AN317" i="1"/>
  <c r="AO317" i="1"/>
  <c r="AP317" i="1"/>
  <c r="AQ317" i="1"/>
  <c r="AK318" i="1"/>
  <c r="AL318" i="1"/>
  <c r="AM318" i="1"/>
  <c r="AN318" i="1"/>
  <c r="AO318" i="1"/>
  <c r="AP318" i="1"/>
  <c r="AQ318" i="1"/>
  <c r="AK319" i="1"/>
  <c r="AL319" i="1"/>
  <c r="AM319" i="1"/>
  <c r="AN319" i="1"/>
  <c r="AO319" i="1"/>
  <c r="AP319" i="1"/>
  <c r="AQ319" i="1"/>
  <c r="AJ13" i="1"/>
  <c r="AJ20" i="1"/>
  <c r="AJ26" i="1"/>
  <c r="AJ25" i="1"/>
  <c r="AJ21" i="1"/>
  <c r="AJ22" i="1"/>
  <c r="AJ23" i="1"/>
  <c r="AJ19" i="1"/>
  <c r="AJ28" i="1"/>
  <c r="AJ24" i="1"/>
  <c r="AJ27" i="1"/>
  <c r="AJ4" i="1"/>
  <c r="AJ6" i="1"/>
  <c r="AJ3" i="1"/>
  <c r="AJ7" i="1"/>
  <c r="AJ29" i="1"/>
  <c r="AJ33" i="1"/>
  <c r="AJ30" i="1"/>
  <c r="AJ35" i="1"/>
  <c r="AJ34" i="1"/>
  <c r="AJ37" i="1"/>
  <c r="AJ31" i="1"/>
  <c r="AJ32" i="1"/>
  <c r="AJ38" i="1"/>
  <c r="AJ41" i="1"/>
  <c r="AJ40" i="1"/>
  <c r="AJ36" i="1"/>
  <c r="AJ8" i="1"/>
  <c r="AJ11" i="1"/>
  <c r="AJ46" i="1"/>
  <c r="AJ44" i="1"/>
  <c r="AJ48" i="1"/>
  <c r="AJ47" i="1"/>
  <c r="AJ51" i="1"/>
  <c r="AJ5" i="1"/>
  <c r="AJ53" i="1"/>
  <c r="AJ52" i="1"/>
  <c r="AJ43" i="1"/>
  <c r="AJ45" i="1"/>
  <c r="AJ2" i="1"/>
  <c r="AJ55" i="1"/>
  <c r="AJ39" i="1"/>
  <c r="AJ12" i="1"/>
  <c r="AJ50" i="1"/>
  <c r="AJ49" i="1"/>
  <c r="AJ58" i="1"/>
  <c r="AJ56" i="1"/>
  <c r="AJ59" i="1"/>
  <c r="AJ42" i="1"/>
  <c r="AJ17" i="1"/>
  <c r="AJ54" i="1"/>
  <c r="AJ14" i="1"/>
  <c r="AJ9" i="1"/>
  <c r="AJ62" i="1"/>
  <c r="AJ57" i="1"/>
  <c r="AJ60" i="1"/>
  <c r="AJ16" i="1"/>
  <c r="AJ64" i="1"/>
  <c r="AJ65" i="1"/>
  <c r="AJ66" i="1"/>
  <c r="AJ67" i="1"/>
  <c r="AJ15" i="1"/>
  <c r="AJ63" i="1"/>
  <c r="AJ10" i="1"/>
  <c r="AJ68" i="1"/>
  <c r="AJ69" i="1"/>
  <c r="AJ61" i="1"/>
  <c r="AJ83" i="1"/>
  <c r="AJ84" i="1"/>
  <c r="AJ92" i="1"/>
  <c r="AJ95" i="1"/>
  <c r="AJ96" i="1"/>
  <c r="AJ97" i="1"/>
  <c r="AJ99" i="1"/>
  <c r="AJ85" i="1"/>
  <c r="AJ98" i="1"/>
  <c r="AJ101" i="1"/>
  <c r="AJ100" i="1"/>
  <c r="AJ72" i="1"/>
  <c r="AJ91" i="1"/>
  <c r="AJ103" i="1"/>
  <c r="AJ102" i="1"/>
  <c r="AJ74" i="1"/>
  <c r="AJ104" i="1"/>
  <c r="AJ105" i="1"/>
  <c r="AJ73" i="1"/>
  <c r="AJ107" i="1"/>
  <c r="AJ114" i="1"/>
  <c r="AJ117" i="1"/>
  <c r="AJ109" i="1"/>
  <c r="AJ110" i="1"/>
  <c r="AJ111" i="1"/>
  <c r="AJ119" i="1"/>
  <c r="AJ116" i="1"/>
  <c r="AJ108" i="1"/>
  <c r="AJ112" i="1"/>
  <c r="AJ113" i="1"/>
  <c r="AJ115" i="1"/>
  <c r="AJ118" i="1"/>
  <c r="AJ122" i="1"/>
  <c r="AJ120" i="1"/>
  <c r="AJ126" i="1"/>
  <c r="AJ123" i="1"/>
  <c r="AJ131" i="1"/>
  <c r="AJ132" i="1"/>
  <c r="AJ106" i="1"/>
  <c r="AJ86" i="1"/>
  <c r="AJ93" i="1"/>
  <c r="AJ77" i="1"/>
  <c r="AJ128" i="1"/>
  <c r="AJ127" i="1"/>
  <c r="AJ221" i="1"/>
  <c r="AJ121" i="1"/>
  <c r="AJ94" i="1"/>
  <c r="AJ89" i="1"/>
  <c r="AJ137" i="1"/>
  <c r="AJ124" i="1"/>
  <c r="AJ125" i="1"/>
  <c r="AJ135" i="1"/>
  <c r="AJ71" i="1"/>
  <c r="AJ136" i="1"/>
  <c r="AJ138" i="1"/>
  <c r="AJ78" i="1"/>
  <c r="AJ75" i="1"/>
  <c r="AJ76" i="1"/>
  <c r="AJ133" i="1"/>
  <c r="AJ70" i="1"/>
  <c r="AJ134" i="1"/>
  <c r="AJ151" i="1"/>
  <c r="AJ80" i="1"/>
  <c r="AJ152" i="1"/>
  <c r="AJ129" i="1"/>
  <c r="AJ130" i="1"/>
  <c r="AJ144" i="1"/>
  <c r="AJ87" i="1"/>
  <c r="AJ150" i="1"/>
  <c r="AJ82" i="1"/>
  <c r="AJ141" i="1"/>
  <c r="AJ148" i="1"/>
  <c r="AJ149" i="1"/>
  <c r="AJ79" i="1"/>
  <c r="AJ154" i="1"/>
  <c r="AJ159" i="1"/>
  <c r="AJ160" i="1"/>
  <c r="AJ153" i="1"/>
  <c r="AJ161" i="1"/>
  <c r="AJ162" i="1"/>
  <c r="AJ157" i="1"/>
  <c r="AJ158" i="1"/>
  <c r="AJ163" i="1"/>
  <c r="AJ143" i="1"/>
  <c r="AJ81" i="1"/>
  <c r="AJ139" i="1"/>
  <c r="AJ145" i="1"/>
  <c r="AJ146" i="1"/>
  <c r="AJ147" i="1"/>
  <c r="AJ165" i="1"/>
  <c r="AJ166" i="1"/>
  <c r="AJ142" i="1"/>
  <c r="AJ156" i="1"/>
  <c r="AJ140" i="1"/>
  <c r="AJ167" i="1"/>
  <c r="AJ88" i="1"/>
  <c r="AJ170" i="1"/>
  <c r="AJ90" i="1"/>
  <c r="AJ168" i="1"/>
  <c r="AJ171" i="1"/>
  <c r="AJ172" i="1"/>
  <c r="AJ155" i="1"/>
  <c r="AJ164" i="1"/>
  <c r="AJ173" i="1"/>
  <c r="AJ169" i="1"/>
  <c r="AJ237" i="1"/>
  <c r="AJ233" i="1"/>
  <c r="AJ231" i="1"/>
  <c r="AJ241" i="1"/>
  <c r="AJ238" i="1"/>
  <c r="AJ227" i="1"/>
  <c r="AJ218" i="1"/>
  <c r="AJ226" i="1"/>
  <c r="AJ245" i="1"/>
  <c r="AJ180" i="1"/>
  <c r="AJ247" i="1"/>
  <c r="AJ211" i="1"/>
  <c r="AJ235" i="1"/>
  <c r="AJ232" i="1"/>
  <c r="AJ244" i="1"/>
  <c r="AJ228" i="1"/>
  <c r="AJ253" i="1"/>
  <c r="AJ236" i="1"/>
  <c r="AJ257" i="1"/>
  <c r="AJ260" i="1"/>
  <c r="AJ254" i="1"/>
  <c r="AJ182" i="1"/>
  <c r="AJ181" i="1"/>
  <c r="AJ220" i="1"/>
  <c r="AJ266" i="1"/>
  <c r="AJ219" i="1"/>
  <c r="AJ176" i="1"/>
  <c r="AJ267" i="1"/>
  <c r="AJ262" i="1"/>
  <c r="AJ177" i="1"/>
  <c r="AJ246" i="1"/>
  <c r="AJ251" i="1"/>
  <c r="AJ225" i="1"/>
  <c r="AJ261" i="1"/>
  <c r="AJ258" i="1"/>
  <c r="AJ256" i="1"/>
  <c r="AJ243" i="1"/>
  <c r="AJ242" i="1"/>
  <c r="AJ259" i="1"/>
  <c r="AJ200" i="1"/>
  <c r="AJ202" i="1"/>
  <c r="AJ234" i="1"/>
  <c r="AJ255" i="1"/>
  <c r="AJ271" i="1"/>
  <c r="AJ230" i="1"/>
  <c r="AJ276" i="1"/>
  <c r="AJ277" i="1"/>
  <c r="AJ178" i="1"/>
  <c r="AJ273" i="1"/>
  <c r="AJ284" i="1"/>
  <c r="AJ252" i="1"/>
  <c r="AJ281" i="1"/>
  <c r="AJ248" i="1"/>
  <c r="AJ249" i="1"/>
  <c r="AJ250" i="1"/>
  <c r="AJ204" i="1"/>
  <c r="AJ269" i="1"/>
  <c r="AJ239" i="1"/>
  <c r="AJ265" i="1"/>
  <c r="AJ275" i="1"/>
  <c r="AJ268" i="1"/>
  <c r="AJ214" i="1"/>
  <c r="AJ184" i="1"/>
  <c r="AJ185" i="1"/>
  <c r="AJ186" i="1"/>
  <c r="AJ187" i="1"/>
  <c r="AJ188" i="1"/>
  <c r="AJ189" i="1"/>
  <c r="AJ190" i="1"/>
  <c r="AJ191" i="1"/>
  <c r="AJ192" i="1"/>
  <c r="AJ193" i="1"/>
  <c r="AJ194" i="1"/>
  <c r="AJ195" i="1"/>
  <c r="AJ196" i="1"/>
  <c r="AJ197" i="1"/>
  <c r="AJ198" i="1"/>
  <c r="AJ282" i="1"/>
  <c r="AJ283" i="1"/>
  <c r="AJ201" i="1"/>
  <c r="AJ263" i="1"/>
  <c r="AJ272" i="1"/>
  <c r="AJ217" i="1"/>
  <c r="AJ223" i="1"/>
  <c r="AJ205" i="1"/>
  <c r="AJ288" i="1"/>
  <c r="AJ291" i="1"/>
  <c r="AJ293" i="1"/>
  <c r="AJ229" i="1"/>
  <c r="AJ274" i="1"/>
  <c r="AJ222" i="1"/>
  <c r="AJ295" i="1"/>
  <c r="AJ298" i="1"/>
  <c r="AJ206" i="1"/>
  <c r="AJ212" i="1"/>
  <c r="AJ264" i="1"/>
  <c r="AJ297" i="1"/>
  <c r="AJ290" i="1"/>
  <c r="AJ296" i="1"/>
  <c r="AJ224" i="1"/>
  <c r="AJ208" i="1"/>
  <c r="AJ279" i="1"/>
  <c r="AJ280" i="1"/>
  <c r="AJ270" i="1"/>
  <c r="AJ216" i="1"/>
  <c r="AJ199" i="1"/>
  <c r="AJ183" i="1"/>
  <c r="AJ207" i="1"/>
  <c r="AJ179" i="1"/>
  <c r="AJ286" i="1"/>
  <c r="AJ213" i="1"/>
  <c r="AJ278" i="1"/>
  <c r="AJ303" i="1"/>
  <c r="AJ300" i="1"/>
  <c r="AJ240" i="1"/>
  <c r="AJ203" i="1"/>
  <c r="AJ299" i="1"/>
  <c r="AJ209" i="1"/>
  <c r="AJ302" i="1"/>
  <c r="AJ292" i="1"/>
  <c r="AJ294" i="1"/>
  <c r="AJ289" i="1"/>
  <c r="AJ287" i="1"/>
  <c r="AJ285" i="1"/>
  <c r="AJ215" i="1"/>
  <c r="AJ304" i="1"/>
  <c r="AJ301" i="1"/>
  <c r="AJ305" i="1"/>
  <c r="AJ210" i="1"/>
  <c r="AJ307" i="1"/>
  <c r="AJ308" i="1"/>
  <c r="AJ309" i="1"/>
  <c r="AJ310" i="1"/>
  <c r="AJ313" i="1"/>
  <c r="AJ314" i="1"/>
  <c r="AJ311" i="1"/>
  <c r="AJ312" i="1"/>
  <c r="AJ315" i="1"/>
  <c r="AJ316" i="1"/>
  <c r="AJ317" i="1"/>
  <c r="AJ318" i="1"/>
  <c r="AJ319" i="1"/>
  <c r="AJ18" i="1"/>
  <c r="D109" i="18"/>
  <c r="F109" i="18"/>
  <c r="F110" i="18" l="1"/>
  <c r="D110" i="18"/>
  <c r="H109" i="18"/>
  <c r="G109" i="18" s="1"/>
  <c r="E109" i="18" l="1"/>
  <c r="BK13" i="1" l="1"/>
  <c r="BK20" i="1"/>
  <c r="BK26" i="1"/>
  <c r="BK25" i="1"/>
  <c r="BK21" i="1"/>
  <c r="BK22" i="1"/>
  <c r="BK23" i="1"/>
  <c r="BK19" i="1"/>
  <c r="BK28" i="1"/>
  <c r="BK24" i="1"/>
  <c r="BK27" i="1"/>
  <c r="BK4" i="1"/>
  <c r="BK6" i="1"/>
  <c r="BK3" i="1"/>
  <c r="BK7" i="1"/>
  <c r="BK29" i="1"/>
  <c r="BK33" i="1"/>
  <c r="BK30" i="1"/>
  <c r="BK35" i="1"/>
  <c r="BK34" i="1"/>
  <c r="BK37" i="1"/>
  <c r="BK31" i="1"/>
  <c r="BK32" i="1"/>
  <c r="BK38" i="1"/>
  <c r="BK41" i="1"/>
  <c r="BK40" i="1"/>
  <c r="BK36" i="1"/>
  <c r="BK8" i="1"/>
  <c r="BK11" i="1"/>
  <c r="BK46" i="1"/>
  <c r="BK44" i="1"/>
  <c r="BK48" i="1"/>
  <c r="BK47" i="1"/>
  <c r="BK51" i="1"/>
  <c r="BK5" i="1"/>
  <c r="BK53" i="1"/>
  <c r="BK52" i="1"/>
  <c r="BK43" i="1"/>
  <c r="BK45" i="1"/>
  <c r="BK2" i="1"/>
  <c r="BK55" i="1"/>
  <c r="BK39" i="1"/>
  <c r="BK12" i="1"/>
  <c r="BK50" i="1"/>
  <c r="BK49" i="1"/>
  <c r="BK58" i="1"/>
  <c r="BK56" i="1"/>
  <c r="BK59" i="1"/>
  <c r="BK42" i="1"/>
  <c r="BK17" i="1"/>
  <c r="BK54" i="1"/>
  <c r="BK14" i="1"/>
  <c r="BK9" i="1"/>
  <c r="BK62" i="1"/>
  <c r="BK57" i="1"/>
  <c r="BK60" i="1"/>
  <c r="BK16" i="1"/>
  <c r="BK64" i="1"/>
  <c r="BK65" i="1"/>
  <c r="BK66" i="1"/>
  <c r="BK67" i="1"/>
  <c r="BK15" i="1"/>
  <c r="BK63" i="1"/>
  <c r="BK10" i="1"/>
  <c r="BK68" i="1"/>
  <c r="BK69" i="1"/>
  <c r="BK61" i="1"/>
  <c r="BK83" i="1"/>
  <c r="BK84" i="1"/>
  <c r="BK92" i="1"/>
  <c r="BK95" i="1"/>
  <c r="BK96" i="1"/>
  <c r="BK97" i="1"/>
  <c r="BK99" i="1"/>
  <c r="BK85" i="1"/>
  <c r="BK98" i="1"/>
  <c r="BK101" i="1"/>
  <c r="BK100" i="1"/>
  <c r="BK72" i="1"/>
  <c r="BK91" i="1"/>
  <c r="BK103" i="1"/>
  <c r="BK102" i="1"/>
  <c r="BK74" i="1"/>
  <c r="BK104" i="1"/>
  <c r="BK105" i="1"/>
  <c r="BK73" i="1"/>
  <c r="BK107" i="1"/>
  <c r="BK114" i="1"/>
  <c r="BK117" i="1"/>
  <c r="BK109" i="1"/>
  <c r="BK110" i="1"/>
  <c r="BK111" i="1"/>
  <c r="BK119" i="1"/>
  <c r="BK116" i="1"/>
  <c r="BK108" i="1"/>
  <c r="BK112" i="1"/>
  <c r="BK113" i="1"/>
  <c r="BK115" i="1"/>
  <c r="BK118" i="1"/>
  <c r="BK122" i="1"/>
  <c r="BK120" i="1"/>
  <c r="BK126" i="1"/>
  <c r="BK123" i="1"/>
  <c r="BK131" i="1"/>
  <c r="BK132" i="1"/>
  <c r="BK106" i="1"/>
  <c r="BK86" i="1"/>
  <c r="BK93" i="1"/>
  <c r="BK77" i="1"/>
  <c r="BK128" i="1"/>
  <c r="BK127" i="1"/>
  <c r="BK221" i="1"/>
  <c r="BK121" i="1"/>
  <c r="BK94" i="1"/>
  <c r="BK89" i="1"/>
  <c r="BK137" i="1"/>
  <c r="BK124" i="1"/>
  <c r="BK125" i="1"/>
  <c r="BK135" i="1"/>
  <c r="BK71" i="1"/>
  <c r="BK136" i="1"/>
  <c r="BK138" i="1"/>
  <c r="BK78" i="1"/>
  <c r="BK75" i="1"/>
  <c r="BK76" i="1"/>
  <c r="BK133" i="1"/>
  <c r="BK70" i="1"/>
  <c r="BK134" i="1"/>
  <c r="BK151" i="1"/>
  <c r="BK80" i="1"/>
  <c r="BK152" i="1"/>
  <c r="BK129" i="1"/>
  <c r="BK130" i="1"/>
  <c r="BK144" i="1"/>
  <c r="BK87" i="1"/>
  <c r="BK150" i="1"/>
  <c r="BK82" i="1"/>
  <c r="BK141" i="1"/>
  <c r="BK148" i="1"/>
  <c r="BK149" i="1"/>
  <c r="BK79" i="1"/>
  <c r="BK154" i="1"/>
  <c r="BK159" i="1"/>
  <c r="BK160" i="1"/>
  <c r="BK153" i="1"/>
  <c r="BK161" i="1"/>
  <c r="BK162" i="1"/>
  <c r="BK157" i="1"/>
  <c r="BK158" i="1"/>
  <c r="BK163" i="1"/>
  <c r="BK143" i="1"/>
  <c r="BK81" i="1"/>
  <c r="BK139" i="1"/>
  <c r="BK145" i="1"/>
  <c r="BK146" i="1"/>
  <c r="BK147" i="1"/>
  <c r="BK165" i="1"/>
  <c r="BK166" i="1"/>
  <c r="BK142" i="1"/>
  <c r="BK156" i="1"/>
  <c r="BK140" i="1"/>
  <c r="BK167" i="1"/>
  <c r="BK88" i="1"/>
  <c r="BK170" i="1"/>
  <c r="BK90" i="1"/>
  <c r="BK168" i="1"/>
  <c r="BK171" i="1"/>
  <c r="BK172" i="1"/>
  <c r="BK155" i="1"/>
  <c r="BK164" i="1"/>
  <c r="BK173" i="1"/>
  <c r="BK169" i="1"/>
  <c r="BK237" i="1"/>
  <c r="BK233" i="1"/>
  <c r="BK231" i="1"/>
  <c r="BK241" i="1"/>
  <c r="BK238" i="1"/>
  <c r="BK227" i="1"/>
  <c r="BK218" i="1"/>
  <c r="BK226" i="1"/>
  <c r="BK245" i="1"/>
  <c r="BK180" i="1"/>
  <c r="BK247" i="1"/>
  <c r="BK211" i="1"/>
  <c r="BK235" i="1"/>
  <c r="BK232" i="1"/>
  <c r="BK244" i="1"/>
  <c r="BK228" i="1"/>
  <c r="BK253" i="1"/>
  <c r="BK236" i="1"/>
  <c r="BK257" i="1"/>
  <c r="BK260" i="1"/>
  <c r="BK254" i="1"/>
  <c r="BK182" i="1"/>
  <c r="BK181" i="1"/>
  <c r="BK220" i="1"/>
  <c r="BK266" i="1"/>
  <c r="BK219" i="1"/>
  <c r="BK176" i="1"/>
  <c r="BK267" i="1"/>
  <c r="BK262" i="1"/>
  <c r="BK177" i="1"/>
  <c r="BK246" i="1"/>
  <c r="BK251" i="1"/>
  <c r="BK225" i="1"/>
  <c r="BK261" i="1"/>
  <c r="BK258" i="1"/>
  <c r="BK256" i="1"/>
  <c r="BK243" i="1"/>
  <c r="BK242" i="1"/>
  <c r="BK259" i="1"/>
  <c r="BK200" i="1"/>
  <c r="BK202" i="1"/>
  <c r="BK234" i="1"/>
  <c r="BK255" i="1"/>
  <c r="BK271" i="1"/>
  <c r="BK230" i="1"/>
  <c r="BK276" i="1"/>
  <c r="BK277" i="1"/>
  <c r="BK178" i="1"/>
  <c r="BK273" i="1"/>
  <c r="BK284" i="1"/>
  <c r="BK252" i="1"/>
  <c r="BK281" i="1"/>
  <c r="BK248" i="1"/>
  <c r="BK249" i="1"/>
  <c r="BK250" i="1"/>
  <c r="BK204" i="1"/>
  <c r="BK269" i="1"/>
  <c r="BK239" i="1"/>
  <c r="BK265" i="1"/>
  <c r="BK275" i="1"/>
  <c r="BK268" i="1"/>
  <c r="BK214" i="1"/>
  <c r="BK184" i="1"/>
  <c r="BK187" i="1"/>
  <c r="BK188" i="1"/>
  <c r="BK189" i="1"/>
  <c r="BK190" i="1"/>
  <c r="BK191" i="1"/>
  <c r="BK192" i="1"/>
  <c r="BK193" i="1"/>
  <c r="BK194" i="1"/>
  <c r="BK195" i="1"/>
  <c r="BK196" i="1"/>
  <c r="BK197" i="1"/>
  <c r="BK198" i="1"/>
  <c r="BK282" i="1"/>
  <c r="BK283" i="1"/>
  <c r="BK201" i="1"/>
  <c r="BK263" i="1"/>
  <c r="BK272" i="1"/>
  <c r="BK217" i="1"/>
  <c r="BK223" i="1"/>
  <c r="BK205" i="1"/>
  <c r="BK288" i="1"/>
  <c r="BK291" i="1"/>
  <c r="BK293" i="1"/>
  <c r="BK229" i="1"/>
  <c r="BK274" i="1"/>
  <c r="BK222" i="1"/>
  <c r="BK295" i="1"/>
  <c r="BK298" i="1"/>
  <c r="BK206" i="1"/>
  <c r="BK212" i="1"/>
  <c r="BK264" i="1"/>
  <c r="BK297" i="1"/>
  <c r="BK290" i="1"/>
  <c r="BK296" i="1"/>
  <c r="BK224" i="1"/>
  <c r="BK208" i="1"/>
  <c r="BK279" i="1"/>
  <c r="BK280" i="1"/>
  <c r="BK270" i="1"/>
  <c r="BK216" i="1"/>
  <c r="BK199" i="1"/>
  <c r="BK183" i="1"/>
  <c r="BK207" i="1"/>
  <c r="BK179" i="1"/>
  <c r="BK286" i="1"/>
  <c r="BK213" i="1"/>
  <c r="BK278" i="1"/>
  <c r="BK303" i="1"/>
  <c r="BK300" i="1"/>
  <c r="BK240" i="1"/>
  <c r="BK203" i="1"/>
  <c r="BK299" i="1"/>
  <c r="BK209" i="1"/>
  <c r="BK302" i="1"/>
  <c r="BK292" i="1"/>
  <c r="BK294" i="1"/>
  <c r="BK289" i="1"/>
  <c r="BK287" i="1"/>
  <c r="BK285" i="1"/>
  <c r="BK215" i="1"/>
  <c r="BK304" i="1"/>
  <c r="BK301" i="1"/>
  <c r="BK305" i="1"/>
  <c r="BK210" i="1"/>
  <c r="BK18" i="1"/>
  <c r="I344" i="18"/>
  <c r="I329" i="18"/>
  <c r="J309" i="18"/>
  <c r="D182" i="18"/>
  <c r="D181" i="18"/>
  <c r="H155" i="18"/>
  <c r="D183" i="18" s="1"/>
  <c r="G155" i="18"/>
  <c r="F152" i="18"/>
  <c r="G152" i="18" s="1"/>
  <c r="F151" i="18"/>
  <c r="H151" i="18" s="1"/>
  <c r="F150" i="18"/>
  <c r="H150" i="18" s="1"/>
  <c r="F149" i="18"/>
  <c r="H149" i="18" s="1"/>
  <c r="F148" i="18"/>
  <c r="G148" i="18" s="1"/>
  <c r="F147" i="18"/>
  <c r="I138" i="18"/>
  <c r="M138" i="18" s="1"/>
  <c r="I137" i="18"/>
  <c r="K137" i="18" s="1"/>
  <c r="I136" i="18"/>
  <c r="K136" i="18" s="1"/>
  <c r="I135" i="18"/>
  <c r="M135" i="18" s="1"/>
  <c r="I134" i="18"/>
  <c r="M134" i="18" s="1"/>
  <c r="I133" i="18"/>
  <c r="M133" i="18" s="1"/>
  <c r="H107" i="18"/>
  <c r="G107" i="18" s="1"/>
  <c r="H106" i="18"/>
  <c r="G106" i="18" s="1"/>
  <c r="H105" i="18"/>
  <c r="E105" i="18" s="1"/>
  <c r="H104" i="18"/>
  <c r="G104" i="18" s="1"/>
  <c r="H103" i="18"/>
  <c r="G103" i="18" s="1"/>
  <c r="G102" i="18"/>
  <c r="E102" i="18"/>
  <c r="H101" i="18"/>
  <c r="G101" i="18" s="1"/>
  <c r="H100" i="18"/>
  <c r="G100" i="18" s="1"/>
  <c r="H99" i="18"/>
  <c r="G99" i="18" s="1"/>
  <c r="H98" i="18"/>
  <c r="E98" i="18" s="1"/>
  <c r="H97" i="18"/>
  <c r="G97" i="18" s="1"/>
  <c r="H96" i="18"/>
  <c r="G96" i="18" s="1"/>
  <c r="H95" i="18"/>
  <c r="G95" i="18" s="1"/>
  <c r="H94" i="18"/>
  <c r="E94" i="18" s="1"/>
  <c r="H93" i="18"/>
  <c r="G93" i="18" s="1"/>
  <c r="H92" i="18"/>
  <c r="G92" i="18" s="1"/>
  <c r="G91" i="18"/>
  <c r="E91" i="18"/>
  <c r="H46" i="18"/>
  <c r="H50" i="18"/>
  <c r="H52" i="18"/>
  <c r="H49" i="18"/>
  <c r="H48" i="18"/>
  <c r="E107" i="18" l="1"/>
  <c r="G98" i="18"/>
  <c r="E104" i="18"/>
  <c r="K135" i="18"/>
  <c r="G149" i="18"/>
  <c r="G94" i="18"/>
  <c r="E96" i="18"/>
  <c r="D82" i="18"/>
  <c r="K8" i="18"/>
  <c r="M136" i="18"/>
  <c r="H148" i="18"/>
  <c r="H152" i="18"/>
  <c r="D180" i="18" s="1"/>
  <c r="E101" i="18"/>
  <c r="K134" i="18"/>
  <c r="E93" i="18"/>
  <c r="E97" i="18"/>
  <c r="G105" i="18"/>
  <c r="K138" i="18"/>
  <c r="I117" i="18"/>
  <c r="I119" i="18"/>
  <c r="H223" i="18"/>
  <c r="G249" i="18"/>
  <c r="J307" i="18"/>
  <c r="F344" i="18"/>
  <c r="J342" i="18"/>
  <c r="L358" i="18"/>
  <c r="J336" i="18"/>
  <c r="E344" i="18"/>
  <c r="H249" i="18"/>
  <c r="J321" i="18"/>
  <c r="E329" i="18"/>
  <c r="I374" i="18"/>
  <c r="L357" i="18"/>
  <c r="L363" i="18"/>
  <c r="L368" i="18"/>
  <c r="J325" i="18"/>
  <c r="F156" i="18"/>
  <c r="H156" i="18" s="1"/>
  <c r="D184" i="18" s="1"/>
  <c r="J311" i="18"/>
  <c r="F329" i="18"/>
  <c r="J327" i="18"/>
  <c r="J338" i="18"/>
  <c r="L367" i="18"/>
  <c r="L372" i="18"/>
  <c r="L364" i="18"/>
  <c r="L370" i="18"/>
  <c r="L369" i="18"/>
  <c r="G329" i="18"/>
  <c r="L356" i="18"/>
  <c r="L360" i="18"/>
  <c r="L366" i="18"/>
  <c r="F223" i="18"/>
  <c r="K374" i="18"/>
  <c r="G223" i="18"/>
  <c r="J374" i="18"/>
  <c r="H108" i="18"/>
  <c r="E120" i="18"/>
  <c r="E140" i="18" s="1"/>
  <c r="I116" i="18"/>
  <c r="I118" i="18"/>
  <c r="H329" i="18"/>
  <c r="J323" i="18"/>
  <c r="L365" i="18"/>
  <c r="F374" i="18"/>
  <c r="F249" i="18"/>
  <c r="L361" i="18"/>
  <c r="G120" i="18"/>
  <c r="G140" i="18" s="1"/>
  <c r="J340" i="18"/>
  <c r="L359" i="18"/>
  <c r="L362" i="18"/>
  <c r="L371" i="18"/>
  <c r="E99" i="18"/>
  <c r="M137" i="18"/>
  <c r="H147" i="18"/>
  <c r="G150" i="18"/>
  <c r="E92" i="18"/>
  <c r="E100" i="18"/>
  <c r="E103" i="18"/>
  <c r="K133" i="18"/>
  <c r="G151" i="18"/>
  <c r="G147" i="18"/>
  <c r="E95" i="18"/>
  <c r="E106" i="18"/>
  <c r="J329" i="18" l="1"/>
  <c r="L374" i="18"/>
  <c r="M29" i="18"/>
  <c r="M15" i="18"/>
  <c r="F159" i="18"/>
  <c r="D83" i="18"/>
  <c r="J344" i="18"/>
  <c r="E345" i="18" s="1"/>
  <c r="F158" i="18"/>
  <c r="G156" i="18"/>
  <c r="G141" i="18"/>
  <c r="I140" i="18"/>
  <c r="I141" i="18" s="1"/>
  <c r="E141" i="18"/>
  <c r="G108" i="18"/>
  <c r="H110" i="18"/>
  <c r="E108" i="18"/>
  <c r="L8" i="18"/>
  <c r="F330" i="18"/>
  <c r="I120" i="18"/>
  <c r="J119" i="18" s="1"/>
  <c r="G159" i="18" l="1"/>
  <c r="H159" i="18"/>
  <c r="K140" i="18"/>
  <c r="H339" i="18"/>
  <c r="E337" i="18"/>
  <c r="G330" i="18"/>
  <c r="H316" i="18"/>
  <c r="F314" i="18"/>
  <c r="G314" i="18"/>
  <c r="H314" i="18"/>
  <c r="E312" i="18"/>
  <c r="I314" i="18"/>
  <c r="J314" i="18"/>
  <c r="E314" i="18"/>
  <c r="M140" i="18"/>
  <c r="G110" i="18"/>
  <c r="E110" i="18"/>
  <c r="G345" i="18"/>
  <c r="F316" i="18"/>
  <c r="G316" i="18"/>
  <c r="E121" i="18"/>
  <c r="J116" i="18"/>
  <c r="I341" i="18"/>
  <c r="I339" i="18"/>
  <c r="H343" i="18"/>
  <c r="I343" i="18"/>
  <c r="I337" i="18"/>
  <c r="F337" i="18"/>
  <c r="F339" i="18"/>
  <c r="E343" i="18"/>
  <c r="G337" i="18"/>
  <c r="F343" i="18"/>
  <c r="F341" i="18"/>
  <c r="G339" i="18"/>
  <c r="I345" i="18"/>
  <c r="E341" i="18"/>
  <c r="E339" i="18"/>
  <c r="H341" i="18"/>
  <c r="G343" i="18"/>
  <c r="G341" i="18"/>
  <c r="H337" i="18"/>
  <c r="K139" i="18"/>
  <c r="H345" i="18"/>
  <c r="G121" i="18"/>
  <c r="J118" i="18"/>
  <c r="F345" i="18"/>
  <c r="J117" i="18"/>
  <c r="F310" i="18"/>
  <c r="H310" i="18"/>
  <c r="E310" i="18"/>
  <c r="I316" i="18"/>
  <c r="I312" i="18"/>
  <c r="G310" i="18"/>
  <c r="I308" i="18"/>
  <c r="I310" i="18"/>
  <c r="G312" i="18"/>
  <c r="H308" i="18"/>
  <c r="F312" i="18"/>
  <c r="E308" i="18"/>
  <c r="H312" i="18"/>
  <c r="F308" i="18"/>
  <c r="G308" i="18"/>
  <c r="I324" i="18"/>
  <c r="G328" i="18"/>
  <c r="I322" i="18"/>
  <c r="I328" i="18"/>
  <c r="H328" i="18"/>
  <c r="I326" i="18"/>
  <c r="E322" i="18"/>
  <c r="G324" i="18"/>
  <c r="H326" i="18"/>
  <c r="E324" i="18"/>
  <c r="E326" i="18"/>
  <c r="E328" i="18"/>
  <c r="F322" i="18"/>
  <c r="H322" i="18"/>
  <c r="G322" i="18"/>
  <c r="F324" i="18"/>
  <c r="I330" i="18"/>
  <c r="F326" i="18"/>
  <c r="H324" i="18"/>
  <c r="F328" i="18"/>
  <c r="G326" i="18"/>
  <c r="H330" i="18"/>
  <c r="E316" i="18"/>
  <c r="E330" i="18"/>
  <c r="J308" i="18" l="1"/>
  <c r="J310" i="18"/>
  <c r="J120" i="18"/>
  <c r="J339" i="18"/>
  <c r="M139" i="18"/>
  <c r="G142" i="18"/>
  <c r="J326" i="18"/>
  <c r="J345" i="18"/>
  <c r="J330" i="18"/>
  <c r="E142" i="18"/>
  <c r="J341" i="18"/>
  <c r="J337" i="18"/>
  <c r="J316" i="18"/>
  <c r="J312" i="18"/>
  <c r="J322" i="18"/>
  <c r="J324" i="18"/>
  <c r="J328" i="18"/>
  <c r="J343" i="18"/>
  <c r="M20" i="18" l="1"/>
  <c r="AE8" i="16"/>
  <c r="AH8" i="16" l="1"/>
  <c r="AI8" i="16"/>
  <c r="K16" i="17"/>
  <c r="L16" i="17" s="1"/>
  <c r="M16" i="17" s="1"/>
  <c r="N16" i="17" s="1"/>
  <c r="O16" i="17" s="1"/>
  <c r="P16" i="17" s="1"/>
  <c r="Q16" i="17" s="1"/>
  <c r="R16" i="17" s="1"/>
  <c r="S16" i="17" s="1"/>
  <c r="T16" i="17" s="1"/>
  <c r="U16" i="17" s="1"/>
  <c r="V16" i="17" s="1"/>
  <c r="W16" i="17" s="1"/>
  <c r="X16" i="17" s="1"/>
  <c r="Y16" i="17" s="1"/>
  <c r="Z16" i="17" s="1"/>
  <c r="D16" i="17"/>
  <c r="E16" i="17" s="1"/>
  <c r="F16" i="17" s="1"/>
  <c r="G16" i="17" s="1"/>
  <c r="H16" i="17" s="1"/>
  <c r="I14" i="17"/>
  <c r="I17" i="17" s="1"/>
  <c r="D14" i="17"/>
  <c r="E14" i="17" s="1"/>
  <c r="J14" i="17"/>
  <c r="K14" i="17" s="1"/>
  <c r="L14" i="17" s="1"/>
  <c r="O10" i="17"/>
  <c r="P10" i="17" s="1"/>
  <c r="Q10" i="17" s="1"/>
  <c r="R10" i="17" s="1"/>
  <c r="S10" i="17" s="1"/>
  <c r="T10" i="17" s="1"/>
  <c r="U10" i="17" s="1"/>
  <c r="V10" i="17" s="1"/>
  <c r="W10" i="17" s="1"/>
  <c r="X10" i="17" s="1"/>
  <c r="Y10" i="17" s="1"/>
  <c r="Z10" i="17" s="1"/>
  <c r="N8" i="17"/>
  <c r="O8" i="17" s="1"/>
  <c r="P8" i="17" s="1"/>
  <c r="Q8" i="17" s="1"/>
  <c r="R8" i="17" s="1"/>
  <c r="S8" i="17" s="1"/>
  <c r="T8" i="17" s="1"/>
  <c r="U8" i="17" s="1"/>
  <c r="K6" i="17"/>
  <c r="L6" i="17" s="1"/>
  <c r="M6" i="17" s="1"/>
  <c r="N6" i="17" s="1"/>
  <c r="O6" i="17" s="1"/>
  <c r="P6" i="17" s="1"/>
  <c r="Q6" i="17" s="1"/>
  <c r="R6" i="17" s="1"/>
  <c r="E6" i="17"/>
  <c r="F6" i="17" s="1"/>
  <c r="G6" i="17" s="1"/>
  <c r="H6" i="17" s="1"/>
  <c r="AQ8" i="16" l="1"/>
  <c r="J17" i="17"/>
  <c r="F14" i="17"/>
  <c r="E17" i="17"/>
  <c r="D17" i="17"/>
  <c r="G14" i="17" l="1"/>
  <c r="F17" i="17"/>
  <c r="K17" i="17"/>
  <c r="M34" i="18" s="1"/>
  <c r="M35" i="18" s="1"/>
  <c r="M36" i="18" l="1"/>
  <c r="M37" i="18" s="1"/>
  <c r="M14" i="17"/>
  <c r="L17" i="17"/>
  <c r="G17" i="17"/>
  <c r="H14" i="17"/>
  <c r="H17" i="17" s="1"/>
  <c r="N14" i="17" l="1"/>
  <c r="M17" i="17"/>
  <c r="O14" i="17" l="1"/>
  <c r="N17" i="17"/>
  <c r="O17" i="17" l="1"/>
  <c r="P14" i="17"/>
  <c r="P17" i="17" l="1"/>
  <c r="Q14" i="17"/>
  <c r="R14" i="17" s="1"/>
  <c r="Q17" i="17" l="1"/>
  <c r="R17" i="17" l="1"/>
  <c r="S14" i="17"/>
  <c r="T14" i="17" l="1"/>
  <c r="S17" i="17"/>
  <c r="U14" i="17" l="1"/>
  <c r="T17" i="17"/>
  <c r="V14" i="17" l="1"/>
  <c r="U17" i="17"/>
  <c r="W14" i="17" l="1"/>
  <c r="V17" i="17"/>
  <c r="W17" i="17" l="1"/>
  <c r="X14" i="17"/>
  <c r="X17" i="17" l="1"/>
  <c r="Y14" i="17"/>
  <c r="Y17" i="17" l="1"/>
  <c r="Z14" i="17"/>
  <c r="Z17" i="17" s="1"/>
  <c r="AJ7" i="16" l="1"/>
  <c r="AK7" i="16"/>
  <c r="AI7" i="16"/>
  <c r="S2" i="16"/>
  <c r="Z2" i="16" s="1"/>
  <c r="AE2" i="16" s="1"/>
  <c r="V6" i="16" l="1"/>
  <c r="AA4" i="16"/>
  <c r="AE4" i="16" s="1"/>
  <c r="S3" i="16"/>
  <c r="Z3" i="16" s="1"/>
  <c r="AE3" i="16" s="1"/>
  <c r="AA6" i="16" l="1"/>
  <c r="AE6" i="16" s="1"/>
  <c r="AQ7" i="16"/>
  <c r="AQ4" i="16"/>
  <c r="AQ3" i="16"/>
  <c r="AQ5" i="16"/>
  <c r="AQ6" i="16" l="1"/>
  <c r="H51" i="18" s="1"/>
  <c r="Q51" i="18" l="1"/>
  <c r="Q54" i="18" s="1"/>
  <c r="H53" i="18"/>
  <c r="AI305" i="1"/>
  <c r="AR305" i="1" s="1"/>
  <c r="AR210" i="1"/>
  <c r="AI287" i="1"/>
  <c r="AI285" i="1"/>
  <c r="AI215" i="1"/>
  <c r="AI304" i="1"/>
  <c r="AI301" i="1"/>
  <c r="Y289" i="1"/>
  <c r="Y287" i="1"/>
  <c r="Y285" i="1"/>
  <c r="Y215" i="1"/>
  <c r="Y304" i="1"/>
  <c r="Y301" i="1"/>
  <c r="M21" i="18" l="1"/>
  <c r="M38" i="18"/>
  <c r="AR301" i="1"/>
  <c r="AR215" i="1"/>
  <c r="AR304" i="1"/>
  <c r="AR285" i="1"/>
  <c r="AR287" i="1"/>
  <c r="M39" i="18" l="1"/>
  <c r="M40" i="18"/>
  <c r="M23" i="18"/>
  <c r="M22" i="18"/>
  <c r="AI75" i="1"/>
  <c r="Y75" i="1"/>
  <c r="AR75" i="1" l="1"/>
  <c r="AI129" i="1"/>
  <c r="Y129" i="1"/>
  <c r="AI113" i="1"/>
  <c r="AI289" i="1"/>
  <c r="AR289" i="1" s="1"/>
  <c r="AR129" i="1" l="1"/>
  <c r="AI69" i="1"/>
  <c r="Y69" i="1"/>
  <c r="Y21" i="1"/>
  <c r="AI22" i="1"/>
  <c r="Y22" i="1"/>
  <c r="AI21" i="1"/>
  <c r="AR69" i="1" l="1"/>
  <c r="AT69" i="1" s="1"/>
  <c r="AR21" i="1"/>
  <c r="AT21" i="1" s="1"/>
  <c r="AR22" i="1"/>
  <c r="AT22" i="1" s="1"/>
  <c r="AI61" i="1"/>
  <c r="Y61" i="1"/>
  <c r="AI31" i="1"/>
  <c r="Y31" i="1"/>
  <c r="AI188" i="1"/>
  <c r="Y188" i="1"/>
  <c r="AI189" i="1"/>
  <c r="Y189" i="1"/>
  <c r="AI190" i="1"/>
  <c r="Y190" i="1"/>
  <c r="AI191" i="1"/>
  <c r="Y191" i="1"/>
  <c r="AI192" i="1"/>
  <c r="Y192" i="1"/>
  <c r="AI187" i="1"/>
  <c r="Y187" i="1"/>
  <c r="AI193" i="1"/>
  <c r="Y193" i="1"/>
  <c r="AI186" i="1"/>
  <c r="Y186" i="1"/>
  <c r="AI185" i="1"/>
  <c r="Y185" i="1"/>
  <c r="AI194" i="1"/>
  <c r="Y194" i="1"/>
  <c r="Y195" i="1"/>
  <c r="AI196" i="1"/>
  <c r="Y196" i="1"/>
  <c r="AI197" i="1"/>
  <c r="Y197" i="1"/>
  <c r="AI145" i="1"/>
  <c r="Y145" i="1"/>
  <c r="Y250" i="1"/>
  <c r="Y249" i="1"/>
  <c r="Y248" i="1"/>
  <c r="AI249" i="1"/>
  <c r="AI84" i="1"/>
  <c r="AI92" i="1"/>
  <c r="AI95" i="1"/>
  <c r="AI96" i="1"/>
  <c r="AI13" i="1"/>
  <c r="AI19" i="1"/>
  <c r="AI97" i="1"/>
  <c r="AI91" i="1"/>
  <c r="AI20" i="1"/>
  <c r="AI85" i="1"/>
  <c r="AI23" i="1"/>
  <c r="AI98" i="1"/>
  <c r="AI99" i="1"/>
  <c r="AI100" i="1"/>
  <c r="AI101" i="1"/>
  <c r="AI70" i="1"/>
  <c r="AI102" i="1"/>
  <c r="AI103" i="1"/>
  <c r="AI72" i="1"/>
  <c r="AI24" i="1"/>
  <c r="AI25" i="1"/>
  <c r="AI26" i="1"/>
  <c r="AI104" i="1"/>
  <c r="AI179" i="1"/>
  <c r="AI105" i="1"/>
  <c r="AI73" i="1"/>
  <c r="AI74" i="1"/>
  <c r="AI106" i="1"/>
  <c r="AI224" i="1"/>
  <c r="AI107" i="1"/>
  <c r="AI108" i="1"/>
  <c r="AI109" i="1"/>
  <c r="AI110" i="1"/>
  <c r="AI111" i="1"/>
  <c r="AI112" i="1"/>
  <c r="AI114" i="1"/>
  <c r="AI225" i="1"/>
  <c r="AI226" i="1"/>
  <c r="AI227" i="1"/>
  <c r="AI115" i="1"/>
  <c r="AI116" i="1"/>
  <c r="AI117" i="1"/>
  <c r="AI118" i="1"/>
  <c r="AI27" i="1"/>
  <c r="AI119" i="1"/>
  <c r="AI28" i="1"/>
  <c r="AI120" i="1"/>
  <c r="AI121" i="1"/>
  <c r="AI3" i="1"/>
  <c r="AI76" i="1"/>
  <c r="AI122" i="1"/>
  <c r="AI123" i="1"/>
  <c r="AI228" i="1"/>
  <c r="AI229" i="1"/>
  <c r="AI29" i="1"/>
  <c r="AI86" i="1"/>
  <c r="AI4" i="1"/>
  <c r="AI124" i="1"/>
  <c r="AI125" i="1"/>
  <c r="AI126" i="1"/>
  <c r="AI127" i="1"/>
  <c r="AI30" i="1"/>
  <c r="AI11" i="1"/>
  <c r="AI128" i="1"/>
  <c r="AI32" i="1"/>
  <c r="AI130" i="1"/>
  <c r="AI5" i="1"/>
  <c r="AI93" i="1"/>
  <c r="AI6" i="1"/>
  <c r="AI131" i="1"/>
  <c r="AI230" i="1"/>
  <c r="AI33" i="1"/>
  <c r="AI34" i="1"/>
  <c r="AI132" i="1"/>
  <c r="AI7" i="1"/>
  <c r="AI231" i="1"/>
  <c r="AI232" i="1"/>
  <c r="AI233" i="1"/>
  <c r="AI94" i="1"/>
  <c r="AI8" i="1"/>
  <c r="AI234" i="1"/>
  <c r="AI77" i="1"/>
  <c r="AI35" i="1"/>
  <c r="AI180" i="1"/>
  <c r="AI235" i="1"/>
  <c r="AI133" i="1"/>
  <c r="AI36" i="1"/>
  <c r="AI37" i="1"/>
  <c r="AI89" i="1"/>
  <c r="AI134" i="1"/>
  <c r="AI38" i="1"/>
  <c r="AI236" i="1"/>
  <c r="AI135" i="1"/>
  <c r="AI136" i="1"/>
  <c r="AI39" i="1"/>
  <c r="AI137" i="1"/>
  <c r="AI2" i="1"/>
  <c r="AI237" i="1"/>
  <c r="AI213" i="1"/>
  <c r="AI218" i="1"/>
  <c r="AI71" i="1"/>
  <c r="AI138" i="1"/>
  <c r="AI40" i="1"/>
  <c r="AI41" i="1"/>
  <c r="AI181" i="1"/>
  <c r="AI238" i="1"/>
  <c r="AI239" i="1"/>
  <c r="AI240" i="1"/>
  <c r="AI42" i="1"/>
  <c r="AI241" i="1"/>
  <c r="AI139" i="1"/>
  <c r="AI242" i="1"/>
  <c r="AI140" i="1"/>
  <c r="AI142" i="1"/>
  <c r="AI243" i="1"/>
  <c r="AI182" i="1"/>
  <c r="AI143" i="1"/>
  <c r="AI79" i="1"/>
  <c r="AI244" i="1"/>
  <c r="AI245" i="1"/>
  <c r="AI246" i="1"/>
  <c r="AI43" i="1"/>
  <c r="AI211" i="1"/>
  <c r="AI144" i="1"/>
  <c r="AI44" i="1"/>
  <c r="AI247" i="1"/>
  <c r="AI248" i="1"/>
  <c r="AI250" i="1"/>
  <c r="AI251" i="1"/>
  <c r="AI45" i="1"/>
  <c r="AI252" i="1"/>
  <c r="AI253" i="1"/>
  <c r="AI254" i="1"/>
  <c r="AI146" i="1"/>
  <c r="AI147" i="1"/>
  <c r="AI148" i="1"/>
  <c r="AI46" i="1"/>
  <c r="AI149" i="1"/>
  <c r="AI80" i="1"/>
  <c r="AI47" i="1"/>
  <c r="AI48" i="1"/>
  <c r="AI220" i="1"/>
  <c r="AI87" i="1"/>
  <c r="AI150" i="1"/>
  <c r="AI151" i="1"/>
  <c r="AI255" i="1"/>
  <c r="AI256" i="1"/>
  <c r="AI214" i="1"/>
  <c r="AI49" i="1"/>
  <c r="AI50" i="1"/>
  <c r="AI257" i="1"/>
  <c r="AI258" i="1"/>
  <c r="AI51" i="1"/>
  <c r="AI259" i="1"/>
  <c r="AI152" i="1"/>
  <c r="AI153" i="1"/>
  <c r="AI260" i="1"/>
  <c r="AI261" i="1"/>
  <c r="AI52" i="1"/>
  <c r="AI53" i="1"/>
  <c r="AI262" i="1"/>
  <c r="AI154" i="1"/>
  <c r="AI54" i="1"/>
  <c r="AI263" i="1"/>
  <c r="AI264" i="1"/>
  <c r="AI265" i="1"/>
  <c r="AI176" i="1"/>
  <c r="AI266" i="1"/>
  <c r="AI55" i="1"/>
  <c r="AI267" i="1"/>
  <c r="AI183" i="1"/>
  <c r="AI177" i="1"/>
  <c r="AI219" i="1"/>
  <c r="AI184" i="1"/>
  <c r="AI198" i="1"/>
  <c r="AI81" i="1"/>
  <c r="AI155" i="1"/>
  <c r="AI199" i="1"/>
  <c r="AI268" i="1"/>
  <c r="AI12" i="1"/>
  <c r="AI200" i="1"/>
  <c r="AI82" i="1"/>
  <c r="AI269" i="1"/>
  <c r="AI156" i="1"/>
  <c r="AI157" i="1"/>
  <c r="AI270" i="1"/>
  <c r="AI271" i="1"/>
  <c r="AI201" i="1"/>
  <c r="AI202" i="1"/>
  <c r="AI56" i="1"/>
  <c r="AI57" i="1"/>
  <c r="AI158" i="1"/>
  <c r="AI272" i="1"/>
  <c r="AI58" i="1"/>
  <c r="AI59" i="1"/>
  <c r="AI14" i="1"/>
  <c r="AI17" i="1"/>
  <c r="AI159" i="1"/>
  <c r="AI90" i="1"/>
  <c r="AI273" i="1"/>
  <c r="AI274" i="1"/>
  <c r="AI161" i="1"/>
  <c r="AI60" i="1"/>
  <c r="AI275" i="1"/>
  <c r="AI178" i="1"/>
  <c r="AI9" i="1"/>
  <c r="AI276" i="1"/>
  <c r="AI162" i="1"/>
  <c r="AI277" i="1"/>
  <c r="AI278" i="1"/>
  <c r="AI279" i="1"/>
  <c r="AI280" i="1"/>
  <c r="AI281" i="1"/>
  <c r="AI222" i="1"/>
  <c r="AI203" i="1"/>
  <c r="AI282" i="1"/>
  <c r="AI283" i="1"/>
  <c r="AI284" i="1"/>
  <c r="AI204" i="1"/>
  <c r="AI223" i="1"/>
  <c r="AI62" i="1"/>
  <c r="AI163" i="1"/>
  <c r="AI286" i="1"/>
  <c r="AI164" i="1"/>
  <c r="AI10" i="1"/>
  <c r="AI205" i="1"/>
  <c r="AI288" i="1"/>
  <c r="AI165" i="1"/>
  <c r="AI206" i="1"/>
  <c r="AI63" i="1"/>
  <c r="AI290" i="1"/>
  <c r="AI166" i="1"/>
  <c r="AI16" i="1"/>
  <c r="AI167" i="1"/>
  <c r="AI64" i="1"/>
  <c r="AI217" i="1"/>
  <c r="AI291" i="1"/>
  <c r="AI292" i="1"/>
  <c r="AI293" i="1"/>
  <c r="AI168" i="1"/>
  <c r="AI294" i="1"/>
  <c r="AI169" i="1"/>
  <c r="AI65" i="1"/>
  <c r="AI141" i="1"/>
  <c r="AI66" i="1"/>
  <c r="AI295" i="1"/>
  <c r="AI88" i="1"/>
  <c r="AI296" i="1"/>
  <c r="AI170" i="1"/>
  <c r="AI297" i="1"/>
  <c r="AI298" i="1"/>
  <c r="AI207" i="1"/>
  <c r="AI212" i="1"/>
  <c r="AI67" i="1"/>
  <c r="AI208" i="1"/>
  <c r="AI216" i="1"/>
  <c r="AI171" i="1"/>
  <c r="AI172" i="1"/>
  <c r="AI299" i="1"/>
  <c r="AI209" i="1"/>
  <c r="AI15" i="1"/>
  <c r="AI160" i="1"/>
  <c r="AI300" i="1"/>
  <c r="AI302" i="1"/>
  <c r="AI303" i="1"/>
  <c r="AI173" i="1"/>
  <c r="AI68" i="1"/>
  <c r="Y109" i="1"/>
  <c r="AR61" i="1" l="1"/>
  <c r="AT61" i="1" s="1"/>
  <c r="AR31" i="1"/>
  <c r="AT31" i="1" s="1"/>
  <c r="AR188" i="1"/>
  <c r="AR192" i="1"/>
  <c r="AR189" i="1"/>
  <c r="AR191" i="1"/>
  <c r="AR190" i="1"/>
  <c r="AR193" i="1"/>
  <c r="AR187" i="1"/>
  <c r="AR186" i="1"/>
  <c r="AR185" i="1"/>
  <c r="AR194" i="1"/>
  <c r="AR196" i="1"/>
  <c r="AR195" i="1"/>
  <c r="AR197" i="1"/>
  <c r="AR145" i="1"/>
  <c r="AR249" i="1"/>
  <c r="AR109" i="1"/>
  <c r="AI83" i="1" l="1"/>
  <c r="Y84" i="1"/>
  <c r="Y92" i="1"/>
  <c r="Y95" i="1"/>
  <c r="Y96" i="1"/>
  <c r="Y18" i="1"/>
  <c r="AR18" i="1" s="1"/>
  <c r="Y13" i="1"/>
  <c r="Y19" i="1"/>
  <c r="Y97" i="1"/>
  <c r="Y91" i="1"/>
  <c r="Y20" i="1"/>
  <c r="Y85" i="1"/>
  <c r="Y23" i="1"/>
  <c r="Y98" i="1"/>
  <c r="Y99" i="1"/>
  <c r="Y100" i="1"/>
  <c r="Y101" i="1"/>
  <c r="Y70" i="1"/>
  <c r="Y102" i="1"/>
  <c r="Y103" i="1"/>
  <c r="Y72" i="1"/>
  <c r="Y24" i="1"/>
  <c r="Y25" i="1"/>
  <c r="Y26" i="1"/>
  <c r="Y104" i="1"/>
  <c r="Y179" i="1"/>
  <c r="Y105" i="1"/>
  <c r="Y73" i="1"/>
  <c r="Y74" i="1"/>
  <c r="Y106" i="1"/>
  <c r="Y224" i="1"/>
  <c r="Y107" i="1"/>
  <c r="Y108" i="1"/>
  <c r="Y110" i="1"/>
  <c r="Y111" i="1"/>
  <c r="Y112" i="1"/>
  <c r="AR112" i="1" s="1"/>
  <c r="Y113" i="1"/>
  <c r="Y114" i="1"/>
  <c r="Y225" i="1"/>
  <c r="Y226" i="1"/>
  <c r="Y227" i="1"/>
  <c r="Y115" i="1"/>
  <c r="Y116" i="1"/>
  <c r="Y117" i="1"/>
  <c r="Y118" i="1"/>
  <c r="Y27" i="1"/>
  <c r="Y119" i="1"/>
  <c r="Y28" i="1"/>
  <c r="Y120" i="1"/>
  <c r="Y121" i="1"/>
  <c r="Y3" i="1"/>
  <c r="Y76" i="1"/>
  <c r="Y122" i="1"/>
  <c r="Y123" i="1"/>
  <c r="Y228" i="1"/>
  <c r="Y229" i="1"/>
  <c r="Y29" i="1"/>
  <c r="Y86" i="1"/>
  <c r="Y4" i="1"/>
  <c r="Y124" i="1"/>
  <c r="AR124" i="1" s="1"/>
  <c r="Y125" i="1"/>
  <c r="AR125" i="1" s="1"/>
  <c r="Y126" i="1"/>
  <c r="Y127" i="1"/>
  <c r="Y30" i="1"/>
  <c r="Y11" i="1"/>
  <c r="Y128" i="1"/>
  <c r="Y32" i="1"/>
  <c r="Y130" i="1"/>
  <c r="Y5" i="1"/>
  <c r="Y93" i="1"/>
  <c r="Y6" i="1"/>
  <c r="Y131" i="1"/>
  <c r="Y230" i="1"/>
  <c r="Y33" i="1"/>
  <c r="Y34" i="1"/>
  <c r="Y132" i="1"/>
  <c r="Y7" i="1"/>
  <c r="Y231" i="1"/>
  <c r="Y232" i="1"/>
  <c r="Y233" i="1"/>
  <c r="Y94" i="1"/>
  <c r="Y8" i="1"/>
  <c r="Y234" i="1"/>
  <c r="Y77" i="1"/>
  <c r="Y35" i="1"/>
  <c r="Y180" i="1"/>
  <c r="Y235" i="1"/>
  <c r="Y133" i="1"/>
  <c r="Y221" i="1"/>
  <c r="Y36" i="1"/>
  <c r="Y78" i="1"/>
  <c r="Y37" i="1"/>
  <c r="Y89" i="1"/>
  <c r="Y134" i="1"/>
  <c r="Y38" i="1"/>
  <c r="Y236" i="1"/>
  <c r="Y135" i="1"/>
  <c r="Y136" i="1"/>
  <c r="Y39" i="1"/>
  <c r="Y137" i="1"/>
  <c r="Y2" i="1"/>
  <c r="Y237" i="1"/>
  <c r="Y213" i="1"/>
  <c r="Y218" i="1"/>
  <c r="Y71" i="1"/>
  <c r="Y138" i="1"/>
  <c r="Y40" i="1"/>
  <c r="Y41" i="1"/>
  <c r="Y181" i="1"/>
  <c r="Y238" i="1"/>
  <c r="Y239" i="1"/>
  <c r="Y240" i="1"/>
  <c r="Y42" i="1"/>
  <c r="Y241" i="1"/>
  <c r="Y139" i="1"/>
  <c r="Y242" i="1"/>
  <c r="Y140" i="1"/>
  <c r="Y142" i="1"/>
  <c r="Y243" i="1"/>
  <c r="Y182" i="1"/>
  <c r="Y143" i="1"/>
  <c r="Y79" i="1"/>
  <c r="Y244" i="1"/>
  <c r="Y245" i="1"/>
  <c r="Y246" i="1"/>
  <c r="Y43" i="1"/>
  <c r="Y211" i="1"/>
  <c r="Y144" i="1"/>
  <c r="Y44" i="1"/>
  <c r="Y247" i="1"/>
  <c r="Y251" i="1"/>
  <c r="Y45" i="1"/>
  <c r="Y252" i="1"/>
  <c r="Y253" i="1"/>
  <c r="Y254" i="1"/>
  <c r="Y146" i="1"/>
  <c r="Y147" i="1"/>
  <c r="Y148" i="1"/>
  <c r="Y46" i="1"/>
  <c r="Y149" i="1"/>
  <c r="Y80" i="1"/>
  <c r="Y47" i="1"/>
  <c r="Y48" i="1"/>
  <c r="Y220" i="1"/>
  <c r="Y87" i="1"/>
  <c r="Y150" i="1"/>
  <c r="Y151" i="1"/>
  <c r="Y255" i="1"/>
  <c r="Y256" i="1"/>
  <c r="Y214" i="1"/>
  <c r="Y49" i="1"/>
  <c r="Y50" i="1"/>
  <c r="Y257" i="1"/>
  <c r="Y258" i="1"/>
  <c r="Y51" i="1"/>
  <c r="Y259" i="1"/>
  <c r="Y152" i="1"/>
  <c r="Y153" i="1"/>
  <c r="Y260" i="1"/>
  <c r="Y261" i="1"/>
  <c r="Y52" i="1"/>
  <c r="Y53" i="1"/>
  <c r="Y262" i="1"/>
  <c r="Y154" i="1"/>
  <c r="Y54" i="1"/>
  <c r="Y263" i="1"/>
  <c r="Y264" i="1"/>
  <c r="Y265" i="1"/>
  <c r="Y176" i="1"/>
  <c r="Y266" i="1"/>
  <c r="Y55" i="1"/>
  <c r="Y267" i="1"/>
  <c r="Y183" i="1"/>
  <c r="Y177" i="1"/>
  <c r="Y219" i="1"/>
  <c r="Y184" i="1"/>
  <c r="Y198" i="1"/>
  <c r="Y81" i="1"/>
  <c r="Y155" i="1"/>
  <c r="Y199" i="1"/>
  <c r="Y268" i="1"/>
  <c r="Y12" i="1"/>
  <c r="Y200" i="1"/>
  <c r="Y82" i="1"/>
  <c r="Y269" i="1"/>
  <c r="Y156" i="1"/>
  <c r="Y157" i="1"/>
  <c r="Y270" i="1"/>
  <c r="Y271" i="1"/>
  <c r="Y201" i="1"/>
  <c r="Y202" i="1"/>
  <c r="Y56" i="1"/>
  <c r="Y57" i="1"/>
  <c r="Y158" i="1"/>
  <c r="Y272" i="1"/>
  <c r="Y58" i="1"/>
  <c r="Y59" i="1"/>
  <c r="Y14" i="1"/>
  <c r="Y17" i="1"/>
  <c r="Y159" i="1"/>
  <c r="Y90" i="1"/>
  <c r="Y273" i="1"/>
  <c r="Y274" i="1"/>
  <c r="Y161" i="1"/>
  <c r="Y60" i="1"/>
  <c r="Y275" i="1"/>
  <c r="Y178" i="1"/>
  <c r="Y9" i="1"/>
  <c r="Y276" i="1"/>
  <c r="Y162" i="1"/>
  <c r="Y277" i="1"/>
  <c r="Y278" i="1"/>
  <c r="Y279" i="1"/>
  <c r="Y280" i="1"/>
  <c r="Y222" i="1"/>
  <c r="Y203" i="1"/>
  <c r="Y282" i="1"/>
  <c r="Y283" i="1"/>
  <c r="Y284" i="1"/>
  <c r="Y204" i="1"/>
  <c r="Y223" i="1"/>
  <c r="Y62" i="1"/>
  <c r="Y163" i="1"/>
  <c r="Y286" i="1"/>
  <c r="Y164" i="1"/>
  <c r="Y10" i="1"/>
  <c r="Y205" i="1"/>
  <c r="Y288" i="1"/>
  <c r="Y165" i="1"/>
  <c r="Y206" i="1"/>
  <c r="Y63" i="1"/>
  <c r="Y290" i="1"/>
  <c r="Y166" i="1"/>
  <c r="Y16" i="1"/>
  <c r="Y167" i="1"/>
  <c r="Y64" i="1"/>
  <c r="Y217" i="1"/>
  <c r="Y291" i="1"/>
  <c r="Y292" i="1"/>
  <c r="Y293" i="1"/>
  <c r="Y168" i="1"/>
  <c r="Y294" i="1"/>
  <c r="Y169" i="1"/>
  <c r="Y65" i="1"/>
  <c r="Y141" i="1"/>
  <c r="Y66" i="1"/>
  <c r="Y295" i="1"/>
  <c r="Y88" i="1"/>
  <c r="Y296" i="1"/>
  <c r="Y170" i="1"/>
  <c r="Y297" i="1"/>
  <c r="Y298" i="1"/>
  <c r="AR298" i="1" s="1"/>
  <c r="Y207" i="1"/>
  <c r="Y212" i="1"/>
  <c r="AR212" i="1" s="1"/>
  <c r="Y67" i="1"/>
  <c r="Y208" i="1"/>
  <c r="Y216" i="1"/>
  <c r="Y171" i="1"/>
  <c r="Y172" i="1"/>
  <c r="Y299" i="1"/>
  <c r="Y209" i="1"/>
  <c r="Y15" i="1"/>
  <c r="Y160" i="1"/>
  <c r="Y300" i="1"/>
  <c r="Y302" i="1"/>
  <c r="Y303" i="1"/>
  <c r="Y173" i="1"/>
  <c r="Y68" i="1"/>
  <c r="Y83" i="1"/>
  <c r="AR171" i="1" l="1"/>
  <c r="AR207" i="1"/>
  <c r="AR295" i="1"/>
  <c r="AR168" i="1"/>
  <c r="AR167" i="1"/>
  <c r="AR206" i="1"/>
  <c r="AR286" i="1"/>
  <c r="AR223" i="1"/>
  <c r="AR178" i="1"/>
  <c r="AR17" i="1"/>
  <c r="AT17" i="1" s="1"/>
  <c r="AR156" i="1"/>
  <c r="AR155" i="1"/>
  <c r="AR267" i="1"/>
  <c r="AR52" i="1"/>
  <c r="AT52" i="1" s="1"/>
  <c r="AR51" i="1"/>
  <c r="AT51" i="1" s="1"/>
  <c r="AR150" i="1"/>
  <c r="AR48" i="1"/>
  <c r="AT48" i="1" s="1"/>
  <c r="AR252" i="1"/>
  <c r="AR244" i="1"/>
  <c r="AR239" i="1"/>
  <c r="AR71" i="1"/>
  <c r="AR133" i="1"/>
  <c r="AR35" i="1"/>
  <c r="AT35" i="1" s="1"/>
  <c r="AR232" i="1"/>
  <c r="AR32" i="1"/>
  <c r="AT32" i="1" s="1"/>
  <c r="AR4" i="1"/>
  <c r="AT4" i="1" s="1"/>
  <c r="AR228" i="1"/>
  <c r="AR116" i="1"/>
  <c r="AR26" i="1"/>
  <c r="AT26" i="1" s="1"/>
  <c r="AR102" i="1"/>
  <c r="AT18" i="1"/>
  <c r="AR84" i="1"/>
  <c r="AR68" i="1"/>
  <c r="AT68" i="1" s="1"/>
  <c r="AR208" i="1"/>
  <c r="AR170" i="1"/>
  <c r="AR141" i="1"/>
  <c r="AR163" i="1"/>
  <c r="AR160" i="1"/>
  <c r="AR209" i="1"/>
  <c r="AR293" i="1"/>
  <c r="AR165" i="1"/>
  <c r="AR282" i="1"/>
  <c r="AR275" i="1"/>
  <c r="AR274" i="1"/>
  <c r="AR14" i="1"/>
  <c r="AT14" i="1" s="1"/>
  <c r="AR57" i="1"/>
  <c r="AR269" i="1"/>
  <c r="AR81" i="1"/>
  <c r="AR264" i="1"/>
  <c r="AR261" i="1"/>
  <c r="AR49" i="1"/>
  <c r="AT49" i="1" s="1"/>
  <c r="AR148" i="1"/>
  <c r="AR45" i="1"/>
  <c r="AT45" i="1" s="1"/>
  <c r="AR79" i="1"/>
  <c r="AR140" i="1"/>
  <c r="AR218" i="1"/>
  <c r="AR39" i="1"/>
  <c r="AT39" i="1" s="1"/>
  <c r="AR235" i="1"/>
  <c r="AR231" i="1"/>
  <c r="AR132" i="1"/>
  <c r="AR5" i="1"/>
  <c r="AT5" i="1" s="1"/>
  <c r="AR128" i="1"/>
  <c r="AR86" i="1"/>
  <c r="AR122" i="1"/>
  <c r="AR3" i="1"/>
  <c r="AT3" i="1" s="1"/>
  <c r="AR115" i="1"/>
  <c r="AR225" i="1"/>
  <c r="AR106" i="1"/>
  <c r="AR105" i="1"/>
  <c r="AR25" i="1"/>
  <c r="AT25" i="1" s="1"/>
  <c r="AR85" i="1"/>
  <c r="AR96" i="1"/>
  <c r="AR83" i="1"/>
  <c r="AR66" i="1"/>
  <c r="AR16" i="1"/>
  <c r="AT16" i="1" s="1"/>
  <c r="AR203" i="1"/>
  <c r="AR278" i="1"/>
  <c r="AR56" i="1"/>
  <c r="AT56" i="1" s="1"/>
  <c r="AR82" i="1"/>
  <c r="AR198" i="1"/>
  <c r="AR55" i="1"/>
  <c r="AT55" i="1" s="1"/>
  <c r="AR263" i="1"/>
  <c r="AR258" i="1"/>
  <c r="AR214" i="1"/>
  <c r="AR87" i="1"/>
  <c r="AR147" i="1"/>
  <c r="AR251" i="1"/>
  <c r="AR44" i="1"/>
  <c r="AT44" i="1" s="1"/>
  <c r="AR242" i="1"/>
  <c r="AR238" i="1"/>
  <c r="AR213" i="1"/>
  <c r="AR38" i="1"/>
  <c r="AT38" i="1" s="1"/>
  <c r="AR37" i="1"/>
  <c r="AT37" i="1" s="1"/>
  <c r="AR77" i="1"/>
  <c r="AR130" i="1"/>
  <c r="AR11" i="1"/>
  <c r="AT11" i="1" s="1"/>
  <c r="AR29" i="1"/>
  <c r="AT29" i="1" s="1"/>
  <c r="AR123" i="1"/>
  <c r="AR121" i="1"/>
  <c r="AR24" i="1"/>
  <c r="AT24" i="1" s="1"/>
  <c r="AR70" i="1"/>
  <c r="AR302" i="1"/>
  <c r="AR15" i="1"/>
  <c r="AR216" i="1"/>
  <c r="AR297" i="1"/>
  <c r="AR292" i="1"/>
  <c r="AR288" i="1"/>
  <c r="AR204" i="1"/>
  <c r="AR277" i="1"/>
  <c r="AR60" i="1"/>
  <c r="AT60" i="1" s="1"/>
  <c r="AR273" i="1"/>
  <c r="AR202" i="1"/>
  <c r="AR200" i="1"/>
  <c r="AR184" i="1"/>
  <c r="AR54" i="1"/>
  <c r="AT54" i="1" s="1"/>
  <c r="AR257" i="1"/>
  <c r="AR256" i="1"/>
  <c r="AR47" i="1"/>
  <c r="AT47" i="1" s="1"/>
  <c r="AR146" i="1"/>
  <c r="AR250" i="1"/>
  <c r="AR144" i="1"/>
  <c r="AR143" i="1"/>
  <c r="AR139" i="1"/>
  <c r="AR237" i="1"/>
  <c r="AR134" i="1"/>
  <c r="AR180" i="1"/>
  <c r="AR234" i="1"/>
  <c r="AR34" i="1"/>
  <c r="AT34" i="1" s="1"/>
  <c r="AR131" i="1"/>
  <c r="AR30" i="1"/>
  <c r="AT30" i="1" s="1"/>
  <c r="AR118" i="1"/>
  <c r="AR227" i="1"/>
  <c r="AR111" i="1"/>
  <c r="AR179" i="1"/>
  <c r="AR72" i="1"/>
  <c r="AR101" i="1"/>
  <c r="AR20" i="1"/>
  <c r="AT20" i="1" s="1"/>
  <c r="AR291" i="1"/>
  <c r="AR166" i="1"/>
  <c r="AR205" i="1"/>
  <c r="AR284" i="1"/>
  <c r="AR222" i="1"/>
  <c r="AR162" i="1"/>
  <c r="AR90" i="1"/>
  <c r="AR59" i="1"/>
  <c r="AT59" i="1" s="1"/>
  <c r="AR201" i="1"/>
  <c r="AR12" i="1"/>
  <c r="AT12" i="1" s="1"/>
  <c r="AR219" i="1"/>
  <c r="AR266" i="1"/>
  <c r="AR154" i="1"/>
  <c r="AR260" i="1"/>
  <c r="AR255" i="1"/>
  <c r="AR220" i="1"/>
  <c r="AR80" i="1"/>
  <c r="AR248" i="1"/>
  <c r="AR211" i="1"/>
  <c r="AR182" i="1"/>
  <c r="AR241" i="1"/>
  <c r="AR181" i="1"/>
  <c r="AR2" i="1"/>
  <c r="AT2" i="1" s="1"/>
  <c r="AR136" i="1"/>
  <c r="AR78" i="1"/>
  <c r="AR8" i="1"/>
  <c r="AT8" i="1" s="1"/>
  <c r="AR33" i="1"/>
  <c r="AT33" i="1" s="1"/>
  <c r="AR127" i="1"/>
  <c r="AR76" i="1"/>
  <c r="AR120" i="1"/>
  <c r="AR110" i="1"/>
  <c r="AR103" i="1"/>
  <c r="AR100" i="1"/>
  <c r="AR91" i="1"/>
  <c r="AR173" i="1"/>
  <c r="AR300" i="1"/>
  <c r="AR65" i="1"/>
  <c r="AT65" i="1" s="1"/>
  <c r="AR217" i="1"/>
  <c r="AR10" i="1"/>
  <c r="AR281" i="1"/>
  <c r="AR276" i="1"/>
  <c r="AR159" i="1"/>
  <c r="AR58" i="1"/>
  <c r="AT58" i="1" s="1"/>
  <c r="AR271" i="1"/>
  <c r="AR268" i="1"/>
  <c r="AR177" i="1"/>
  <c r="AR176" i="1"/>
  <c r="AR262" i="1"/>
  <c r="AR153" i="1"/>
  <c r="AR50" i="1"/>
  <c r="AT50" i="1" s="1"/>
  <c r="AR254" i="1"/>
  <c r="AR43" i="1"/>
  <c r="AT43" i="1" s="1"/>
  <c r="AR42" i="1"/>
  <c r="AT42" i="1" s="1"/>
  <c r="AR41" i="1"/>
  <c r="AT41" i="1" s="1"/>
  <c r="AR137" i="1"/>
  <c r="AR135" i="1"/>
  <c r="AR89" i="1"/>
  <c r="AR36" i="1"/>
  <c r="AT36" i="1" s="1"/>
  <c r="AR94" i="1"/>
  <c r="AR7" i="1"/>
  <c r="AT7" i="1" s="1"/>
  <c r="AR230" i="1"/>
  <c r="AR6" i="1"/>
  <c r="AT6" i="1" s="1"/>
  <c r="AR126" i="1"/>
  <c r="AR28" i="1"/>
  <c r="AT28" i="1" s="1"/>
  <c r="AR114" i="1"/>
  <c r="AR108" i="1"/>
  <c r="AR104" i="1"/>
  <c r="AR99" i="1"/>
  <c r="AR97" i="1"/>
  <c r="AR299" i="1"/>
  <c r="AR296" i="1"/>
  <c r="AR64" i="1"/>
  <c r="AR283" i="1"/>
  <c r="AR280" i="1"/>
  <c r="AR161" i="1"/>
  <c r="AR272" i="1"/>
  <c r="AR270" i="1"/>
  <c r="AR199" i="1"/>
  <c r="AR183" i="1"/>
  <c r="AR265" i="1"/>
  <c r="AR152" i="1"/>
  <c r="AR149" i="1"/>
  <c r="AR253" i="1"/>
  <c r="AR247" i="1"/>
  <c r="AR246" i="1"/>
  <c r="AR243" i="1"/>
  <c r="AR240" i="1"/>
  <c r="AR40" i="1"/>
  <c r="AT40" i="1" s="1"/>
  <c r="AR236" i="1"/>
  <c r="AR233" i="1"/>
  <c r="AR229" i="1"/>
  <c r="AR119" i="1"/>
  <c r="AR117" i="1"/>
  <c r="AR107" i="1"/>
  <c r="AR74" i="1"/>
  <c r="AR98" i="1"/>
  <c r="AR19" i="1"/>
  <c r="AT19" i="1" s="1"/>
  <c r="AR95" i="1"/>
  <c r="AR67" i="1"/>
  <c r="AR169" i="1"/>
  <c r="AR290" i="1"/>
  <c r="AR303" i="1"/>
  <c r="AR172" i="1"/>
  <c r="AR88" i="1"/>
  <c r="AR294" i="1"/>
  <c r="AR63" i="1"/>
  <c r="AT63" i="1" s="1"/>
  <c r="AR164" i="1"/>
  <c r="AR62" i="1"/>
  <c r="AR279" i="1"/>
  <c r="AR9" i="1"/>
  <c r="AT9" i="1" s="1"/>
  <c r="AR158" i="1"/>
  <c r="AR157" i="1"/>
  <c r="AR53" i="1"/>
  <c r="AT53" i="1" s="1"/>
  <c r="AR259" i="1"/>
  <c r="AR151" i="1"/>
  <c r="AR46" i="1"/>
  <c r="AT46" i="1" s="1"/>
  <c r="AR245" i="1"/>
  <c r="AR142" i="1"/>
  <c r="AR138" i="1"/>
  <c r="AR221" i="1"/>
  <c r="AR93" i="1"/>
  <c r="AR27" i="1"/>
  <c r="AT27" i="1" s="1"/>
  <c r="AR226" i="1"/>
  <c r="AR113" i="1"/>
  <c r="AR224" i="1"/>
  <c r="AR73" i="1"/>
  <c r="AR23" i="1"/>
  <c r="AT23" i="1" s="1"/>
  <c r="AR13" i="1"/>
  <c r="AT13" i="1" s="1"/>
  <c r="AR92" i="1"/>
  <c r="AT62" i="1" l="1"/>
  <c r="AT64" i="1"/>
  <c r="AT66" i="1"/>
  <c r="AT57" i="1"/>
  <c r="AT15" i="1"/>
  <c r="AT67" i="1"/>
  <c r="AT10" i="1"/>
</calcChain>
</file>

<file path=xl/sharedStrings.xml><?xml version="1.0" encoding="utf-8"?>
<sst xmlns="http://schemas.openxmlformats.org/spreadsheetml/2006/main" count="5703" uniqueCount="1659">
  <si>
    <r>
      <t>Richmond upon Thames - Authority Monitoring Report
Housing Land Financial Year Report 2023/24 - Position at 1</t>
    </r>
    <r>
      <rPr>
        <b/>
        <vertAlign val="superscript"/>
        <sz val="16"/>
        <rFont val="Arial"/>
        <family val="2"/>
      </rPr>
      <t>st</t>
    </r>
    <r>
      <rPr>
        <b/>
        <sz val="16"/>
        <rFont val="Arial"/>
        <family val="2"/>
      </rPr>
      <t xml:space="preserve"> April 2024</t>
    </r>
  </si>
  <si>
    <t>Table 1</t>
  </si>
  <si>
    <t>Performance against the London Plan (2021) - 1 April 2021 to 1 April 2031</t>
  </si>
  <si>
    <t>Additional Homes (net)</t>
  </si>
  <si>
    <t>London Plan Target</t>
  </si>
  <si>
    <t xml:space="preserve">Provision 
(30% of plan period)   </t>
  </si>
  <si>
    <t>Total</t>
  </si>
  <si>
    <t>% of Target</t>
  </si>
  <si>
    <t>2021/22</t>
  </si>
  <si>
    <t>2022/23</t>
  </si>
  <si>
    <t>2023/4</t>
  </si>
  <si>
    <t>Conventional Supply</t>
  </si>
  <si>
    <t>Table 2</t>
  </si>
  <si>
    <t>Five year housing land supply calculation methodology - London Plan (2021)</t>
  </si>
  <si>
    <t>a</t>
  </si>
  <si>
    <t>London Plan 2021 Requirement - 1 April 2021 to 1 April 2031 (10 year plan period)</t>
  </si>
  <si>
    <t>b</t>
  </si>
  <si>
    <t>Net completions 1 April 2021 to 31 March 2024</t>
  </si>
  <si>
    <t>c</t>
  </si>
  <si>
    <t>Remaining London Plan Requirement 1 April 2024 to 31 March 2031 (7 year plan period)</t>
  </si>
  <si>
    <t>a - b</t>
  </si>
  <si>
    <t>d</t>
  </si>
  <si>
    <t>Average per year</t>
  </si>
  <si>
    <t>c ÷ 7 years</t>
  </si>
  <si>
    <t>e</t>
  </si>
  <si>
    <t>Five year requirement</t>
  </si>
  <si>
    <t>d x 5</t>
  </si>
  <si>
    <t>f</t>
  </si>
  <si>
    <t>Five percent buffer</t>
  </si>
  <si>
    <t>e x 0.05</t>
  </si>
  <si>
    <t>g</t>
  </si>
  <si>
    <t>Five year requirement (including 5% buffer)</t>
  </si>
  <si>
    <t>e + f</t>
  </si>
  <si>
    <t>h</t>
  </si>
  <si>
    <t>Estimated supply over five year period</t>
  </si>
  <si>
    <t>i</t>
  </si>
  <si>
    <t>Five year land supply as a percentage of requirement (excluding 5% buffer)</t>
  </si>
  <si>
    <t>(h ÷ e) x 100</t>
  </si>
  <si>
    <t>j</t>
  </si>
  <si>
    <t>Five year land supply expressed in years (excluding 5% buffer)</t>
  </si>
  <si>
    <t>h ÷ d</t>
  </si>
  <si>
    <t>Table 3</t>
  </si>
  <si>
    <t>Five year housing land supply calculation methodology - London Plan (2021) - Stepped Trajectory</t>
  </si>
  <si>
    <t>Remaining London Plan Requirement 1 April 2024 to 31 March 2031 (7 year plan period) (Stepped Trajectory)</t>
  </si>
  <si>
    <t>London Plan Deficit (2021/22 - 2023/24) (Stepped Trajectory)</t>
  </si>
  <si>
    <t>London Plan Five year requirement (Stepped Trajectory)</t>
  </si>
  <si>
    <t>Five year requirement + London Plan Deficit</t>
  </si>
  <si>
    <t>f + e</t>
  </si>
  <si>
    <t>g x 0.05</t>
  </si>
  <si>
    <t>g + h</t>
  </si>
  <si>
    <t>Average per year (+5% buffer)</t>
  </si>
  <si>
    <t>i ÷ 5</t>
  </si>
  <si>
    <t>k</t>
  </si>
  <si>
    <t>l</t>
  </si>
  <si>
    <t>Five year land supply as a percentage of requirement (including 5% buffer)</t>
  </si>
  <si>
    <t>(k ÷ i) x 100</t>
  </si>
  <si>
    <t>m</t>
  </si>
  <si>
    <t>Five year land supply expressed in years (including 5% buffer)</t>
  </si>
  <si>
    <t>k ÷ j</t>
  </si>
  <si>
    <t>see emerging Local Plan Policy 10 for stepped housing delivery target</t>
  </si>
  <si>
    <t>Table 4</t>
  </si>
  <si>
    <t>Table 5</t>
  </si>
  <si>
    <t>Estimated supply over ten year period</t>
  </si>
  <si>
    <t>Site Type</t>
  </si>
  <si>
    <t>Total used for 5-year supply</t>
  </si>
  <si>
    <t>New Build Sites under construction</t>
  </si>
  <si>
    <t>New Build Sites with planning permission</t>
  </si>
  <si>
    <t>Conversion sites under construction</t>
  </si>
  <si>
    <t>Conversion sites with planning permission</t>
  </si>
  <si>
    <t>Conversion sites with prior notification approval</t>
  </si>
  <si>
    <t>Non Self Contained</t>
  </si>
  <si>
    <t>Deliverable Sites</t>
  </si>
  <si>
    <t>Site Allocations</t>
  </si>
  <si>
    <t>Total 5 year supply</t>
  </si>
  <si>
    <t>Total 10 year supply</t>
  </si>
  <si>
    <t>Table 6</t>
  </si>
  <si>
    <t xml:space="preserve">Net units completed during the period 2002/03 to 2023/24 (compared to London Plan target) </t>
  </si>
  <si>
    <t>Year</t>
  </si>
  <si>
    <t>Completions</t>
  </si>
  <si>
    <t>Target</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</si>
  <si>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</si>
  <si>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</si>
  <si>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</si>
  <si>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</si>
  <si>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</si>
  <si>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</si>
  <si>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</si>
  <si>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</si>
  <si>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</si>
  <si>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</si>
  <si>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</si>
  <si>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</si>
  <si>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</si>
  <si>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</si>
  <si>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</si>
  <si>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</si>
  <si>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</si>
  <si>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</si>
  <si>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</si>
  <si>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2023/24</t>
  </si>
  <si>
    <t>Table 7</t>
  </si>
  <si>
    <t>Net completions by tenure and financial year (2005/06 to 2023/24)</t>
  </si>
  <si>
    <t xml:space="preserve"> Open Market</t>
  </si>
  <si>
    <t xml:space="preserve"> Affordable</t>
  </si>
  <si>
    <t>Total 
Units</t>
  </si>
  <si>
    <t>Units</t>
  </si>
  <si>
    <t>%</t>
  </si>
  <si>
    <t>Table 8</t>
  </si>
  <si>
    <t xml:space="preserve">Dwelling Size of Net Completions 2023/24 (All tenures) by Application Type </t>
  </si>
  <si>
    <t>Dwelling Type / Size</t>
  </si>
  <si>
    <t>Permissions</t>
  </si>
  <si>
    <t>Prior Approvals</t>
  </si>
  <si>
    <t xml:space="preserve">1 bed </t>
  </si>
  <si>
    <t xml:space="preserve">2 bed </t>
  </si>
  <si>
    <t xml:space="preserve">3 bed </t>
  </si>
  <si>
    <t xml:space="preserve">4+ bed </t>
  </si>
  <si>
    <t>Percentage</t>
  </si>
  <si>
    <t>Table 9</t>
  </si>
  <si>
    <t>Application Type of Net Completions 2016/17 - 2023/24 (All tenures)</t>
  </si>
  <si>
    <t>% Permissions</t>
  </si>
  <si>
    <t>% Prior Approvals</t>
  </si>
  <si>
    <t>Table 10</t>
  </si>
  <si>
    <t>Net completions on small / large sites</t>
  </si>
  <si>
    <t>Small</t>
  </si>
  <si>
    <t>Large</t>
  </si>
  <si>
    <t>% Small</t>
  </si>
  <si>
    <t>% Large</t>
  </si>
  <si>
    <t xml:space="preserve">Total </t>
  </si>
  <si>
    <t>Average</t>
  </si>
  <si>
    <t>Table 11</t>
  </si>
  <si>
    <t>Proportion of housing completions provided by large sites</t>
  </si>
  <si>
    <t>Spatial Areas</t>
  </si>
  <si>
    <t>Town Centres</t>
  </si>
  <si>
    <t>Policy Areas</t>
  </si>
  <si>
    <t>Table 12</t>
  </si>
  <si>
    <t>Net completions within town centre boundaries</t>
  </si>
  <si>
    <t>Table 13</t>
  </si>
  <si>
    <t>Net completions by policy areas</t>
  </si>
  <si>
    <t>Town Centre</t>
  </si>
  <si>
    <t>Policy Area</t>
  </si>
  <si>
    <t>East Sheen</t>
  </si>
  <si>
    <t>Richmond</t>
  </si>
  <si>
    <t>Thames Policy Area</t>
  </si>
  <si>
    <t>Teddington</t>
  </si>
  <si>
    <t>Mixed Use Area</t>
  </si>
  <si>
    <t>Twickenham</t>
  </si>
  <si>
    <t>OOLTI</t>
  </si>
  <si>
    <t>Whitton</t>
  </si>
  <si>
    <t>Green Belt / MOL</t>
  </si>
  <si>
    <t>Total in Town Centres</t>
  </si>
  <si>
    <t>Garden Land</t>
  </si>
  <si>
    <t>Conservation Area</t>
  </si>
  <si>
    <t>Wards</t>
  </si>
  <si>
    <t>Table 14</t>
  </si>
  <si>
    <t>Net units with planning permission, commenced or completed by Ward in 2023/24</t>
  </si>
  <si>
    <t>Ward</t>
  </si>
  <si>
    <t>Not Started</t>
  </si>
  <si>
    <t>Under Construction</t>
  </si>
  <si>
    <t>Barnes</t>
  </si>
  <si>
    <t>Fulwell &amp; Hampton Hill</t>
  </si>
  <si>
    <t>Ham, Petersham &amp; Richmond Riverside</t>
  </si>
  <si>
    <t>Hampton</t>
  </si>
  <si>
    <t>Hampton North</t>
  </si>
  <si>
    <t>Hampton Wick &amp; South Teddington</t>
  </si>
  <si>
    <t>Heathfield</t>
  </si>
  <si>
    <t>Kew</t>
  </si>
  <si>
    <t>Mortlake &amp; Barnes Common</t>
  </si>
  <si>
    <t>North Richmond</t>
  </si>
  <si>
    <t>South Richmond</t>
  </si>
  <si>
    <t>South Twickenham</t>
  </si>
  <si>
    <t>St. Margarets &amp; North Twickenham</t>
  </si>
  <si>
    <t>Twickenham Riverside</t>
  </si>
  <si>
    <t>West Twickenham</t>
  </si>
  <si>
    <t>Table 15</t>
  </si>
  <si>
    <t>Net units completed by Ward in 2023/24</t>
  </si>
  <si>
    <t>Proposed</t>
  </si>
  <si>
    <t>Existing</t>
  </si>
  <si>
    <t>Net Gain</t>
  </si>
  <si>
    <t>Table 16</t>
  </si>
  <si>
    <t>Net units completed by Local Plan Area in 2023/24</t>
  </si>
  <si>
    <t>Local Plan Area</t>
  </si>
  <si>
    <t>Barnes and East Sheen</t>
  </si>
  <si>
    <t>Ham &amp; Petersham</t>
  </si>
  <si>
    <t>Teddington and the Hamptons</t>
  </si>
  <si>
    <t>see emerging Local Plan Policy 10 for explanation of areas</t>
  </si>
  <si>
    <t>Table 17</t>
  </si>
  <si>
    <t>Net units completed by Place Based Strategy Area in 2023/24</t>
  </si>
  <si>
    <t>Place Based Strategy Area</t>
  </si>
  <si>
    <t>Ham, Petersham &amp; Richmond Park</t>
  </si>
  <si>
    <t>Hampton &amp; Hampton Hill</t>
  </si>
  <si>
    <t>Mortlake and East Sheen</t>
  </si>
  <si>
    <t>Richmond and Richmond Hill</t>
  </si>
  <si>
    <t>Teddington &amp; Hampton Wick</t>
  </si>
  <si>
    <t>Twickenham, Strawberry Hill &amp; St Margarets</t>
  </si>
  <si>
    <t>Whitton and Heathfield</t>
  </si>
  <si>
    <t>see emerging Local Plan place-based strategies and Map 5.1 for areas</t>
  </si>
  <si>
    <t>Table 18</t>
  </si>
  <si>
    <t>Net units permitted by Place Based Strategy Area in 2023/24</t>
  </si>
  <si>
    <t>Dwelling Mix</t>
  </si>
  <si>
    <t>Table 19</t>
  </si>
  <si>
    <t>Net new build units completed by unit size and tenure</t>
  </si>
  <si>
    <t>Net new build units completed by unit size</t>
  </si>
  <si>
    <t>1 bed</t>
  </si>
  <si>
    <t>2 bed</t>
  </si>
  <si>
    <t>3 bed</t>
  </si>
  <si>
    <t>4 + bed</t>
  </si>
  <si>
    <t>Not Known</t>
  </si>
  <si>
    <t>Market</t>
  </si>
  <si>
    <t>Intermediate</t>
  </si>
  <si>
    <t>Affordable Rented</t>
  </si>
  <si>
    <t>Social Rented</t>
  </si>
  <si>
    <t>Table 20</t>
  </si>
  <si>
    <t>Net new build units under construction by unit size and tenure</t>
  </si>
  <si>
    <t>Net new build units under construction by unit size</t>
  </si>
  <si>
    <t>Table 21</t>
  </si>
  <si>
    <t>Net new build units with planning permission by unit size and tenure</t>
  </si>
  <si>
    <t>Net new build units with planning permission by unit size</t>
  </si>
  <si>
    <t>Intermediate (&amp;SO)</t>
  </si>
  <si>
    <t>Future Housing Supply</t>
  </si>
  <si>
    <t>Table 22</t>
  </si>
  <si>
    <t>Housing Land Supply by ward (net gain) 2024/25 – 2033/34  (conventional supply)</t>
  </si>
  <si>
    <t>Housing Land Supply 2024/25 – 2033/34</t>
  </si>
  <si>
    <t>New Build Sites Under Construction</t>
  </si>
  <si>
    <t>Conversion Sites Under Construction</t>
  </si>
  <si>
    <t>Conversion Sites with planning permission</t>
  </si>
  <si>
    <t>Prior Approval Sites with approval</t>
  </si>
  <si>
    <t>Proposal / Other known large sites</t>
  </si>
  <si>
    <t>SHLAA Sites Trend</t>
  </si>
  <si>
    <t>Table 23</t>
  </si>
  <si>
    <t>Housing Land Supply by Local Plan Area (net gain) 2024/25 – 2033/34  (conventional supply)</t>
  </si>
  <si>
    <t>Table 24</t>
  </si>
  <si>
    <t>Housing Land Supply by Local Plan Place Based Strategy Area (net gain) 2024/25 – 2033/34  (conventional supply)</t>
  </si>
  <si>
    <t>Table 25</t>
  </si>
  <si>
    <t>The number of dwellings with expired permissions between 2008/2009 to 2023/24 in comparison to the number of dwellings permitted</t>
  </si>
  <si>
    <t>Net units - Expired Permissions</t>
  </si>
  <si>
    <t>Net units - Residential Permissions</t>
  </si>
  <si>
    <t>Table 26</t>
  </si>
  <si>
    <t>Average time from Decision to Completion (Years) by site size</t>
  </si>
  <si>
    <t>Site size (gross number of dwellings)</t>
  </si>
  <si>
    <t>1-4</t>
  </si>
  <si>
    <t>5-9</t>
  </si>
  <si>
    <t>10-14</t>
  </si>
  <si>
    <t>15-19</t>
  </si>
  <si>
    <t>20-29</t>
  </si>
  <si>
    <t>30-39</t>
  </si>
  <si>
    <t>40-49</t>
  </si>
  <si>
    <t>50-100</t>
  </si>
  <si>
    <t>100+</t>
  </si>
  <si>
    <t>01. Completion</t>
  </si>
  <si>
    <t>Deliverable Sites - 2024 - 2028</t>
  </si>
  <si>
    <t>Site Status</t>
  </si>
  <si>
    <t>(Multiple Items)</t>
  </si>
  <si>
    <t>New Build Sites with planning permission - 5YHLS</t>
  </si>
  <si>
    <t>Sum of Net Dwellings</t>
  </si>
  <si>
    <t>SELECT SITES</t>
  </si>
  <si>
    <t>Sum of 2024-2028 Total</t>
  </si>
  <si>
    <t>Development Category</t>
  </si>
  <si>
    <t>Barnes Hospital, East Sheen</t>
  </si>
  <si>
    <t>03. Not Started</t>
  </si>
  <si>
    <t>Greggs, Gould Road, Twickenham</t>
  </si>
  <si>
    <t>New Build under construction</t>
  </si>
  <si>
    <t>Homebase, Manor Road, Richmond</t>
  </si>
  <si>
    <t>Sum of 2024/25 (1)</t>
  </si>
  <si>
    <t>Sum of 2025/26 (2)</t>
  </si>
  <si>
    <t>Sum of 2026/27 (3)</t>
  </si>
  <si>
    <t>Sum of 2027/28 (4)</t>
  </si>
  <si>
    <t>Sum of 2028/29 (5)</t>
  </si>
  <si>
    <t>Sum of 2029/30 (6)</t>
  </si>
  <si>
    <t>Sum of 2030/31 (7)</t>
  </si>
  <si>
    <t>Sum of 2031/32 (8)</t>
  </si>
  <si>
    <t>Sum of 2032/33 (9)</t>
  </si>
  <si>
    <t>Sum of 2033/34 (10)</t>
  </si>
  <si>
    <t>02. Under Construction</t>
  </si>
  <si>
    <t>Kingston Bridge House</t>
  </si>
  <si>
    <t>Small Sites Trend</t>
  </si>
  <si>
    <t>5YHLS</t>
  </si>
  <si>
    <t>(blank)</t>
  </si>
  <si>
    <t>St Clare Business Park</t>
  </si>
  <si>
    <t>Stag Brewery</t>
  </si>
  <si>
    <t>Teddington Police Station</t>
  </si>
  <si>
    <t>Twickenham Telephone Exchange</t>
  </si>
  <si>
    <t>Whitton Telephone Exchange</t>
  </si>
  <si>
    <t>Grand Total</t>
  </si>
  <si>
    <t xml:space="preserve">Planning Permission to Completion </t>
  </si>
  <si>
    <t>Deliverable Sites - 2024 - 2034</t>
  </si>
  <si>
    <t>Average of approval to completion</t>
  </si>
  <si>
    <t>Sum of 2024-2034 Total</t>
  </si>
  <si>
    <t>Large Sites Trend</t>
  </si>
  <si>
    <t>Application Type</t>
  </si>
  <si>
    <t>Site Allocations - 2024 - 2034</t>
  </si>
  <si>
    <t>04. Site Allocation</t>
  </si>
  <si>
    <t>Sainsbury’s, Manor Road</t>
  </si>
  <si>
    <t>Teddington Telephone Exchange</t>
  </si>
  <si>
    <t>PA</t>
  </si>
  <si>
    <t>Net NB Completions</t>
  </si>
  <si>
    <t>Gross NB Completions</t>
  </si>
  <si>
    <t>Sum of Units Proposed</t>
  </si>
  <si>
    <t>Net Conversion Completions</t>
  </si>
  <si>
    <t>Gross Conversions Completions</t>
  </si>
  <si>
    <t>Net Completions Intermediate</t>
  </si>
  <si>
    <t>Tenure</t>
  </si>
  <si>
    <t>Net Completions Affordable</t>
  </si>
  <si>
    <t>Net Completions Open Market</t>
  </si>
  <si>
    <t>Open Market</t>
  </si>
  <si>
    <t>Gross Completions Intermediate</t>
  </si>
  <si>
    <t>Gross Completions Affordable Rent</t>
  </si>
  <si>
    <t>Gross Completions Open Market</t>
  </si>
  <si>
    <t>New Build Completions Open Market Net</t>
  </si>
  <si>
    <t>New Build Completions Open Market Gross</t>
  </si>
  <si>
    <t>New Build Completions Intermediate Net</t>
  </si>
  <si>
    <t>New Build Completions Intermediate Gross</t>
  </si>
  <si>
    <t>New Build Completions Affordable Rent Net</t>
  </si>
  <si>
    <t>Affordable rent</t>
  </si>
  <si>
    <t>New Build Completions Affordable Rent Gross</t>
  </si>
  <si>
    <t>Completions Net Bedrooms / Application Type</t>
  </si>
  <si>
    <t>Row Labels</t>
  </si>
  <si>
    <t>Sum of 1 bed net</t>
  </si>
  <si>
    <t>Sum of 2 bed net</t>
  </si>
  <si>
    <t>Sum of 3 bed net</t>
  </si>
  <si>
    <t>Sum of 4 bed net</t>
  </si>
  <si>
    <t>Sum of 5 bed net</t>
  </si>
  <si>
    <t>Sum of 6 bed net</t>
  </si>
  <si>
    <t>Sum of 7 bed net</t>
  </si>
  <si>
    <t>Sum of 8 bed net</t>
  </si>
  <si>
    <t>MOL</t>
  </si>
  <si>
    <t>Y</t>
  </si>
  <si>
    <t>MOL - Radnor Gardens</t>
  </si>
  <si>
    <t>N</t>
  </si>
  <si>
    <t>Net Dwellings Not Started by Ward</t>
  </si>
  <si>
    <t>Net Dwellings Under Construction by Ward</t>
  </si>
  <si>
    <t>Net Dwellings Completed by Ward</t>
  </si>
  <si>
    <t>Gross and Net Dwellings Completed by Ward</t>
  </si>
  <si>
    <t>Gross and Net Dwellings Completed by Area</t>
  </si>
  <si>
    <t>Gross and Net Dwellings Completed by Place-based Strategy</t>
  </si>
  <si>
    <t>Decision Date</t>
  </si>
  <si>
    <t>Sum of Units Existing</t>
  </si>
  <si>
    <t>New Build Completions Net</t>
  </si>
  <si>
    <t>Social Rent</t>
  </si>
  <si>
    <t>London Affordable Rent</t>
  </si>
  <si>
    <t>Shared Ownership</t>
  </si>
  <si>
    <t>London Living Rent</t>
  </si>
  <si>
    <t>New Build Under Construction Net</t>
  </si>
  <si>
    <t>Co-living</t>
  </si>
  <si>
    <t>New Build Not Started Net</t>
  </si>
  <si>
    <t>(All)</t>
  </si>
  <si>
    <t>PA Conversion Sites Under Construction</t>
  </si>
  <si>
    <t>PA Conversion Sites with planning permission</t>
  </si>
  <si>
    <t>10 Year Housing Land Supply - Conventional</t>
  </si>
  <si>
    <t>10 Year Housing Land Supply - Non Self Contained</t>
  </si>
  <si>
    <t>Housing Land Supply by ward</t>
  </si>
  <si>
    <t>N/A</t>
  </si>
  <si>
    <t>Local Plan Areas - New Build Sites Under Construction</t>
  </si>
  <si>
    <t>Local Plan Areas - New Build Sites with planning permission</t>
  </si>
  <si>
    <t>Local Plan Areas - Conversion Sites Under Construction</t>
  </si>
  <si>
    <t>Local Plan Areas - PA Conversion Sites with planning permission</t>
  </si>
  <si>
    <t>Local Plan Areas - Conversion Sites with planning permission</t>
  </si>
  <si>
    <t>Place Based Strategy Area - New Build Sites Under Construction</t>
  </si>
  <si>
    <t>Place Based Strategy Area - New Build Sites with planning permission</t>
  </si>
  <si>
    <t>Place Based Strategy Area - Conversion Sites Under Construction</t>
  </si>
  <si>
    <t>Place Based Strategy Area - Conversion Sites with planning permission</t>
  </si>
  <si>
    <t>Place Based Strategy Area -  - PA Conversion Sites with planning permission</t>
  </si>
  <si>
    <t>Housing Land Supply by Local Plan Area (net gain) 2024/25 – 2033/34</t>
  </si>
  <si>
    <t>Housing Land Supply by Local Plan Place Based Strategy Area (net gain) 2024/25 – 2033/34</t>
  </si>
  <si>
    <t>Time from Decision to Completion</t>
  </si>
  <si>
    <t>Column Labels</t>
  </si>
  <si>
    <t>1 to 4</t>
  </si>
  <si>
    <t>5 to 9</t>
  </si>
  <si>
    <t>10 to 14</t>
  </si>
  <si>
    <t>15 to 19</t>
  </si>
  <si>
    <t>20 to 29</t>
  </si>
  <si>
    <t>Planning Ref</t>
  </si>
  <si>
    <t>Expiry Date</t>
  </si>
  <si>
    <t>Start Date</t>
  </si>
  <si>
    <t>Completion Date</t>
  </si>
  <si>
    <t>Approval to completion</t>
  </si>
  <si>
    <t>Site size</t>
  </si>
  <si>
    <t>Proposal</t>
  </si>
  <si>
    <t xml:space="preserve">Address
</t>
  </si>
  <si>
    <t>PostCode</t>
  </si>
  <si>
    <t>Plot Description</t>
  </si>
  <si>
    <t>1 BED EXISTING</t>
  </si>
  <si>
    <t>2 BED EXISTING</t>
  </si>
  <si>
    <t>3 BED EXISTING</t>
  </si>
  <si>
    <t>4 BED EXISTING</t>
  </si>
  <si>
    <t>5 BED EXISTING</t>
  </si>
  <si>
    <t>6 BED EXISTING</t>
  </si>
  <si>
    <t>7 BED EXISTING</t>
  </si>
  <si>
    <t>8 BED EXISTING</t>
  </si>
  <si>
    <t>Units Existing</t>
  </si>
  <si>
    <t>Affordable</t>
  </si>
  <si>
    <t>1 BED PROPOSED</t>
  </si>
  <si>
    <t>2 BED PROPOSED</t>
  </si>
  <si>
    <t>3 BED PROPOSED</t>
  </si>
  <si>
    <t>4 BED PROPOSED</t>
  </si>
  <si>
    <t>5 BED PROPOSED</t>
  </si>
  <si>
    <t>6 BED PROPOSED</t>
  </si>
  <si>
    <t>7 BED PROPOSED</t>
  </si>
  <si>
    <t>8 BED PROPOSED</t>
  </si>
  <si>
    <t>Units Proposed</t>
  </si>
  <si>
    <t>1 bed net</t>
  </si>
  <si>
    <t>2 bed net</t>
  </si>
  <si>
    <t>3 bed net</t>
  </si>
  <si>
    <t>4 bed net</t>
  </si>
  <si>
    <t>5 bed net</t>
  </si>
  <si>
    <t>6 bed net</t>
  </si>
  <si>
    <t>7 bed net</t>
  </si>
  <si>
    <t>8 bed net</t>
  </si>
  <si>
    <t>Net Dwellings</t>
  </si>
  <si>
    <t>Large Site</t>
  </si>
  <si>
    <t>2023/24 (R)</t>
  </si>
  <si>
    <t>2024/25 (1)</t>
  </si>
  <si>
    <t>2025/26 (2)</t>
  </si>
  <si>
    <t>2026/27 (3)</t>
  </si>
  <si>
    <t>2027/28 (4)</t>
  </si>
  <si>
    <t>2028/29 (5)</t>
  </si>
  <si>
    <t>2029/30 (6)</t>
  </si>
  <si>
    <t>2030/31 (7)</t>
  </si>
  <si>
    <t>2031/32 (8)</t>
  </si>
  <si>
    <t>2032/33 (9)</t>
  </si>
  <si>
    <t>2033/34 (10)</t>
  </si>
  <si>
    <t>2034/35</t>
  </si>
  <si>
    <t>2035/36</t>
  </si>
  <si>
    <t>2036/37</t>
  </si>
  <si>
    <t>2037/38</t>
  </si>
  <si>
    <t>2038/39</t>
  </si>
  <si>
    <t>2040/41</t>
  </si>
  <si>
    <t>2024-2028 Total</t>
  </si>
  <si>
    <t>2024-2034 Total</t>
  </si>
  <si>
    <t>OlderPeople</t>
  </si>
  <si>
    <t>ShelteredAccom</t>
  </si>
  <si>
    <t>MultipleOcc</t>
  </si>
  <si>
    <t>Easting</t>
  </si>
  <si>
    <t>Northing</t>
  </si>
  <si>
    <t>Area Name</t>
  </si>
  <si>
    <t>Ward_Name</t>
  </si>
  <si>
    <t>Town_Centre</t>
  </si>
  <si>
    <t>Thames_Policy_Area</t>
  </si>
  <si>
    <t>Mixed Use Area Name</t>
  </si>
  <si>
    <t>Met_Open_Land</t>
  </si>
  <si>
    <t>Conservation Area Name</t>
  </si>
  <si>
    <t>Conservation_Area</t>
  </si>
  <si>
    <t>Areas for Intensification</t>
  </si>
  <si>
    <t>Place_Based_Strategies</t>
  </si>
  <si>
    <t>21/0156/FUL</t>
  </si>
  <si>
    <t>NEW</t>
  </si>
  <si>
    <t>Demolition of the existing structures and the erection on of two buildings, consisting of a retail unit and community centre at ground floor and 15 residential units above, parking and associated hard and soft landscaping</t>
  </si>
  <si>
    <t xml:space="preserve">Milevale Properties Ltd, 672 Hanworth Road, Whitton TW4 5NP
</t>
  </si>
  <si>
    <t>TW4 5NP</t>
  </si>
  <si>
    <t>Hanworth Road</t>
  </si>
  <si>
    <t>19/2235/FUL</t>
  </si>
  <si>
    <t>Demolition of existing dwelling and the erection of two 4-bedroom semi-detached dwellings with associated access and car parking.</t>
  </si>
  <si>
    <t xml:space="preserve">10 Broad Lane, Hampton TW12 3AW
</t>
  </si>
  <si>
    <t>TW12 3AW</t>
  </si>
  <si>
    <t>19/3568/FUL</t>
  </si>
  <si>
    <t>Replacement of existing single-storey detached bungalow to provide a pair of two-storey semi-detached dwelling houses with habitable roofspace, each with 5-bedrooms; off-street parking provision for two vehicles per dwelling; the removal of the existing t</t>
  </si>
  <si>
    <t>73A High Street, Hampton TW12 2SX</t>
  </si>
  <si>
    <t>TW12 2SX</t>
  </si>
  <si>
    <t>CA12 Hampton Village</t>
  </si>
  <si>
    <t>20/0564/FUL</t>
  </si>
  <si>
    <t>CHU</t>
  </si>
  <si>
    <t>Single-storey rear extension to rear of existing shop and part change of use from A1 to C3, to facilitate creation of one one-bedroom two-person dwellinghouse. Construction of external stairway to rear elevation to provide access to existing upper-floor f</t>
  </si>
  <si>
    <t xml:space="preserve">311A Richmond Road, Kingston Upon Thames KT2 5QU
</t>
  </si>
  <si>
    <t>KT2 5QU</t>
  </si>
  <si>
    <t>20/0714/FUL</t>
  </si>
  <si>
    <t>Demolition of existing semi-detached dwelling and replacement with a 2 storey semi-detached dwelling with basement and accommodation in the roof and associated parking, hard and soft landscaping, cycle and refuse stores</t>
  </si>
  <si>
    <t>6 Cumberland Road, Barnes SW13 9LY</t>
  </si>
  <si>
    <t>SW13 9LY</t>
  </si>
  <si>
    <t>20/1499/FUL</t>
  </si>
  <si>
    <t>Demolition of existing buildings and the erection of a replacement building to contain 9no. flats (Use Class C3), with associated works including landscaping and parking.</t>
  </si>
  <si>
    <t xml:space="preserve">Boundaries, 1 St James's Road, Hampton Hill, Hampton TW12 1DH
</t>
  </si>
  <si>
    <t>TW12 1DH</t>
  </si>
  <si>
    <t>20/1870/FUL</t>
  </si>
  <si>
    <t>Conversion to Use Class C3 of part only of B1 commercial space (with direct access at ground floor level) approved under LPA Ref: 13/3388 and providing at first floor level 4 x 2 Bed and 2 x 1 Bed dwellings.</t>
  </si>
  <si>
    <t xml:space="preserve">Unit B, 1 Railshead Road, Twickenham TW7 7EP
</t>
  </si>
  <si>
    <t>TW7 7EP</t>
  </si>
  <si>
    <t>CA19 St Margarets</t>
  </si>
  <si>
    <t>22/2877/GPD26</t>
  </si>
  <si>
    <t>Change of Use from the existing Use Class E (dental surgery) to the Use Class C3 (Residential Flat)</t>
  </si>
  <si>
    <t>9A Tangley Park Road, Hampton TW12 3YH</t>
  </si>
  <si>
    <t>TW12 3YH</t>
  </si>
  <si>
    <t>23/0113/FUL</t>
  </si>
  <si>
    <t>CON</t>
  </si>
  <si>
    <t>Retrospective application for a single storey rear extension to create self-contained flat, including installation of solar panels.</t>
  </si>
  <si>
    <t xml:space="preserve">321 Richmond Road, Kingston Upon Thames KT2 5QU
</t>
  </si>
  <si>
    <t>20/0127/FUL</t>
  </si>
  <si>
    <t>Conversion of existing maisonette on first and second floors into 2 flats (1 x 1 bedroom flat and 1 x 2 bedroom flat)</t>
  </si>
  <si>
    <t xml:space="preserve">350 Richmond Road, Twickenham TW1 2DU
</t>
  </si>
  <si>
    <t>TW1 2DU</t>
  </si>
  <si>
    <t>East Twickenham</t>
  </si>
  <si>
    <t>CA66 Richmond Road East Twickenham</t>
  </si>
  <si>
    <t>22/1512/GPD26</t>
  </si>
  <si>
    <t>Conversion of the rear of the existing shop from Class E(a) to one self-contained flat (Class C3 Use)</t>
  </si>
  <si>
    <t xml:space="preserve">408 Richmond Road, Twickenham TW1 2EB
</t>
  </si>
  <si>
    <t>TW1 2EB</t>
  </si>
  <si>
    <t>15/3184/GPD15</t>
  </si>
  <si>
    <t>Proposed change of use from B1(a) Office use to C3 Residential use (1 flat).</t>
  </si>
  <si>
    <t xml:space="preserve">31 Hampton Road, Twickenham TW2 5QE
</t>
  </si>
  <si>
    <t>TW2 5QE</t>
  </si>
  <si>
    <t>Hampton Road, Twickenham</t>
  </si>
  <si>
    <t>22/2177/FUL</t>
  </si>
  <si>
    <t xml:space="preserve">Part change of use of ground floor from commercial to C3 (residential) use, removal of rear access stairs, relocation of exisitng extraction flue, alterations to fenestration arrangement, two storey rear infill extension, Replacement of Roof with New Flat Red Clay Roof Tiles and 3 x dormer roof extensions and rooflights to facilitate the conversion of 2 x Three Bed Maisonettes into 4 x No. Self-contained Studio and 3 x one bed Flats and associated refuse store. </t>
  </si>
  <si>
    <t xml:space="preserve">102 - 104 Kew Road, Richmond TW9 2PQ
</t>
  </si>
  <si>
    <t>TW9 2PQ</t>
  </si>
  <si>
    <t>Kew Road</t>
  </si>
  <si>
    <t>CA36 Kew Foot Road</t>
  </si>
  <si>
    <t>23/2038/GPD26</t>
  </si>
  <si>
    <t>Conversion of rear part of shop (use class E) into 1x flat (use class C3).</t>
  </si>
  <si>
    <t>157A White Hart Lane, Barnes SW13 0JP</t>
  </si>
  <si>
    <t>SW13 0JP</t>
  </si>
  <si>
    <t>Priests Bridge, Barnes</t>
  </si>
  <si>
    <t>23/0526/GPD26</t>
  </si>
  <si>
    <t>change of use of the ground floor from financial and commercial (formerly use class A2 - now Class E) to a one bedroom dwelling house._x000D_</t>
  </si>
  <si>
    <t xml:space="preserve">138 Sheen Road, Richmond TW9 1UR
</t>
  </si>
  <si>
    <t>TW9 1UR</t>
  </si>
  <si>
    <t>Sheen Road</t>
  </si>
  <si>
    <t>CA31 Sheen Road Richmond</t>
  </si>
  <si>
    <t>22/2230/GPD26</t>
  </si>
  <si>
    <t>The change of use of the ground floor from commercial business and service(Class E) to residential (Class C3) to provide 1 no. 2 bed flat</t>
  </si>
  <si>
    <t xml:space="preserve">34 Crown Road, Twickenham TW1 3EH
</t>
  </si>
  <si>
    <t>TW1 3EH</t>
  </si>
  <si>
    <t>St Margarets</t>
  </si>
  <si>
    <t>CA49 Crown Road St Margarets</t>
  </si>
  <si>
    <t>14/5284/FUL</t>
  </si>
  <si>
    <t>The reversion of a Building of Townscape Merit from two self-contained flats (1x1 and 1x3 beds) to a single-family dwelling (Use Class C3: Dwelling Houses) including a rear side infill extension with associated works.</t>
  </si>
  <si>
    <t xml:space="preserve">46 Halford Road, Richmond
</t>
  </si>
  <si>
    <t>TW10 6AP</t>
  </si>
  <si>
    <t>CA5 Richmond Hill</t>
  </si>
  <si>
    <t>15/3297/FUL</t>
  </si>
  <si>
    <t>SITE B. The site is currently an open parking court of approximately 28 spaces accessed from Bucklands Road. Create a pair of semi-detached high quality four-bedroom houses.
-Provision of 24 car parking spaces</t>
  </si>
  <si>
    <t xml:space="preserve">Garage Site B, Bucklands Road, Teddington
</t>
  </si>
  <si>
    <t>TW11 9QS</t>
  </si>
  <si>
    <t>16/0680/FUL</t>
  </si>
  <si>
    <t>EXT</t>
  </si>
  <si>
    <t>Part demolition of single dwelling house and formation of two semi-detached houses.</t>
  </si>
  <si>
    <t xml:space="preserve">2 Firs Avenue, East Sheen SW14 7NZ
</t>
  </si>
  <si>
    <t>SW14 7NZ</t>
  </si>
  <si>
    <t>16/3506/FUL</t>
  </si>
  <si>
    <t>Demolition of the existing building and erection of 2 buildings at single-storey and three-stories to provide 24 affordable residential units (sheltered accommodation for older people of the minimum age of 55) with associated external amenities, communal</t>
  </si>
  <si>
    <t>Somerville House, 1 Rodney Road, Twickenham</t>
  </si>
  <si>
    <t>TW2 7AL</t>
  </si>
  <si>
    <t>Social Rent Existing</t>
  </si>
  <si>
    <t>17/4005/FUL</t>
  </si>
  <si>
    <t>MIX</t>
  </si>
  <si>
    <t>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t>
  </si>
  <si>
    <t>51 Kew Road, Richmond TW9 2NQ</t>
  </si>
  <si>
    <t>TW9 2NQ</t>
  </si>
  <si>
    <t>CA17 Central Richmond</t>
  </si>
  <si>
    <t>17/4015/FUL</t>
  </si>
  <si>
    <t>Erection of 2no. dwellings with associated cycle parking and refuse storage.</t>
  </si>
  <si>
    <t xml:space="preserve">Land To Rear Of 34 - 40 The Quadrant, Richmond
</t>
  </si>
  <si>
    <t>TW9 1DN</t>
  </si>
  <si>
    <t>17/4292/FUL</t>
  </si>
  <si>
    <t>Proposed roof and side extension to the existing two storey residential building to provide three new apartment units and to increase the size of four of the existing units. Alterations to elevations including balconies at first and second floor.</t>
  </si>
  <si>
    <t xml:space="preserve">Cliveden House, Victoria Villas, Richmond TW9 2JX
</t>
  </si>
  <si>
    <t>TW9 2JX</t>
  </si>
  <si>
    <t>19/1728/FUL</t>
  </si>
  <si>
    <t>Conversion and alteration of the existing garage building to provide a one bedroom flat over two levels together with a garden amenity area.</t>
  </si>
  <si>
    <t xml:space="preserve">Manning House, 3 Gloucester Road, Teddington TW11 0NS
</t>
  </si>
  <si>
    <t>TW11 0NS</t>
  </si>
  <si>
    <t>19/1763/FUL</t>
  </si>
  <si>
    <t>Demolition of existing residential garages and erection of 2x four bed semi-detached houses (Use Class C3), associated amenity space, landscaping, car and cycle parking and refuse storage.</t>
  </si>
  <si>
    <t xml:space="preserve">Garages At Craneford Way, Twickenham
</t>
  </si>
  <si>
    <t>TW2 7SQ</t>
  </si>
  <si>
    <t>19/3324/FUL</t>
  </si>
  <si>
    <t>Demolition of 30 garages and erection of 5 x 3 bedroom detached dwellings with associated hard and soft landscaping, parking and cycle and refuse stores</t>
  </si>
  <si>
    <t xml:space="preserve">Garages And Land Adjacent Railway, South Worple Way, East Sheen
</t>
  </si>
  <si>
    <t>SW14 8</t>
  </si>
  <si>
    <t>19/3905/FUL</t>
  </si>
  <si>
    <t>Replacement shopfront, replacement windows, 2 no. rooflights on front roof slope, new basement level with lightwells and rear staircase ground floor side/rear extension and 3 rear dormer roof extension to facilitate the provision of 1 no. retail unit and 7 no. flats (5 x studio flats and 2 x 1 bed flats) with associated hard and soft landscaping, cycle and refuse stores.</t>
  </si>
  <si>
    <t>422 Upper Richmond Road West, East Sheen</t>
  </si>
  <si>
    <t>SW14 7JX</t>
  </si>
  <si>
    <t>20/0222/FUL</t>
  </si>
  <si>
    <t>Erection of a two storey residential building with accommodation within the roof to provide 14 flats (11 x 1 bed &amp; 3 x 2 bed units) with associated car parking and landscaping.</t>
  </si>
  <si>
    <t xml:space="preserve">Land Adjacent To 38 - 42 Hampton Road, Teddington
</t>
  </si>
  <si>
    <t>TW11 0JE</t>
  </si>
  <si>
    <t>20/0990/FUL</t>
  </si>
  <si>
    <t>Demolition of existing garage and the erection of a single storey studio dwelling unit with associated hard and soft landscaping, refuse and cycle stores and boundary treatment.</t>
  </si>
  <si>
    <t>Land Rear Of 40 Pagoda Avenue, Richmond TW9 2HF</t>
  </si>
  <si>
    <t>TW9 2HF</t>
  </si>
  <si>
    <t>20/0997/FUL</t>
  </si>
  <si>
    <t>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t>
  </si>
  <si>
    <t>2 Grand Parade, East Sheen SW14 7PS</t>
  </si>
  <si>
    <t>SW14 7PS</t>
  </si>
  <si>
    <t>20/1986/FUL</t>
  </si>
  <si>
    <t>Replacement of the dwelling and garages with a new build dwelling and garage. Demolition of the existing dwelling and garages. Uses as existing</t>
  </si>
  <si>
    <t>17A Strawberry Hill Road, Twickenham TW1 4QB</t>
  </si>
  <si>
    <t>TW1 4QB</t>
  </si>
  <si>
    <t>CA43 Strawberry Hill Road</t>
  </si>
  <si>
    <t>20/2393/FUL</t>
  </si>
  <si>
    <t>Conversion of Upper Floors to No. 104 (House of Multiple Occupation) to two self contained Flats, with new ground floor pedestrian access.</t>
  </si>
  <si>
    <t>102-104 Heath Road, Twickenham TW1 4BW</t>
  </si>
  <si>
    <t>TW1 4BW</t>
  </si>
  <si>
    <t>20/2500/FUL</t>
  </si>
  <si>
    <t>Erection of a single detached dwellinghouse with basement and sunken patio following demolition of existing side extension to former care home.   Conversion of former care home to a single dwellinghouse together with a proposed single storey rear extensio</t>
  </si>
  <si>
    <t xml:space="preserve">96 Wensleydale Road, Hampton TW12 2LY
</t>
  </si>
  <si>
    <t>TW12 2LY</t>
  </si>
  <si>
    <t>20/3164/OUT</t>
  </si>
  <si>
    <t>Outline application for a single storey 2 bedroomed dwelling to the rear of 2 Sunbury Avenue, associated hard and soft landscaping and off-street parking</t>
  </si>
  <si>
    <t>Land Rear Of 2 Sunbury Avenue, East Sheen</t>
  </si>
  <si>
    <t>SW14</t>
  </si>
  <si>
    <t>20/3740/FUL</t>
  </si>
  <si>
    <t>Erection of two semi detached houses with associated landscaping and parking</t>
  </si>
  <si>
    <t xml:space="preserve">86 Ormond Drive, Hampton TW12 2TN
</t>
  </si>
  <si>
    <t>TW12 2TN</t>
  </si>
  <si>
    <t>21/1219/GPD15</t>
  </si>
  <si>
    <t>Change of use from offices (B1a) to single dwelling house (C3).</t>
  </si>
  <si>
    <t>Suite 1, 47 St Margarets Grove, Twickenham TW1 1JF</t>
  </si>
  <si>
    <t>TW1 1JF</t>
  </si>
  <si>
    <t>21/1220/GPD15</t>
  </si>
  <si>
    <t>Change of use of suites 2, 3 and 4 from offices (B1) to 3 one-bedroom single family dwellings.</t>
  </si>
  <si>
    <t xml:space="preserve">Suites 2, 3 And 4, 47 St Margarets Grove, Twickenham
</t>
  </si>
  <si>
    <t>21/1639/FUL</t>
  </si>
  <si>
    <t>Demolition of existing dwelling and construction of two-storey, 2-bedroom detached dwelling, with associated parking, landscaping, boundary treatments and associated works.</t>
  </si>
  <si>
    <t xml:space="preserve">12 Oxford Road, Teddington TW11 0PZ
</t>
  </si>
  <si>
    <t>TW11 0PZ</t>
  </si>
  <si>
    <t>21/2559/FUL</t>
  </si>
  <si>
    <t>Proposed Conversion of Existing Dwelling to 1no. Two Bedroom Dwelling and 1no. Three Bedroom Dwelling</t>
  </si>
  <si>
    <t xml:space="preserve">96 Court Way, Twickenham TW2 7SW
</t>
  </si>
  <si>
    <t>TW2 7SW</t>
  </si>
  <si>
    <t>21/2646/FUL</t>
  </si>
  <si>
    <t>Two storey side extension to facilitate the conversion of the existing house into two flats. Associated cycle and refuse stores. Solar panels on rear roofslope and side roofslope to outrigger.</t>
  </si>
  <si>
    <t>39 Gainsborough Road, Richmond TW9 2DZ</t>
  </si>
  <si>
    <t>TW9 2DZ</t>
  </si>
  <si>
    <t>21/2775/FUL</t>
  </si>
  <si>
    <t>The subdivision of existing plot comprising of the erection of a 2-storey dwelling house as an extension of the existing semi-detached terrace; associated external works to the existing semi-detached building, including changes to the roof form and a sing</t>
  </si>
  <si>
    <t xml:space="preserve">2 Thompson Avenue, Richmond TW9 4JW
</t>
  </si>
  <si>
    <t>TW9 4JW</t>
  </si>
  <si>
    <t>21/3152/FUL</t>
  </si>
  <si>
    <t>Demolition of existing house and construction of detached 2-storey dwelling house with basement and accomodation in roof space and associated hard and soft landscaping</t>
  </si>
  <si>
    <t xml:space="preserve">2 Fife Road, East Sheen SW14 7EP
</t>
  </si>
  <si>
    <t>SW14 7EP</t>
  </si>
  <si>
    <t>CA13 Christchurch Road East Sheen</t>
  </si>
  <si>
    <t>21/3498/FUL</t>
  </si>
  <si>
    <t>Single-storey side / rear extension, rear dormer roof extension to main roof and roof to outrigger, rooflights on front roof slope, replacement windows on all elevations and removal of rear chimneys to facilitate the reversion of two two-bedroom self-cont</t>
  </si>
  <si>
    <t>17 Elm Grove Road, Barnes</t>
  </si>
  <si>
    <t>SW13 0BU</t>
  </si>
  <si>
    <t>CA32 Barnes Common</t>
  </si>
  <si>
    <t>21/3676/GPD26</t>
  </si>
  <si>
    <t>Change of use from Doctors Surgery (Class E) to a Single Family/Household Dwellinghouse (C3)</t>
  </si>
  <si>
    <t xml:space="preserve">224 London Road, Twickenham TW1 1EU
</t>
  </si>
  <si>
    <t>TW1 1EU</t>
  </si>
  <si>
    <t>21/4278/FUL</t>
  </si>
  <si>
    <t>Conversion of three flats to single dwelling. Proposed single storey rear extension.</t>
  </si>
  <si>
    <t xml:space="preserve">Kingsleigh House, 5 St Albans Gardens, Teddington
</t>
  </si>
  <si>
    <t>TW11 8AE</t>
  </si>
  <si>
    <t>CA27 Teddington Lock</t>
  </si>
  <si>
    <t>21/4401/FUL</t>
  </si>
  <si>
    <t>Second floor rear roof extension and the conversion of the existing dwelling to form three new flats.</t>
  </si>
  <si>
    <t xml:space="preserve">14 Whitton Road, Twickenham TW1 1BJ
</t>
  </si>
  <si>
    <t>TW1 1BJ</t>
  </si>
  <si>
    <t>22/0229/GPD26</t>
  </si>
  <si>
    <t>Change of use from offices to dwelling houses to create 2 self contained flats (3b 6p, 5b 8p)</t>
  </si>
  <si>
    <t xml:space="preserve">32 Candler Mews, Twickenham TW1 3JF
</t>
  </si>
  <si>
    <t>TW1 3JF</t>
  </si>
  <si>
    <t>22/0523/FUL</t>
  </si>
  <si>
    <t>Erection of a 5-bedroom dwellinghouse with associated outbuilding, parking and landscaping following demolition of the existing bungalow</t>
  </si>
  <si>
    <t>45 Langham Road, Teddington TW11 9HF</t>
  </si>
  <si>
    <t>TW11 9HF</t>
  </si>
  <si>
    <t>22/0624/GPD26</t>
  </si>
  <si>
    <t>Change of use of first floor from offices (Class E) to residential (Class C3) (1no. studio and 2no. one bed)</t>
  </si>
  <si>
    <t xml:space="preserve">6 High Street, Teddington TW11 8EP
</t>
  </si>
  <si>
    <t>TW11 8EP</t>
  </si>
  <si>
    <t>CA37 High Street Teddington</t>
  </si>
  <si>
    <t>22/0785/FUL</t>
  </si>
  <si>
    <t>Installation of front and rear rooflights to facilitate the conversion of an existing 3 bed maisonette to 2 x self-contained flats (1 x 1 bed and 1 x 2 bed) with associated cycle and waste storage.</t>
  </si>
  <si>
    <t xml:space="preserve">6 Colston Road, East Sheen SW14 7PQ
</t>
  </si>
  <si>
    <t>SW14 7PQ</t>
  </si>
  <si>
    <t>22/1167/GPD26</t>
  </si>
  <si>
    <t>Change of use of the second floor only from  commercial, business and service (Use Class E) to dwellinghouses (Use Class C3) to provide 2 x two-bedroom (4 person) apartments and cycle parking</t>
  </si>
  <si>
    <t xml:space="preserve">Second Floor Offices, 27 - 28 George Street, Richmond TW9 1HY
</t>
  </si>
  <si>
    <t>TW9 1HY</t>
  </si>
  <si>
    <t>22/1929/GPD26</t>
  </si>
  <si>
    <t>Conversion of ground floor &amp; first floor offices to  x1. 1 bed flat  and x1 . 2 bed flat</t>
  </si>
  <si>
    <t xml:space="preserve">46 - 48 Heath Road, Twickenham
</t>
  </si>
  <si>
    <t>TW1</t>
  </si>
  <si>
    <t>22/2043/FUL</t>
  </si>
  <si>
    <t>Replacement railing to rear and conversion into one dwellinghouse. Installation of ac unit.</t>
  </si>
  <si>
    <t>Ryan House, Cross Deep, Twickenham TW1 4QJ</t>
  </si>
  <si>
    <t>TW1 4QJ</t>
  </si>
  <si>
    <t>CA8 Twickenham Riverside</t>
  </si>
  <si>
    <t>22/2110/GPD26</t>
  </si>
  <si>
    <t>Conversion of 3 Friars Lane and part of ground floor of 4 Friars Lane from Class E to C3 dwellinghouses - provision of 3no. flats. _x000D_</t>
  </si>
  <si>
    <t xml:space="preserve">3 And 4 Friars Lane, Richmond
</t>
  </si>
  <si>
    <t>TW9 1NL</t>
  </si>
  <si>
    <t>CA3 Richmond Green</t>
  </si>
  <si>
    <t>22/2111/GPD26</t>
  </si>
  <si>
    <t>Conversion of part of ground floor of 4 Friars Lane to provide 1no. 1 bedroom flat._x000D_</t>
  </si>
  <si>
    <t xml:space="preserve">4 Friars Lane, Richmond TW9 1NL
</t>
  </si>
  <si>
    <t>22/2797/FUL</t>
  </si>
  <si>
    <t>Change of use from C3 (Residential) to 1 x Class E (office) unit and 1 x 2 bed residential unit.  Addition of dormer to first floor with door and installation of railings at first floor to facilitate use of roof as roof terrace. Solar panels to roof.</t>
  </si>
  <si>
    <t xml:space="preserve">1A Worple Street, Mortlake SW14 8HE
</t>
  </si>
  <si>
    <t>SW14 8HE</t>
  </si>
  <si>
    <t>22/3288/FUL</t>
  </si>
  <si>
    <t>Conversion of dwelling into 2no. one-bedroom flats and associated landscaping, cycle and refuse storage facilities.</t>
  </si>
  <si>
    <t xml:space="preserve">149 Hospital Bridge Road, Twickenham
</t>
  </si>
  <si>
    <t>TW2 6LE</t>
  </si>
  <si>
    <t>22/3588/GPD26</t>
  </si>
  <si>
    <t>Conversion of first floor office unit into 1 x two-bedroom self-contained flat.</t>
  </si>
  <si>
    <t xml:space="preserve">Unit 23, Station Point, 121 Sandycombe Road, Richmond TW9 2AD
</t>
  </si>
  <si>
    <t>TW9 2AD</t>
  </si>
  <si>
    <t>23/0307/FUL</t>
  </si>
  <si>
    <t>Change of use from C3 (Residential) to Sui Generis (mixed use C3 and E (f) to provide Childcare On Domestic Premises). Retention of storage units to front garden._x000D_</t>
  </si>
  <si>
    <t xml:space="preserve">50 Graemesdyke Avenue, East Sheen SW14 7BJ
</t>
  </si>
  <si>
    <t>SW14 7BJ</t>
  </si>
  <si>
    <t>23/0746/ES191</t>
  </si>
  <si>
    <t>Establish use of property a single family dwellinghouse</t>
  </si>
  <si>
    <t xml:space="preserve">9 Vicarage Gardens, East Sheen SW14 8RT
</t>
  </si>
  <si>
    <t>SW14 8RT</t>
  </si>
  <si>
    <t>23/1163/ES191</t>
  </si>
  <si>
    <t>Use of each flat as a self contained dwelling. The two flats have been used for well over twenty years as self contained apartments.</t>
  </si>
  <si>
    <t>Flats E And F - First Floor Front And Rear Flats, 21 The Barons, Twickenham TW1 2AP</t>
  </si>
  <si>
    <t>TW1 2AP</t>
  </si>
  <si>
    <t>CA24 Twickenham Park</t>
  </si>
  <si>
    <t>23/1346/ES191</t>
  </si>
  <si>
    <t>Use as an indepedent single residential dwelling house</t>
  </si>
  <si>
    <t xml:space="preserve">Studio Rear Of 12 Mortlake Road, Kew, Richmond TW9 3JA
</t>
  </si>
  <si>
    <t>TW9 3JA</t>
  </si>
  <si>
    <t>CA2 Kew Green</t>
  </si>
  <si>
    <t>23/1664/ES191</t>
  </si>
  <si>
    <t>To establish the use of the property as an HMO exceeding 6 unrelated persons (sui generis).</t>
  </si>
  <si>
    <t xml:space="preserve">175 Sheen Lane, East Sheen SW14 8LE
</t>
  </si>
  <si>
    <t>SW14 8LE</t>
  </si>
  <si>
    <t>CA64 Sheen Lane East Sheen</t>
  </si>
  <si>
    <t>23/3131/ES191</t>
  </si>
  <si>
    <t>Certificate of lawfulness existing to confirm use of 355 - 357 Lonsdale Road  as a single dwellinghouse from being converted from 2 flats since May 2019.</t>
  </si>
  <si>
    <t>355 To 357 Lonsdale Road, Barnes SW13 9PY</t>
  </si>
  <si>
    <t>SW13 9PY</t>
  </si>
  <si>
    <t>CA1 Barnes Green</t>
  </si>
  <si>
    <t>23/3251/ES191</t>
  </si>
  <si>
    <t>Use of accommodation known as 21a Winchester Road, Twickenham, TW1 1LE as a separate and self-contained C3 dwellinghouse. The accommodation in question is fully self-contained, has separate access, and has a long history of independent and separate occupancy as a self-contained C3 dwellinghouse</t>
  </si>
  <si>
    <t xml:space="preserve">21 Winchester Road, Twickenham TW1 1LE
</t>
  </si>
  <si>
    <t>TW1 1LE</t>
  </si>
  <si>
    <t>17/0925/FUL</t>
  </si>
  <si>
    <t>Two storey side extension, first floor rear extension, rear dormer roof extension and installation of external metal staircase to facilitate the provision of 1 no. 1 bed flat and reconfiguration of existing 2 bed flat to 1 bed flat and associated parking,</t>
  </si>
  <si>
    <t xml:space="preserve">638 Hanworth Road, Whitton TW4 5NP
</t>
  </si>
  <si>
    <t>21/0754/GPD15</t>
  </si>
  <si>
    <t>Change of use from existing offices in building of 63-65 High Street to 12 residential flats (including retention of 3 existing self-contained flats on second floor).</t>
  </si>
  <si>
    <t xml:space="preserve">63 - 65 High Street, Hampton Hill
</t>
  </si>
  <si>
    <t>TW12 1NH</t>
  </si>
  <si>
    <t>High Street, Hampton Hill</t>
  </si>
  <si>
    <t>CA38 High Street Hampton Hill</t>
  </si>
  <si>
    <t>17/3667/FUL</t>
  </si>
  <si>
    <t>Demolition of existing staff accommodation caravans and storage barn and erection of replacement grooms accommodation.</t>
  </si>
  <si>
    <t xml:space="preserve">Manor Farm Riding School, Petersham Road, Petersham, Richmond TW10 7AH
</t>
  </si>
  <si>
    <t>TW10 7AH</t>
  </si>
  <si>
    <t>MOL - Petersham Lodge</t>
  </si>
  <si>
    <t>CA6 Petersham</t>
  </si>
  <si>
    <t>18/1442/FUL</t>
  </si>
  <si>
    <t>Demolition of the existing outbuilding to the rear of no.48 Fourth Cross Road accessed via Rutland Road and construction of 1x2 bedroom dwelling including basement, with associated car parking, cycle parking and recycle/refuse storage.</t>
  </si>
  <si>
    <t xml:space="preserve">Land Rear Of 48 Fourth Cross Road, Twickenham
</t>
  </si>
  <si>
    <t>TW2 5ER</t>
  </si>
  <si>
    <t>18/1889/FUL</t>
  </si>
  <si>
    <t>Erection of a pair of 2 storey semi-detached 2 bed (1 x 2B4P and 1 x 2B3P) dwellinghouses with associated hard and soft landscaping and parking.</t>
  </si>
  <si>
    <t xml:space="preserve">Land To The Side Of 61 Acacia Road, Hampton TW12 3DP
</t>
  </si>
  <si>
    <t>TW12 3DP</t>
  </si>
  <si>
    <t>19/2404/FUL</t>
  </si>
  <si>
    <t>Redevelopment of existing hard standing court to accommodate new 4 storey residential building (comprising 11x1 bed and 1x2 bed charitable housing units) fronting Queens Road and 15 no. surface car parking spaces to the rear. Creation of a new multi-use recreational space, minor alterations for the existing Dickson House office building and a small extension (26 sqm) to the Cambrian Centre at the ground floor of the Caplan Court Building.</t>
  </si>
  <si>
    <t xml:space="preserve">Queens Road Estate, Queens Road, Richmond TW10
</t>
  </si>
  <si>
    <t>TW10</t>
  </si>
  <si>
    <t>20/1885/FUL</t>
  </si>
  <si>
    <t>Conversion of public house to a single residential dwelling</t>
  </si>
  <si>
    <t xml:space="preserve">80 Windmill Road, Hampton Hill, Hampton TW12 1QU
</t>
  </si>
  <si>
    <t>TW12 1QU</t>
  </si>
  <si>
    <t>20/2411/FUL</t>
  </si>
  <si>
    <t>Erection of a 3 bed detached dwelling house with associated off-street parking and amenity space</t>
  </si>
  <si>
    <t>52 Ringwood Way, Hampton Hill TW12 1AT</t>
  </si>
  <si>
    <t>TW12 1AT</t>
  </si>
  <si>
    <t>21/2441/FUL</t>
  </si>
  <si>
    <t>Change of use (to C3) of former Royal Oak Public House. Alterations and extension to ground floor, and alterations to existing facades to create 1 x 3 bedroom dwellinghouse with 2 x off-street parking spaces and associated cycle parking.</t>
  </si>
  <si>
    <t>The Royal Oak, Ham Street, Ham, Richmond TW10 7HN</t>
  </si>
  <si>
    <t>TW10 7HN</t>
  </si>
  <si>
    <t>MOL - The Manor House Ham</t>
  </si>
  <si>
    <t>CA23 Ham House</t>
  </si>
  <si>
    <t>21/3330/FUL</t>
  </si>
  <si>
    <t>Construction of terrace of 3 family houses with associated parking and landscaping.</t>
  </si>
  <si>
    <t xml:space="preserve">Car Park, Brooklands Place, Hampton
</t>
  </si>
  <si>
    <t>TW12</t>
  </si>
  <si>
    <t>22/1453/FUL</t>
  </si>
  <si>
    <t>Proposed four bedroom dwelling house with full wheelchair accessibility to all levels &amp; rooms.  The proposed dwelling is to be built in the side garden of number 47 Nightingale Road.</t>
  </si>
  <si>
    <t xml:space="preserve">47 Nightingale Road, Hampton TW12 3HZ
</t>
  </si>
  <si>
    <t>TW12 3HZ</t>
  </si>
  <si>
    <t>22/1568/FUL</t>
  </si>
  <si>
    <t>Demolition of the existing 5-bed bungalow and replacement with a 5-bed family house. Associated hard and soft landscaping. Installation of vehicular and pedestrian gate. Bike and refuse stores.</t>
  </si>
  <si>
    <t xml:space="preserve">Jude Gate, 35 Ham Common, Ham, Richmond TW10 7JG
</t>
  </si>
  <si>
    <t>TW10 7JG</t>
  </si>
  <si>
    <t>CA7 Ham Common</t>
  </si>
  <si>
    <t>04/1020/FUL</t>
  </si>
  <si>
    <t>Erection Of One And Half Storey Rear Extension To Create Self Contained Dwelling</t>
  </si>
  <si>
    <t>83 High Street, Hampton Wick</t>
  </si>
  <si>
    <t>KT1 4DG</t>
  </si>
  <si>
    <t>Hampton Wick</t>
  </si>
  <si>
    <t>CA18 Hampton Wick</t>
  </si>
  <si>
    <t>11/0468/PS192</t>
  </si>
  <si>
    <t>Continuing construction of block of 11 flats on site of Osbourne House under permission 07/2991/FUL after 28/02/2011 (when the permission would otherwise have expired) will be lawful.</t>
  </si>
  <si>
    <t xml:space="preserve">Becketts Wharf And Osbourne House, Becketts Place, Hampton Wick
</t>
  </si>
  <si>
    <t>16/2537/FUL</t>
  </si>
  <si>
    <t>Demolition of the existing building, and redevelopment of the site for 8 residential units (1 x 1 bed, 7 x 2 bed units) with associated car and cycle parking, amenity space, refuse and recycling storage.</t>
  </si>
  <si>
    <t xml:space="preserve">1D Becketts Place, Hampton Wick
</t>
  </si>
  <si>
    <t>KT1 4EW</t>
  </si>
  <si>
    <t>19/3490/FUL</t>
  </si>
  <si>
    <t>Part two-storey/part single-storey rear extension to provide 1no. additional dwelling, including associated alterations to fenestration, following demolition of existing single-storey rear extension.</t>
  </si>
  <si>
    <t xml:space="preserve">81 High Street, Hampton Wick KT1 4DG
</t>
  </si>
  <si>
    <t>21/4038/FUL</t>
  </si>
  <si>
    <t>Change of use of ground floor and basement of the former Old Kings Head public house to a Mixed Use Community Cycle Hub comprising Café (Use Class E(b)), Training Area (Use Class F2(b)) and Treatment Room/Medical (Use Class E(e)) and 1No. 1-bedroom  apartment.   Alterations and conversion of the first and second floors to replace existing staff accommodation with 3No. 2-bedroom apartments.</t>
  </si>
  <si>
    <t xml:space="preserve">The Old Kings Head, Hampton Court Road, Hampton Wick KT1 4AE
</t>
  </si>
  <si>
    <t>KT1 4AE</t>
  </si>
  <si>
    <t>MOL - Hampton Court</t>
  </si>
  <si>
    <t>23/1471/GPD26</t>
  </si>
  <si>
    <t>Change of use and addition of mezzanine floor to create 5 residential units_x000D_</t>
  </si>
  <si>
    <t xml:space="preserve">12 Park Road, Hampton Wick KT1 4AS
</t>
  </si>
  <si>
    <t>KT1 4AS</t>
  </si>
  <si>
    <t>20/2841/FUL</t>
  </si>
  <si>
    <t>Proposed erection of single storey building at rear to provide 1 no. self contained flat</t>
  </si>
  <si>
    <t xml:space="preserve">118A - 118B High Street, Hampton Hill, Hampton TW12 1NT
</t>
  </si>
  <si>
    <t>TW12 1NT</t>
  </si>
  <si>
    <t>22/2360/FUL</t>
  </si>
  <si>
    <t>Demolition of the existing buildings. Erection of a three storey mixed-use building on Priests Bridge (comprising Use Class E and 7 x residential units on first and second floor (three 1-bedroom flats, four 2-bedrooms flats)).  Erection of a part-one, par</t>
  </si>
  <si>
    <t xml:space="preserve">26-28 Priests Bridge, East Sheen SW14 8TA
</t>
  </si>
  <si>
    <t>SW14 8TA</t>
  </si>
  <si>
    <t>16/0510/FUL</t>
  </si>
  <si>
    <t>Alterations including construction of a new rear ground floor extension and change of use to commercial space and two 2-bedroom self-contained flats.</t>
  </si>
  <si>
    <t xml:space="preserve">Shanklin House, 70 Sheen Road, Richmond TW9 1UF
</t>
  </si>
  <si>
    <t>TW9 1UF</t>
  </si>
  <si>
    <t>12/1020/FUL</t>
  </si>
  <si>
    <t>Conversion of ground and first floors to create of no. 25-27 which are linked internally to create the following: no. 25 convert to single dwellinghouse with loft conversion. no.27 Convert ground floor to 1 x 2 bed flat, first floor convert to 2 x 1 bed flats, 2nd floor existing 1 x 2 bed and 1 x 1 bed flats to remain as existing.</t>
  </si>
  <si>
    <t xml:space="preserve">25 - 27 Thames Street, Hampton TW12 2EW
</t>
  </si>
  <si>
    <t>TW12 2EW</t>
  </si>
  <si>
    <t>Thames Street, Hampton</t>
  </si>
  <si>
    <t>20/0595/FUL</t>
  </si>
  <si>
    <t>Demolition of existing outbuilding.  Single storey side/rear extension to facilitate change of use of rear part of ground floor (A1 (Retail)) to residential use (Class C3) to create 1 x 1 bed flat with associated cycle and refuse store.</t>
  </si>
  <si>
    <t>64 White Hart Lane, Barnes SW13 0PZ</t>
  </si>
  <si>
    <t>SW13 0PZ</t>
  </si>
  <si>
    <t>White Hart lane, Barnes</t>
  </si>
  <si>
    <t>CA33 Mortlake</t>
  </si>
  <si>
    <t>20/1846/FUL</t>
  </si>
  <si>
    <t>Ground and basement extensions to facilitate change of use of basement and part change of use of ground floor from A1 to C3 to provide a one- bedroom residential unit</t>
  </si>
  <si>
    <t>4 The Broadway, Barnes SW13 0NY</t>
  </si>
  <si>
    <t>SW13 0NY</t>
  </si>
  <si>
    <t>White Hart Lane/Mortlake H</t>
  </si>
  <si>
    <t>13/1327/FUL</t>
  </si>
  <si>
    <t>Reversion of Doughty House and Doughty Cottage, change of use from D1 gallery to a single family dwelling. New conservatory with basement below; underground car parking beneath the upper garden and linked to Doughty House; part re-construction of rear ele</t>
  </si>
  <si>
    <t xml:space="preserve">Doughty House And Doughty Cottage, 142 - 142A Richmond Hill, Richmond
</t>
  </si>
  <si>
    <t>14/2797/P3JPA</t>
  </si>
  <si>
    <t>Proposed change of use of part of an existing two storey office block (B1a Use Class) to Residential (C3 Use Class) creating 6 No.flats (comprising 1 x 1-bed unit and 5 x 2-bed units).</t>
  </si>
  <si>
    <t xml:space="preserve">Crane Mews, 32 Gould Road, Twickenham
</t>
  </si>
  <si>
    <t>TW2 6RS</t>
  </si>
  <si>
    <t>16/0058/FUL</t>
  </si>
  <si>
    <t>Change of use of 2nd floor and 3rd floor level from ancillary retail to nine 1 bedroom flats (C3 use) with external alterations and enclosure of walkway at 1st floor, new residential access, bin store, bicycle storage, replacement of plant, new stairs to</t>
  </si>
  <si>
    <t xml:space="preserve">29 George Street, Richmond TW9 1HY
</t>
  </si>
  <si>
    <t>16/3625/FUL</t>
  </si>
  <si>
    <t>Demolition of existing car repair workshop and replacement with 1 no. ground floor B1(a) commercial unit and 1 no. 2 bed residential unit with associated landscaping, car and cycle parking.</t>
  </si>
  <si>
    <t xml:space="preserve">65 Holly Road, Twickenham TW1 4HF
</t>
  </si>
  <si>
    <t>TW1 4HF</t>
  </si>
  <si>
    <t>16/4635/FUL</t>
  </si>
  <si>
    <t>Construction of a three bedroom single storey dwelling with associated hard and soft landscaping, parking and access road (bollard lit)</t>
  </si>
  <si>
    <t xml:space="preserve">Land Rear Of 12 To 36 Vincam Close, Twickenham
</t>
  </si>
  <si>
    <t>17/0323/FUL</t>
  </si>
  <si>
    <t>Erection of a three-storey building to provide  4 two-bedroom residential units (Class C3) separate refuse facilities and altered parking layout.</t>
  </si>
  <si>
    <t xml:space="preserve">Courtyard Apartments, 70B Hampton Road, Teddington
</t>
  </si>
  <si>
    <t>TW11 0JX</t>
  </si>
  <si>
    <t>17/0788/FUL</t>
  </si>
  <si>
    <t>Demolition of lock up garages to provide 1 no. detached 4 bedroom dwellinghouse with associated parking, cycle and refuse stores, new boundary fence and hard and soft landscaping.</t>
  </si>
  <si>
    <t xml:space="preserve">High Wigsell, 35 Twickenham Road, Teddington
</t>
  </si>
  <si>
    <t>TW11</t>
  </si>
  <si>
    <t>17/1390/FUL</t>
  </si>
  <si>
    <t>Demolition of builders storage building and erection of one bedroomed  2 storey detached dwellinghouse with basement.</t>
  </si>
  <si>
    <t xml:space="preserve">Land Adjacent To No 1 South Western Road, Twickenham
</t>
  </si>
  <si>
    <t>TW1 1LG</t>
  </si>
  <si>
    <t>17/3590/FUL</t>
  </si>
  <si>
    <t>Demolition of the existing garages. Erection of 1 x 2 bed single storey house and 1 x 3 bed single storey house with basement with associated hard and soft landscaping, refuse and cycle stores.</t>
  </si>
  <si>
    <t xml:space="preserve">Garages Rear Of 48-52 Anlaby Road, Teddington
</t>
  </si>
  <si>
    <t>TW11 0PP</t>
  </si>
  <si>
    <t>18/0216/FUL</t>
  </si>
  <si>
    <t>The division of the existing single dwelling on the upper floors into two dwellings. Rear dormer and roof lights to the front roofslope.</t>
  </si>
  <si>
    <t>34 Colston Road, East Sheen SW14 7PG</t>
  </si>
  <si>
    <t>SW14 7PG</t>
  </si>
  <si>
    <t>18/1248/FUL</t>
  </si>
  <si>
    <t>Conversion, refurbishment and extension of existing tyre shop with maisonette above (C3) into two self-contained one bedroom flats (C3).</t>
  </si>
  <si>
    <t>1 Trinity Road, Richmond TW9 2LD</t>
  </si>
  <si>
    <t>TW9 2LD</t>
  </si>
  <si>
    <t>18/3310/FUL</t>
  </si>
  <si>
    <t>Demolition of existing buildings and structures, and redevelopment of the site to provide a 4-6 storey specialist extra care facility for the elderly with existing health conditions, comprising of 88 units, communal healthcare, therapy, leisure and social</t>
  </si>
  <si>
    <t xml:space="preserve">Kew Biothane Plant, Melliss Avenue, Kew
</t>
  </si>
  <si>
    <t>TW9</t>
  </si>
  <si>
    <t>MOL - Townmead Kew</t>
  </si>
  <si>
    <t>18/3768/FUL</t>
  </si>
  <si>
    <t>Demolition of two existing workshop buildings. Change of use from current vacant B1 use to C3. Construction of 2No. semi-detached 5-bedroom family houses consisting of 2 storeys plus loft space with integral garaging.  Associated hard &amp; soft landscaping t</t>
  </si>
  <si>
    <t>58 Oldfield Road, Hampton TW12 2AE</t>
  </si>
  <si>
    <t>TW12 2AE</t>
  </si>
  <si>
    <t>18/3930/FUL</t>
  </si>
  <si>
    <t>Demolition of existing garage and erection of 1No. 2 storey with habitable roofspace 4 bed dwelling with associated hard and soft landscaping. Alterations to existing crossover and creation of a new crossover in front of No.38 Langham Road to facilitate p</t>
  </si>
  <si>
    <t>38 Langham Road, Teddington TW11 9HQ</t>
  </si>
  <si>
    <t>TW11 9HQ</t>
  </si>
  <si>
    <t>18/3950/FUL</t>
  </si>
  <si>
    <t>(1) Conversion of the existing health facilities (use class D1) to a mixed-use development providing 71 no. residential apartments (use class C3) and 500 sqm of D1 (Health) floorspace.  
(2) Restoration, alteration, extensions and demolition (mainly of later additions) to the existing buildings, new build and provision of a lower ground floor basement (car parking, plant and servicing) and associated landscaping.
(3) Listed building consent for the refurbishment and restoration of Shaftesbury House (Grade II listed), conversion of existing health facilities (use class D1) to residential apartments (use class C3) and all ancillary and associated works.</t>
  </si>
  <si>
    <t xml:space="preserve">Richmond Royal Hospital, Kew Foot Road, Richmond, TW9 2TE
</t>
  </si>
  <si>
    <t>TW9 2TE</t>
  </si>
  <si>
    <t>19/0111/FUL</t>
  </si>
  <si>
    <t>Erection of an independent senior living extra care building comprising of 28 units (following demolition of existing care home) at 12 - 14 Station Road, the refurbishment and renovation of Nos.13 and 23 - 33 Lower Teddington Road (including the erection</t>
  </si>
  <si>
    <t xml:space="preserve">12 To 14 Station Road And 13 And 19 To 33 Lower Teddington Road, Hampton Wick
</t>
  </si>
  <si>
    <t>KT1</t>
  </si>
  <si>
    <t>19/0175/FUL</t>
  </si>
  <si>
    <t>Demolition of existing one-bedroom, two-storey dwelling and construction of one-bedroom, one-person single-storey dwelling.</t>
  </si>
  <si>
    <t>The Haven, Eel Pie Island, Twickenham TW1 3DY</t>
  </si>
  <si>
    <t>TW1 3DY</t>
  </si>
  <si>
    <t>19/0911/FUL</t>
  </si>
  <si>
    <t>Proposed construction of additional floor level to create 2 no. additional two bed flats, together with a three storey side extension in the form of a bay window, change to existing fenestration and addition of 8 no. balconies at first and second floor le</t>
  </si>
  <si>
    <t xml:space="preserve">Wick House, 10 Station Road, Hampton Wick KT1 4HF
</t>
  </si>
  <si>
    <t>KT2 4HF</t>
  </si>
  <si>
    <t>19/0954/VRC</t>
  </si>
  <si>
    <t>Minor material amendment to application ref 16/3290/FUL (Partial demolition of an existing building and the creation of 3 new dwelling houses and associated works) by variation of appeal decision condition 2 (approved drawing numbers) to allow for externa</t>
  </si>
  <si>
    <t xml:space="preserve">45 The Vineyard, Richmond TW10 6AS
</t>
  </si>
  <si>
    <t>TW10 6AS</t>
  </si>
  <si>
    <t>CA30 St Matthias Richmond</t>
  </si>
  <si>
    <t>19/1065/VRC</t>
  </si>
  <si>
    <t>Minor material amendment to planning permission 17/4358/VRC (which varied/removed approved conditions attached to planning permission ref: 08/1760/EXT dated 30.06.2017) and as further amended by 17/4358/NMA to enable minor changes to Block A of the staff</t>
  </si>
  <si>
    <t xml:space="preserve">St Pauls School, Lonsdale Road, Barnes SW13 9JT
</t>
  </si>
  <si>
    <t>SW13 9JT</t>
  </si>
  <si>
    <t>19/1162/FUL</t>
  </si>
  <si>
    <t>Part change of use of ground floor and rear garden from A1 to C3 (residential use) and replacement window on ground floor rear elevation to facilitate the conversion of existing 1 x 3 bed flat into 2 x 2 bed flats and associated cycle and refuse stores (R</t>
  </si>
  <si>
    <t xml:space="preserve">82 - 84 Hill Rise, Richmond
</t>
  </si>
  <si>
    <t>TW10 6UB</t>
  </si>
  <si>
    <t>19/1731/FUL</t>
  </si>
  <si>
    <t>Demolition of existing dwellinghouse and erection of replacement two storey 4 bedroom dwellinghouse with associated hard and soft landscaping and cycle and refuse store. Replacement boundary fence/gates.</t>
  </si>
  <si>
    <t>17A Tower Road, Twickenham TW1 4PD</t>
  </si>
  <si>
    <t>TW1 4PD</t>
  </si>
  <si>
    <t>19/1890/FUL</t>
  </si>
  <si>
    <t>Erection of two pairs of semi-detached 4 bedroom dwellings and associated parking and landscaping following the demolition of the existing property.</t>
  </si>
  <si>
    <t>224 Hospital Bridge Road, Twickenham TW2 6LF</t>
  </si>
  <si>
    <t>TW2 6LF</t>
  </si>
  <si>
    <t>19/2199/FUL</t>
  </si>
  <si>
    <t>Erection of a two-storey building with a basement level providing a commercial unit (Flexible Use Class B1 or D1) on part ground floor and basement levels and two flats (2 x 2-beds) on ground and upper floors.  Associated cycle and refuse stores.</t>
  </si>
  <si>
    <t>14 St Leonards Road, East Sheen SW14 7LY</t>
  </si>
  <si>
    <t>SW14 7LY</t>
  </si>
  <si>
    <t>CA70 Sheen Lane Mortlake</t>
  </si>
  <si>
    <t>19/2471/FUL</t>
  </si>
  <si>
    <t>Demoltion of existing staircase/structures to rear. Construction of a part 3 part 2 storey rear extension to provide 2 x new flats and roof terrace (1 x studio and 1 x 1 bed flat) and associated bin store, cycle parking and hard and soft landscaping.</t>
  </si>
  <si>
    <t xml:space="preserve">121 High Street, Whitton, Twickenham TW2 7LG
</t>
  </si>
  <si>
    <t>TW2 7LG</t>
  </si>
  <si>
    <t>19/2789/FUL</t>
  </si>
  <si>
    <t>Demolition of existing commercial building and erection of building to provide 15 affordable residential units, together with 12 parking spaces and communal amenity space.</t>
  </si>
  <si>
    <t>Lockcorp House, 75 Norcutt Road, Twickenham TW2 6SR</t>
  </si>
  <si>
    <t>TW2 6SR</t>
  </si>
  <si>
    <t>19/3616/FUL</t>
  </si>
  <si>
    <t>London Living rent</t>
  </si>
  <si>
    <t>Proposed redevelopment of existing car park to provide a new building of 5 to 6 storeys, comprising 46 no. residential units (Use Class C3), disabled car parking, cycle parking, landscaping, enhancements to public realm and associated works</t>
  </si>
  <si>
    <t xml:space="preserve">Old Station Forecourt, Railway Approach, Twickenham TW1 4LJ
</t>
  </si>
  <si>
    <t>TW1 4LJ</t>
  </si>
  <si>
    <t>19/3857/FUL</t>
  </si>
  <si>
    <t>Part two storey, part first floor infill, part second floor rear extensions and extensions / alterations to the roof to facilitate the conversion of existing 1 x studio and 1 x 2 bed flat into four flats (2 x studio and 2 x 1 bed) and increase in retail f</t>
  </si>
  <si>
    <t>20 London Road, Twickenham TW1 3RR</t>
  </si>
  <si>
    <t>TW1 3RR</t>
  </si>
  <si>
    <t>Replacement shopfront, replacement windows, 2 no. rooflights on front roof slope, new basement level with lightwells and rear staircase ground floor side/rear extension and 3 rear dormer roof extension to facilitate the provision of 1 no. retail unit and</t>
  </si>
  <si>
    <t>20/0145/FUL</t>
  </si>
  <si>
    <t>3,2m rear extension and division of a single flat into 2 flats.</t>
  </si>
  <si>
    <t>133A Percy Road, Twickenham TW2 6HT</t>
  </si>
  <si>
    <t>TW2 6HT</t>
  </si>
  <si>
    <t>20/0539/FUL</t>
  </si>
  <si>
    <t>Demolition of all existing buildings; erection of two 3-storey buildings comprising 30 residential dwellings in total (6 x1 bedroom, 17 x 2 bedroom &amp; 7 x 3 bedroom); erection of single storey nursery building (294 sqm in total) alterations to existing acc</t>
  </si>
  <si>
    <t xml:space="preserve">The Strathmore Centre, Strathmore Road, Teddington TW11 8UH
</t>
  </si>
  <si>
    <t>TW11 8UH</t>
  </si>
  <si>
    <t>Block A</t>
  </si>
  <si>
    <t>Block B</t>
  </si>
  <si>
    <t>20/0773/FUL</t>
  </si>
  <si>
    <t>Erection of 1no. single storey 2 bed dwellinghouse with associated cycle and refuse stores</t>
  </si>
  <si>
    <t>Land At Railway Side, Barnes</t>
  </si>
  <si>
    <t>SW13 0AL</t>
  </si>
  <si>
    <t>CA16 Thorne Passage Mortlake</t>
  </si>
  <si>
    <t>20/1223/FUL</t>
  </si>
  <si>
    <t>The construction of a two storey 4 bedroom dwelling with a basement level following the demolition of the existing house and garage.</t>
  </si>
  <si>
    <t xml:space="preserve">90 Ormond Avenue, Hampton TW12 2RX
</t>
  </si>
  <si>
    <t>TW12 2RX</t>
  </si>
  <si>
    <t>20/2345/FUL</t>
  </si>
  <si>
    <t>Erection of a new 3 bedroom disabled dwelling with mezzanine, dormer room and carers' accommodation and retrospective permission for the demolition of fire destroyed bungalow.</t>
  </si>
  <si>
    <t xml:space="preserve">31A Whitton Waye, Whitton TW3 2LT
</t>
  </si>
  <si>
    <t>TW3 2LT</t>
  </si>
  <si>
    <t>20/2902/FUL</t>
  </si>
  <si>
    <t>New 2-storey detached house with associated parking to replace existing bungalow.</t>
  </si>
  <si>
    <t>60A Wensleydale Road, Hampton TW12 2LX</t>
  </si>
  <si>
    <t>TW12 2LX</t>
  </si>
  <si>
    <t>20/3495/FUL</t>
  </si>
  <si>
    <t>Conversion of existing ancillary residential accommodation to a single-family dwelling house with minor external alterations, associated parking, refuse and cycle enclosures.</t>
  </si>
  <si>
    <t>Land To Rear Of 24 Marchmont Road, Richmond TW10 6HQ</t>
  </si>
  <si>
    <t>TW10 6HQ</t>
  </si>
  <si>
    <t>20/3641/FUL</t>
  </si>
  <si>
    <t>Demolition of existing semi-detached bungalow and garage replacement detached dwelling house (Class C3) comprising ground, first floor and accommodation within the roof space.</t>
  </si>
  <si>
    <t>2 Chestnut Avenue, Hampton TW12 2NU</t>
  </si>
  <si>
    <t>TW12 2NU</t>
  </si>
  <si>
    <t>21/0129/PS192</t>
  </si>
  <si>
    <t>Conversion of the existing 4-storey Use Class A2 unit to mixed-use, comprising an A2 unit at ground floor and two residential flats above on the second, third, and fourth floors.</t>
  </si>
  <si>
    <t>1 London Road, Twickenham TW1 3SX</t>
  </si>
  <si>
    <t>TW1 3SX</t>
  </si>
  <si>
    <t>21/1087/GPD15</t>
  </si>
  <si>
    <t>The proposed works is for the change of use of existing Class E office use on first floor to provide C3 3 x 1 bedroom units and a 1 x 2 bedroom unit</t>
  </si>
  <si>
    <t xml:space="preserve">55 - 61 Heath Road, Twickenham
</t>
  </si>
  <si>
    <t>TW1 4AW</t>
  </si>
  <si>
    <t>21/1841/FUL</t>
  </si>
  <si>
    <t>Demolition of existing car showroom and partial demolition of ancillary offices to facilitate the construction of 4 semi-detached houses with associated landscaping and car parking spaces, construction of a new vehicle access._x000D_</t>
  </si>
  <si>
    <t xml:space="preserve">45 - 49 Station Road, Hampton TW12 2BT
</t>
  </si>
  <si>
    <t>TW12 2BT</t>
  </si>
  <si>
    <t>21/1925/GPD15</t>
  </si>
  <si>
    <t>Change of use of the existing office to create three dwellings</t>
  </si>
  <si>
    <t xml:space="preserve">1A Rosedale Road, Richmond TW9 2SX
</t>
  </si>
  <si>
    <t>TW9 2SX</t>
  </si>
  <si>
    <t>21/2151/FUL</t>
  </si>
  <si>
    <t>Demolition of the existing three storey house and erection of a replacement two storey plus basement single family dwelling with associated hard and soft landscpaing and refuse store.</t>
  </si>
  <si>
    <t xml:space="preserve">40 West Temple Sheen, East Sheen SW14 7AP
</t>
  </si>
  <si>
    <t>SW14 7AP</t>
  </si>
  <si>
    <t>21/2208/FUL</t>
  </si>
  <si>
    <t>Erection of three-storey building comprising six residential apartments (3 x 1 bed/1 person, 2 x 1 bed/2 person, 1 x 1 person M(4)3);  landscaping including private amenity space and ecological enhancement; secure cycle and refuse storage structures.</t>
  </si>
  <si>
    <t xml:space="preserve">Potterill Court, Harlequin Road, Teddington
</t>
  </si>
  <si>
    <t>TW11 9BY</t>
  </si>
  <si>
    <t>21/2282/FUL</t>
  </si>
  <si>
    <t>Erection of a two-storey building comprising 4 residential apartments ( 3 x 1 bed/1 person units and 1 x 1 bed/1 person M(4)3 unit); landscaping including private amenity space and ecological enhancement; secure cycle and refuse storage structures.</t>
  </si>
  <si>
    <t>Land Adjacent 12 Willow Avenue, Barnes</t>
  </si>
  <si>
    <t>SW13 0LT</t>
  </si>
  <si>
    <t>21/2642/FUL</t>
  </si>
  <si>
    <t>Change of use to four C3 residential units for supported living together with external alterations including changes to the roof form and a first floor extension</t>
  </si>
  <si>
    <t>67A Holly Road, Twickenham TW1 4HF</t>
  </si>
  <si>
    <t>21/3136/FUL</t>
  </si>
  <si>
    <t>Demolition of existing college buildings, removal of hard-surfacing, site clearance and groundworks together with the redevelopment of the site to provide new residential units; together with associated parking, cycle parking, open space and landscaping.</t>
  </si>
  <si>
    <t xml:space="preserve">Richmond Upon Thames College, Langhorn Drive, Twickenham TW2 7SJ
</t>
  </si>
  <si>
    <t>TW2 7SJ</t>
  </si>
  <si>
    <t>21/3140/FUL</t>
  </si>
  <si>
    <t>Demolition of 3 houses and construction of 8 new houses at 38 to 42 Vincam close</t>
  </si>
  <si>
    <t xml:space="preserve">38 - 42 Vincam Close, Twickenham
</t>
  </si>
  <si>
    <t>21/3188/FUL</t>
  </si>
  <si>
    <t>Erection of 7 residential units (4 x 1 and 2 bed flats and 3 x 3 bed houses) with ground floor Class E commercial business and service space (73.3m2) including associated works.</t>
  </si>
  <si>
    <t xml:space="preserve">Adjacent To 118 Kneller Road, Twickenham TW2 7DX
</t>
  </si>
  <si>
    <t>21/4119/FUL</t>
  </si>
  <si>
    <t>Construction of new detached family home following demolition of existing detached bungalow.</t>
  </si>
  <si>
    <t xml:space="preserve">92 Sandy Lane, Teddington TW11 0DF
</t>
  </si>
  <si>
    <t>TW11 0DF</t>
  </si>
  <si>
    <t>21/4123/GPD26</t>
  </si>
  <si>
    <t>Change of use and conversion of Unit H from Use Class E office to Use Class C3 dwelling house, with ground level car and cycle parking and refuse storage.</t>
  </si>
  <si>
    <t xml:space="preserve">Unit H, 42 Upper Richmond Road West, East Sheen SW14 8DD
</t>
  </si>
  <si>
    <t>SW14 8DD</t>
  </si>
  <si>
    <t>22/0304/GPD26</t>
  </si>
  <si>
    <t>Change of use from class E office to single dwellinghouse, with ground level car and cycle parking and refuse storage.</t>
  </si>
  <si>
    <t xml:space="preserve">Unit J1 And J2, 42 Upper Richmond Road West, East Sheen SW14 8DD
</t>
  </si>
  <si>
    <t>22/0399/FUL</t>
  </si>
  <si>
    <t>Construction of a part 1/2/3 storey building including basement level to provide 14 co-living units (sui generis) and associated hard and soft landscaping, cycle and refuse stores</t>
  </si>
  <si>
    <t xml:space="preserve">47A 47 And 49 Lower Mortlake Road, Richmond
</t>
  </si>
  <si>
    <t>TW9 2LW</t>
  </si>
  <si>
    <t>22/0754/FUL</t>
  </si>
  <si>
    <t>Demolition and reconstruction of a terraced property with basement, ground and loft extensions.</t>
  </si>
  <si>
    <t xml:space="preserve">28 Westfields Avenue, Barnes SW13 0AU
</t>
  </si>
  <si>
    <t>SW13 0AU</t>
  </si>
  <si>
    <t>22/1458/FUL</t>
  </si>
  <si>
    <t>Erect new end-of-terrace dwelling. Part removal of ground floor rear extension on existing dwellinghouse (amended description).</t>
  </si>
  <si>
    <t xml:space="preserve">57 Warwick Road, Twickenham TW2 6SW
</t>
  </si>
  <si>
    <t>TW2 6SW</t>
  </si>
  <si>
    <t>CA72 Hamilton Road Twickenham</t>
  </si>
  <si>
    <t>22/1711/FUL</t>
  </si>
  <si>
    <t>Demolition of existing building. Erection of 2 semi-detached houses with associated landscaping, parking, and refuse/cycle storage._x000D_</t>
  </si>
  <si>
    <t>116A Amyand Park Road, Twickenham TW1 3HP</t>
  </si>
  <si>
    <t>TW1 3HP</t>
  </si>
  <si>
    <t>22/1742/FUL</t>
  </si>
  <si>
    <t>Demolition of existing building and erection of two semi-detached houses</t>
  </si>
  <si>
    <t xml:space="preserve">34 Udney Park Road, Teddington TW11 9BG
</t>
  </si>
  <si>
    <t>TW11 9BG</t>
  </si>
  <si>
    <t>22/2082/FUL</t>
  </si>
  <si>
    <t>Demolition of 17 existing garages and erection of five one-bed single-storey dwellings (almshouses) for the over 65s.</t>
  </si>
  <si>
    <t xml:space="preserve">Garages Rear Of 20 - 34 St Marys Grove, Richmond
</t>
  </si>
  <si>
    <t>TW9 1UY</t>
  </si>
  <si>
    <t>22/2337/GPD26</t>
  </si>
  <si>
    <t>Conversion of 3 Friars Lane to provide 2no. flats</t>
  </si>
  <si>
    <t xml:space="preserve">3 Friars Lane, Richmond TW9 1NL
</t>
  </si>
  <si>
    <t>22/2338/GPD26</t>
  </si>
  <si>
    <t>Conversion of part of 4 Friars Lane to provide 1no. flat</t>
  </si>
  <si>
    <t>4 Friars Lane, Richmond TW9 1NL</t>
  </si>
  <si>
    <t>22/2628/FUL</t>
  </si>
  <si>
    <t>New single storey side extension, new verandah roof, replacement fenestration to all elevations, new rooflights to existing rear extension, new roof dormers and associated landscaping to facilitate the conversion of existing 2 properties into 1 dwellinghouse. Extension to existing basement, new car stacker.  Installation of 2 x ASHPs, 3 x AC units and associated enclosure in garden.</t>
  </si>
  <si>
    <t xml:space="preserve">174 Kew Road, Kew, Richmond TW9 2AS
</t>
  </si>
  <si>
    <t>TW9 2AS</t>
  </si>
  <si>
    <t>CA55 Kew Road</t>
  </si>
  <si>
    <t>22/3002/GPD26</t>
  </si>
  <si>
    <t>Conversion of offices on ground floor (Class E Use) to 1no. residential dwelling (Class C3 Use)</t>
  </si>
  <si>
    <t xml:space="preserve">Friars Way, The Green, Richmond TW9 1NQ
</t>
  </si>
  <si>
    <t>TW9 1NQ</t>
  </si>
  <si>
    <t>22/3626/GPD26</t>
  </si>
  <si>
    <t>Conversion of first and second floor office accommodation to provide 2no. flats</t>
  </si>
  <si>
    <t xml:space="preserve">2 Friars Lane, Richmond TW9 1NL
</t>
  </si>
  <si>
    <t>22/3810/FUL</t>
  </si>
  <si>
    <t>Erection of a single storey, detached, two-bedroom dwelling finished with green roof and associated cycle parking, refuse storage and landscaping.</t>
  </si>
  <si>
    <t xml:space="preserve">Land Rear Of 185 Waldegrave Road, Teddington
</t>
  </si>
  <si>
    <t>TW11 8LU</t>
  </si>
  <si>
    <t>23/0253/GPD26</t>
  </si>
  <si>
    <t>Conversion of first floor to two self-contained residential flats</t>
  </si>
  <si>
    <t xml:space="preserve">26A York Street, Twickenham TW1 3LJ
</t>
  </si>
  <si>
    <t>TW1 3LJ</t>
  </si>
  <si>
    <t>23/0399/FUL</t>
  </si>
  <si>
    <t>Demolition of the Existing house and outbuildings and replacement with a Single Family Dwelling</t>
  </si>
  <si>
    <t xml:space="preserve">19 Nylands Avenue, Kew, Richmond TW9 4HH
</t>
  </si>
  <si>
    <t>TW9 4HH</t>
  </si>
  <si>
    <t>23/0679/FUL</t>
  </si>
  <si>
    <t>Reversion of 2 bedroom flat, converted in 1990s, back to use as part of Park Lane Stables to accommodate DDA compliant w.c., counselling room, reception area and stable for 'Cuddle Horse' and associated works to improve accessibility and usability. Change</t>
  </si>
  <si>
    <t xml:space="preserve">Park Lane Stables, Park Lane, Teddington TW11 0HY
</t>
  </si>
  <si>
    <t>TW11 0HY</t>
  </si>
  <si>
    <t>23/1118/FUL</t>
  </si>
  <si>
    <t>Conversion of redundant garage to 1bedroom flat with associated external alterations together with the provision of bin and cycle storage.</t>
  </si>
  <si>
    <t>23/1154/FUL</t>
  </si>
  <si>
    <t>Proposed single storey extensions, single storey roof canopy &amp; roof space conversion to existing workshop to rear (part-retrospective); 3 No. residential unit infill over access road to front; adjustment to access point with dropped kerb; plus cycle parki</t>
  </si>
  <si>
    <t xml:space="preserve">31 Stanley Road, Teddington TW11 8TP
</t>
  </si>
  <si>
    <t>TW11 8TP</t>
  </si>
  <si>
    <t>23/1495/GPD26</t>
  </si>
  <si>
    <t>Prior approval for change of use from Commercial, Business and Service (Use Class E) to Dwellinghouses (Use Class C3) to form 3 dwellings. _x000D_</t>
  </si>
  <si>
    <t xml:space="preserve">25 Church Road, Teddington TW11 8PF
</t>
  </si>
  <si>
    <t>TW11 8PF</t>
  </si>
  <si>
    <t>CA85 Church Road</t>
  </si>
  <si>
    <t>23/1863/GPD26</t>
  </si>
  <si>
    <t>Prior approval under The Town and Country Planning (General Permitted Development etc.) (England) (Amendment) Order 2021 Under Part 3, Schedule 2, Class MA for a change of use of a building and any land within its curtilage from a use falling within E to</t>
  </si>
  <si>
    <t>23/1865/GPD26</t>
  </si>
  <si>
    <t>23/2944/GPD26</t>
  </si>
  <si>
    <t>Change of Use of Existing Ground Floor Class Use E (Office) to Class Use C3 (Dwelling).</t>
  </si>
  <si>
    <t xml:space="preserve">44 Church Road, Teddington TW11 8PB
</t>
  </si>
  <si>
    <t>TW11 8PB</t>
  </si>
  <si>
    <t>19/3632/FUL</t>
  </si>
  <si>
    <t>Loft conversion to no. 1 and no. 3 Cromwell Road to provide 2 x 1 person studios with external extensions (side dormer roof extensions) and alterations with internal remodeling and ancillary cycle and refuse storage.</t>
  </si>
  <si>
    <t xml:space="preserve">1 - 3 Cromwell Road, Teddington
</t>
  </si>
  <si>
    <t>TW11 9EQ</t>
  </si>
  <si>
    <t>21/1174/FUL</t>
  </si>
  <si>
    <t>Single storey rear extension to existing dwelling. New attached two-storey dwelling with habitable roof space, 2No. parking spaces, associated landscaping and re-located crossover.</t>
  </si>
  <si>
    <t>21 River Way, Twickenham TW2 5JP</t>
  </si>
  <si>
    <t>TW2 5JP</t>
  </si>
  <si>
    <t>22/1082/FUL</t>
  </si>
  <si>
    <t>Redevelopment of existing vacant car parking site to provide a two-storey one-bedroom detached dwellinghouse.</t>
  </si>
  <si>
    <t>Land Off_x000D_Taylor Close_x000D_Hampton Hill_x000D__x000D_</t>
  </si>
  <si>
    <t>TW12 1HL</t>
  </si>
  <si>
    <t>22/1278/GPD26</t>
  </si>
  <si>
    <t>Change of use from offices in building of 67-71 High Street to seven residential flats (three 1-bed, three 2-bed, one 3-bed)</t>
  </si>
  <si>
    <t>67 - 71 High Street, Hampton Hill, Hampton TW12 1NH</t>
  </si>
  <si>
    <t>22/2876/GPD26</t>
  </si>
  <si>
    <t>Change of use of vacant office building to two flats_x000D_</t>
  </si>
  <si>
    <t xml:space="preserve">Mega House, 159A High Street, Hampton Hill TW12 1NL
</t>
  </si>
  <si>
    <t>TW12 1NL</t>
  </si>
  <si>
    <t>18/0693/FUL</t>
  </si>
  <si>
    <t>Erection of a two storey house with additional rooms in the roof at the corner of St James's Road and Park Road (currently part of the plot of 59 Park Road). Alterations to boundary wall to facilitate the creation of new access from St James Road together</t>
  </si>
  <si>
    <t xml:space="preserve">59 Park Road, Hampton Hill TW12 1HX
</t>
  </si>
  <si>
    <t>TW12 1HX</t>
  </si>
  <si>
    <t>20/2118/FUL</t>
  </si>
  <si>
    <t>Fenestration alterations to rear and side elevation to facilitate change of use of rear part of premises from Class E (Retail) to C3 to create 1 x 1 bed flat and associated refuse and cycle store.</t>
  </si>
  <si>
    <t>301 Richmond Road, Kingston Upon Thames KT2 5QU</t>
  </si>
  <si>
    <t>21/1328/FUL</t>
  </si>
  <si>
    <t>Part three storey part single storey extension to provide an additional retail unit (Class E) at ground floor and 1 x residential dwelling on upper floors.  Alterations to bay windows at 171 Ashburnham Road.  Associated hard and soft landscaping works inc</t>
  </si>
  <si>
    <t xml:space="preserve">Land South Of 171 And 171 Ashburnham Road, Ham
</t>
  </si>
  <si>
    <t>TW10 7NR</t>
  </si>
  <si>
    <t>21/2225/FUL</t>
  </si>
  <si>
    <t>Demolition of existing building and erection of replacement 5 bedroom dwelling including associated hard and soft landscaping, cycle store and outbuilding</t>
  </si>
  <si>
    <t>22 Parke Road, Barnes SW13 9NG</t>
  </si>
  <si>
    <t>SW13 9NG</t>
  </si>
  <si>
    <t>22/1219/FUL</t>
  </si>
  <si>
    <t>Subdivision of the existing dwelling into 2no. self-contained flats along with the construction of a rear extension, single storey infill extensions and 2x dormer windows with associated parking and amenity space.</t>
  </si>
  <si>
    <t xml:space="preserve">602 Hanworth Road
Whitton
Hounslow
TW4 5LJ
</t>
  </si>
  <si>
    <t>TW4 5LJ</t>
  </si>
  <si>
    <t>22/1442/FUL</t>
  </si>
  <si>
    <t>Affordable Rent</t>
  </si>
  <si>
    <t>Demolition of existing buildings on-site and change of use of land within Ham Close, the Woodville Day Centre and St Richards Church of England Primary School and the existing recycling and parking area to the east of Ham Village Green for a phased mixed-</t>
  </si>
  <si>
    <t xml:space="preserve">Ham Close, Ham Village Green, Car Park To East Of Ham Village Green, And Part Of Woodville Day Centre Site And St Richards Church Of England Primary School Site,
Ham
</t>
  </si>
  <si>
    <t>TW10 7PG</t>
  </si>
  <si>
    <t>Phase 1 Existing</t>
  </si>
  <si>
    <t>Phase 2 Existing</t>
  </si>
  <si>
    <t>Phase 3 Existing</t>
  </si>
  <si>
    <t>Phase 2 Proposed</t>
  </si>
  <si>
    <t>Ham Close, Ham Village Green, Car Park To East Of Ham Village Green, And Part Of Woodville Day Centre Site And St Richards Church Of England Primary School Site,_x000D_Ham_x000D_</t>
  </si>
  <si>
    <t>Phase 3 Proposed</t>
  </si>
  <si>
    <t>Phase 1 Proposed</t>
  </si>
  <si>
    <t>Shared ownership</t>
  </si>
  <si>
    <t>22/1486/FUL</t>
  </si>
  <si>
    <t>Demolition of garage block and redevelopment of the site for two three storey four bed townhouses (Class C3) with associated amenity space, car and cycle parking and refuse stores</t>
  </si>
  <si>
    <t xml:space="preserve">Garages Adjacent 11 Ferrymoor, Ham
</t>
  </si>
  <si>
    <t>TW10 7SD</t>
  </si>
  <si>
    <t>22/1513/FUL</t>
  </si>
  <si>
    <t>Erection of a new dwelling with associated parking and landscaping.</t>
  </si>
  <si>
    <t xml:space="preserve">2A Courtlands Avenue, Hampton TW12 3NT
</t>
  </si>
  <si>
    <t>TW12 3NT</t>
  </si>
  <si>
    <t>22/1831/FUL</t>
  </si>
  <si>
    <t>Erection of 2 detached dwellings with associated off street parking &amp; private amenity space which accommodates refuse and cycle storage.</t>
  </si>
  <si>
    <t xml:space="preserve">Willowdene, Millfield Road, Whitton TW4 5PN
</t>
  </si>
  <si>
    <t>TW4 5PN</t>
  </si>
  <si>
    <t>22/1916/FUL</t>
  </si>
  <si>
    <t>Demolition of an existing detached residence and construction of a replacement 2 storey 5 bedroom house and associated hard and soft landscaping, refuse and cycle parking facilities</t>
  </si>
  <si>
    <t xml:space="preserve">32 Sandy Lane, Petersham, Richmond TW10 7EL
</t>
  </si>
  <si>
    <t>TW10 7EL</t>
  </si>
  <si>
    <t>22/3228/FUL</t>
  </si>
  <si>
    <t>Conversion of dwelling into two residential properties, alterations to elevations, and associated works.</t>
  </si>
  <si>
    <t>154 Broad Lane, Hampton TW12 3BW</t>
  </si>
  <si>
    <t>TW12 3BW</t>
  </si>
  <si>
    <t>22/3400/GPD26</t>
  </si>
  <si>
    <t>Application for change of use from Use Class E to Use Class C3._x000D_</t>
  </si>
  <si>
    <t xml:space="preserve">Land At Myrtle Road Adjacent, 1 High Street, Hampton Hill
</t>
  </si>
  <si>
    <t>TW12 1NA</t>
  </si>
  <si>
    <t>23/0145/FUL</t>
  </si>
  <si>
    <t>Demolish existing end of terrace 3 bedroom house and create new 4 bedroom end of terrace house.</t>
  </si>
  <si>
    <t>2 Everdon Road, Barnes SW13 9AH</t>
  </si>
  <si>
    <t>SW13 9AH</t>
  </si>
  <si>
    <t>23/0291/FUL</t>
  </si>
  <si>
    <t>Demolition of existing Boot House and erection of new two-storey dwelling with porch and rear dormer. Bin store to front garden and front boundary wall. Cycle storage to rear garden. Instillation of air source heat pump and photovoltaic panels.</t>
  </si>
  <si>
    <t xml:space="preserve">25 Kentwode Green, Barnes SW13 9AD
</t>
  </si>
  <si>
    <t>SW13 9AD</t>
  </si>
  <si>
    <t>23/1643/PS192</t>
  </si>
  <si>
    <t>Change of use from C3 Dwellinghouse to C4 House in multiple Occupation.</t>
  </si>
  <si>
    <t xml:space="preserve">3 Redfern Avenue, Whitton TW4 5NA
</t>
  </si>
  <si>
    <t>TW4 5NA</t>
  </si>
  <si>
    <t>23/1812/FUL</t>
  </si>
  <si>
    <t>Demolition of existing dwelling and erection of a replacement two storey dwelling.</t>
  </si>
  <si>
    <t xml:space="preserve">14 Cedar Heights, Petersham, Richmond TW10 7AE
</t>
  </si>
  <si>
    <t>TW10 7AE</t>
  </si>
  <si>
    <t>23/1896/FUL</t>
  </si>
  <si>
    <t>Demolition of one-storey former Nursery building and two-storey Ex-school caretakers house and subsequent construction of a two-storey school building for 25 pupils aged 11-19 with severe and complex learning difficulties, including those with an addition</t>
  </si>
  <si>
    <t xml:space="preserve">122 Hanworth Road, Hampton TW12 3EZ
</t>
  </si>
  <si>
    <t>TW12 3EZ</t>
  </si>
  <si>
    <t>23/2146/FUL</t>
  </si>
  <si>
    <t>Demolition of the existing dwelling at Little Orchard and the erection of a new dwelling maintaining the existing access off Bute Avenue and associated refuse/cycle storage and amendments to boundary treatment</t>
  </si>
  <si>
    <t xml:space="preserve">Little Orchard, Sudbrook Lane, Petersham, Richmond TW10 7AT
</t>
  </si>
  <si>
    <t>TW10 7AT</t>
  </si>
  <si>
    <t>21/2602/FUL</t>
  </si>
  <si>
    <t>Construction of a single storey rear extension and change of use of existing lower ground floor flat from C3 to E(e) (Medical and Health Services) to enable the enlargement of the existing dental practice to provide a further 3 x surgeries.</t>
  </si>
  <si>
    <t xml:space="preserve">200 Castelnau, Barnes SW13 9DW
</t>
  </si>
  <si>
    <t>SW13 9DW</t>
  </si>
  <si>
    <t>Castelnau, North Barnes</t>
  </si>
  <si>
    <t>CA25 Castelnau</t>
  </si>
  <si>
    <t>23/1658/GPD26</t>
  </si>
  <si>
    <t>Conversion of ground floor commercial unit (class E use) to a residential dwelling (class C3 use).</t>
  </si>
  <si>
    <t xml:space="preserve">66 Hampton Road, Twickenham TW2 5QB
</t>
  </si>
  <si>
    <t>TW2 5QB</t>
  </si>
  <si>
    <t>21/0586/FUL</t>
  </si>
  <si>
    <t>Demolition of Nos. 29 and 29b High Street and associated outbuildings, and erection of 8no. dwellings and 536.5sqm of Class E floorspace with associated works including the provision of 24 cycle spaces and 5 car parking spaces.</t>
  </si>
  <si>
    <t xml:space="preserve">29 To 31 High Street And Land To Rear Of High Street, Hampton Wick
</t>
  </si>
  <si>
    <t>KT1 4DA</t>
  </si>
  <si>
    <t>21/4262/FUL</t>
  </si>
  <si>
    <t>A new window opening to the rear and change of use of existing office to C3 (residential) use to provide one bedroom flat</t>
  </si>
  <si>
    <t xml:space="preserve">41 Barnes High Street, Barnes SW13 9LN
</t>
  </si>
  <si>
    <t>SW13 9LN</t>
  </si>
  <si>
    <t>High Street, Barnes</t>
  </si>
  <si>
    <t>22/3061/FUL</t>
  </si>
  <si>
    <t>ADDITIONAL STOREY TO ADD TWO SINGLE BED DWELLINGS</t>
  </si>
  <si>
    <t>23/1819/FUL</t>
  </si>
  <si>
    <t>Ground floor conversion from commercial to two 1B1P self-contained dwellings. Single storey rear extension to accommodate one new 2B4P self-contained dwelling. First floor extension to allow the sub-division of the existing 3 bedroom first floor flat to form 2No. 1-bedroom flats and the construction of a mansard style roof extension to provide a further 2No. 1 bedroom flats at second floor level. Re-siting of existing front doors at ground floor level of the residential units.</t>
  </si>
  <si>
    <t xml:space="preserve">3 - 4 New Broadway, Hampton Hill
</t>
  </si>
  <si>
    <t>TW12 1JG</t>
  </si>
  <si>
    <t>23/0946/GPD26</t>
  </si>
  <si>
    <t>Change of use of ground floor from Use Class E to 1no. flat (Use Class C3)_x000D_</t>
  </si>
  <si>
    <t xml:space="preserve">145 White Hart Lane, Barnes SW13 0JP
</t>
  </si>
  <si>
    <t>21/0699/FUL</t>
  </si>
  <si>
    <t>Upward roof extension to provide for one flat, and alter elevations, and associated works</t>
  </si>
  <si>
    <t>47 Crown Road, Twickenham TW1 3EJ</t>
  </si>
  <si>
    <t>TW1 3EJ</t>
  </si>
  <si>
    <t>22/1285/GPD26</t>
  </si>
  <si>
    <t>CHANGE OF USE TO SINGLE DWELLING HOUSE</t>
  </si>
  <si>
    <t xml:space="preserve">5 Bridle Lane, Twickenham TW1 3EG
</t>
  </si>
  <si>
    <t>TW1 3EG</t>
  </si>
  <si>
    <t>21/3820/FUL</t>
  </si>
  <si>
    <t>Single storey rear extension, with a change of use of part of a derelict retail unit and residential unit to a one bedroom flat and the erection of an overhead shutter door to the rear yard.</t>
  </si>
  <si>
    <t xml:space="preserve">95 Stanley Road, Teddington TW11 8UB
</t>
  </si>
  <si>
    <t>TW11 8UB</t>
  </si>
  <si>
    <t>Stanley Road, Teddington</t>
  </si>
  <si>
    <t>20/2358/FUL</t>
  </si>
  <si>
    <t>Change of use for conversion of an office designed as a live work one-bedroom residential property to a two-bedroom residential property, with associated landscaping.</t>
  </si>
  <si>
    <t xml:space="preserve">19 Thames Street, Hampton TW12 2EW
</t>
  </si>
  <si>
    <t>22/3193/FUL</t>
  </si>
  <si>
    <t>Conversion of Ground Floor Commercial unit (Use Class E) to 3 No. Self Contained 1-bed units (Use Class C3), a single storey rear extension and alterations to fenestrations. Demolition of existing rear garage and provision of 2 rear car parking spaces, re</t>
  </si>
  <si>
    <t xml:space="preserve">1 - 5  Bridge Parade, Wensleydale Road, Hampton
</t>
  </si>
  <si>
    <t>TW12 2LP</t>
  </si>
  <si>
    <t>Wensleydale Road, Hampton</t>
  </si>
  <si>
    <t>22/3573/FUL</t>
  </si>
  <si>
    <t>Conversion of 15A and 15B from 2 no. residential flats to 3 no. residential flats. Alterations to fenestration. Alteration to west elevation. Insertion of courtyards. Alterations to bin store and cycle store.</t>
  </si>
  <si>
    <t xml:space="preserve">13 - 17 White Hart Lane, Barnes SW13 0PX
</t>
  </si>
  <si>
    <t>SW13 0PX</t>
  </si>
  <si>
    <t>18/3575/FUL</t>
  </si>
  <si>
    <t>Demolition of existing garage. Erection of two x 2 storey five bed single-family dwellings with basement and associated hard and soft landscaping, new boundary treatment and refuse and cycle provision. Creation of dropped kerbs to facilitate provision of</t>
  </si>
  <si>
    <t xml:space="preserve">Land Rear Of 272-278 St Margarets Road, Twickenham
</t>
  </si>
  <si>
    <t>19/0404/FUL</t>
  </si>
  <si>
    <t>Proposed construction of 2 bedroom dwellinghouse with 1No car parking space; secure storage for 2No cycles; refuse &amp; recycling storage; replacement of part of existing boundary wall with gates, piers &amp; railings to provide new pedestrian &amp; vehicular access</t>
  </si>
  <si>
    <t xml:space="preserve">Land Adjacent To 53 Old Deer Park Gardens, Richmond
</t>
  </si>
  <si>
    <t>TW9 2T</t>
  </si>
  <si>
    <t>19/0483/FUL</t>
  </si>
  <si>
    <t>Insertion of 3 no. rooflights on front roof slope and 2 no. rear dormer roof extensions to facilitate the conversion of existing 2 no. 3 bed maisonettes at no. 8A and 10A High Street to 5 flats (4 no. 1 bed and 1 no. 2 bed)</t>
  </si>
  <si>
    <t xml:space="preserve">8 - 10 High Street, Teddington
</t>
  </si>
  <si>
    <t>TW11 8EW</t>
  </si>
  <si>
    <t>19/0691/FUL</t>
  </si>
  <si>
    <t>Demolition of 38 garages including vehicle repair garage and the erection of six residential units (2x 3 bed and 4 x 2 bed), incorporating two commercial (B1a offices) units (totalling 152 sq.m), with amenity space, 14 off-street car parking spaces and as</t>
  </si>
  <si>
    <t xml:space="preserve">Land Rear Of 127 - 147 Kingsway, Mortlake SW14 7HN
</t>
  </si>
  <si>
    <t>SW14 7HN</t>
  </si>
  <si>
    <t>19/2893/FUL</t>
  </si>
  <si>
    <t>Construction of a detached two-storey building comprising of two x one-bedroom flats on the vacant car parking site including associated amenity space and no car parking.</t>
  </si>
  <si>
    <t xml:space="preserve">48 - 50 Ashley Road, Hampton
</t>
  </si>
  <si>
    <t>TW12 2HU</t>
  </si>
  <si>
    <t>19/3053/FUL</t>
  </si>
  <si>
    <t>Erection of a detached building comprising 7 self contained flats and a single family dwelling with associated access, parking and landscaping.</t>
  </si>
  <si>
    <t>217 Kingston Road, Teddington TW11 9JN</t>
  </si>
  <si>
    <t>TW11 9JN</t>
  </si>
  <si>
    <t>20/0969/FUL</t>
  </si>
  <si>
    <t>The demolition of an existing garage and ancillary outbuildings on garden land and the construction of 2 new detached houses.</t>
  </si>
  <si>
    <t xml:space="preserve">Land Rear Of 256 To 258 Kingston Road, Teddington
</t>
  </si>
  <si>
    <t>CA83 Wick Road</t>
  </si>
  <si>
    <t>20/1558/FUL</t>
  </si>
  <si>
    <t>Additional storey to 2-storey commercial building to provide 4 no.1 bed apartments</t>
  </si>
  <si>
    <t>20/1570/FUL</t>
  </si>
  <si>
    <t>Demolition of existing garages and erection of a part two / four storey building to provide 4 x 1, 4 x 2 and 1 x 3 bedroom flats and associated soft and hard landscaping, cycle and refuse stores. Plans readvertised on 09.04.2021, with the main amendments:</t>
  </si>
  <si>
    <t>Garage Site, Marys Terrace, Twickenham TW1 3JB</t>
  </si>
  <si>
    <t>TW1 3JB</t>
  </si>
  <si>
    <t>20/1805/FUL</t>
  </si>
  <si>
    <t>Change of use of part of ground floor commercial unit to provide 4 x 1 bedroom dwellings</t>
  </si>
  <si>
    <t>159 Heath Road, Twickenham TW1 4BH</t>
  </si>
  <si>
    <t>TW1 4BH</t>
  </si>
  <si>
    <t>20/1871/FUL</t>
  </si>
  <si>
    <t>Demolition of two blocks of lock-up garages and construction of 3 x 2 bed dwellings with associated structures and landscaping works.</t>
  </si>
  <si>
    <t xml:space="preserve">Land R/O 8 To 18 Atbara Road, Teddington
</t>
  </si>
  <si>
    <t>20/2298/FUL</t>
  </si>
  <si>
    <t>Demolition of garage to rear of property accessed from Castle Yard to facilitate change of use of rear part to C3 (Residential) use to provide 1 x 2 bedroom two storey house with associated cycle and refuse stores</t>
  </si>
  <si>
    <t>28 Hill Street, Richmond TW9 1TW</t>
  </si>
  <si>
    <t>TW9 1TW</t>
  </si>
  <si>
    <t>20/3489/FUL</t>
  </si>
  <si>
    <t>Erection of hip to gable roof extension to No. 7. Subdivision of garden plot, first floor side and rear extension, rear dormer, front ground and first floor bay windows to facilitate the provision of 1 x 3 bed house adjoining 7 Dorset Way with associated</t>
  </si>
  <si>
    <t>7 Dorset Way, Twickenham TW2 6NB</t>
  </si>
  <si>
    <t>TW2 6NB</t>
  </si>
  <si>
    <t>21/0313/GPD15</t>
  </si>
  <si>
    <t>Conversion of offices in Sandford House into 6 self-contained flats and Jardine House into 4 self-contained flats.</t>
  </si>
  <si>
    <t xml:space="preserve">Jardine House And Sandford House, 1B And 1C Claremont Road, Teddington
</t>
  </si>
  <si>
    <t>TW11 8DG</t>
  </si>
  <si>
    <t>21/1493/GPD15</t>
  </si>
  <si>
    <t>Change of use of first floor office space to create 5 residential units (C3)</t>
  </si>
  <si>
    <t xml:space="preserve">61 High Street, Teddington TW11 8HA
</t>
  </si>
  <si>
    <t>TW11 8HA</t>
  </si>
  <si>
    <t>21/1528/FUL</t>
  </si>
  <si>
    <t>Second floor extension to create one additional one bed dwelling, together with car parking, cycle parking and associated landscaping works</t>
  </si>
  <si>
    <t xml:space="preserve">Junction Court, 127 Station Road, Hampton
</t>
  </si>
  <si>
    <t>TW12 2AL</t>
  </si>
  <si>
    <t>21/1616/FUL</t>
  </si>
  <si>
    <t>Erection of 2nd floor roof extension to provide 4 flats (3 x one bedroom and 1 x two bedroom)</t>
  </si>
  <si>
    <t xml:space="preserve">52 - 64 Heath Road, Twickenham
</t>
  </si>
  <si>
    <t>TW1 4BX</t>
  </si>
  <si>
    <t>21/1788/GPD15</t>
  </si>
  <si>
    <t>Change of use from office space to 6 residential units.</t>
  </si>
  <si>
    <t xml:space="preserve">37 Sheen Road
Richmond
TW9 1AJ
</t>
  </si>
  <si>
    <t>TW9 1AJ</t>
  </si>
  <si>
    <t>21/1907/FUL</t>
  </si>
  <si>
    <t>Demolition of existing two (2) storey detached dwelling and construction of new two (2) storey detached dwelling with habitable roof space</t>
  </si>
  <si>
    <t>42 Ormond Crescent_x000D_Hampton_x000D_TW12 2TH_x000D_</t>
  </si>
  <si>
    <t>TW12 2TH</t>
  </si>
  <si>
    <t>21/2209/FUL</t>
  </si>
  <si>
    <t>Extension and subdivision of existing end of terrace house to form two maisonette flats.</t>
  </si>
  <si>
    <t xml:space="preserve">155 Priory Road, Hampton TW12 2PT
</t>
  </si>
  <si>
    <t>TW12 2PT</t>
  </si>
  <si>
    <t>21/2497/FUL</t>
  </si>
  <si>
    <t>Retention of dental surgery (Use Class D1) to ground floor and conversion of the first floor to residential use (Use Class C3). Ground and first floor side extension with first floor roof terrace.  Alterations to fenestration and boundary gates. Cycle and</t>
  </si>
  <si>
    <t>37 The Vineyard, Richmond TW10 6AS</t>
  </si>
  <si>
    <t>21/2528/GPD13</t>
  </si>
  <si>
    <t>Change of use of part of ground floor of property from A2 to C3 Use.</t>
  </si>
  <si>
    <t xml:space="preserve">357 Upper Richmond Road West, East Sheen SW14 8QN
</t>
  </si>
  <si>
    <t>SW14 8QN</t>
  </si>
  <si>
    <t>21/2533/FUL</t>
  </si>
  <si>
    <t>Provision of new community centre on existing North Lane Depot, East Car Park site, together with demolition of existing community centre and provision of affordable housing on existing Elleray Hall site.</t>
  </si>
  <si>
    <t xml:space="preserve">Elleray Hall Site, North Lane Depot And East Car Park, Middle Lane, Teddington
</t>
  </si>
  <si>
    <t>TW11 0HG</t>
  </si>
  <si>
    <t>21/2729/FUL</t>
  </si>
  <si>
    <t>Renovation, rear single storey extension, new gable roof extension and rear basement to existing building to form six apartments.</t>
  </si>
  <si>
    <t xml:space="preserve">85 Connaught Road, Teddington
</t>
  </si>
  <si>
    <t>TW11 0QQ</t>
  </si>
  <si>
    <t>21/2758/FUL</t>
  </si>
  <si>
    <t>Demolition of existing buildings and structures and redevelopment of the site comprising 45 residential units (Use Class C3), ground floor commercial/retail/cafe (Use Class E), public house (Sui Generis), boathouse locker storage, floating pontoon and flo</t>
  </si>
  <si>
    <t>1-1C King Street, 2-4 Water Lane, The Embankment And River Wall, Water Lane, Wharf Lane And The Diamond Jubilee Gardens, _x000D_Twickenham_x000D_</t>
  </si>
  <si>
    <t>Water Lane</t>
  </si>
  <si>
    <t>Wharf Lane</t>
  </si>
  <si>
    <t>21/2764/FUL</t>
  </si>
  <si>
    <t>Change of use of ground floor to create mixed Class E and C3 uses to provide a retail unit at ground floor, a separately accessed office in the basement and the replacement of the former tyre fitting bay and parking area with a building comprising two res</t>
  </si>
  <si>
    <t xml:space="preserve">311 Upper Richmond Road West, East Sheen SW14 8QR
</t>
  </si>
  <si>
    <t>SW14 8QR</t>
  </si>
  <si>
    <t>21/2788/FUL</t>
  </si>
  <si>
    <t>Convert the building containing 9no. flats to 4no flats (Use Class C3) , car parking, extension to existing basement, two storey rear extension, replacement fenestrations at front of the property, replacement and new fenestrations  to rear and rear patio.</t>
  </si>
  <si>
    <t xml:space="preserve">13 Manor Road, Twickenham
</t>
  </si>
  <si>
    <t>TW2 5DF</t>
  </si>
  <si>
    <t>21/2965/FUL</t>
  </si>
  <si>
    <t>Change of use of basement from mixed storage to self-contained 2 bed dwelling,  single storey extension, extension to existing basement, creation  new side entrance on the eastern elevation, extension of rear terrace,  new pitched roof on the front elevat</t>
  </si>
  <si>
    <t xml:space="preserve">2 Montrose Avenue, Twickenham TW2 6HB
</t>
  </si>
  <si>
    <t>TW2 6HB</t>
  </si>
  <si>
    <t>21/2970/FUL</t>
  </si>
  <si>
    <t>Change of use from retail (Use Class E) on first and second floors at no 19 to create a new, three bed maisonette; First floor side/rear extension and PV panels to existing roof of No.19; change of use and extension of roof space (Use Class E) at no. 19a,</t>
  </si>
  <si>
    <t xml:space="preserve">19 - 19A King Street, Richmond
</t>
  </si>
  <si>
    <t>TW9 1ND</t>
  </si>
  <si>
    <t>21/4201/FUL</t>
  </si>
  <si>
    <t>Erection of a new dwellinghouse with associated parking and landscaping following the demolition of the existing house.</t>
  </si>
  <si>
    <t xml:space="preserve">5 Monmouth Avenue, Hampton Wick KT1 4HR
</t>
  </si>
  <si>
    <t>KT1 4HR</t>
  </si>
  <si>
    <t>21/4257/FUL</t>
  </si>
  <si>
    <t>Demolition of Existing House and Garaging and Erection of New Replacement Two Storey House with Part Basement, Additional Accommodation within the Roof Space, Attached Garages and External Works.</t>
  </si>
  <si>
    <t xml:space="preserve">Denbigh, 34 Lower Teddington Road, Hampton Wick KT1 4HJ
</t>
  </si>
  <si>
    <t>KT1 4HJ</t>
  </si>
  <si>
    <t>22/0153/GPD26</t>
  </si>
  <si>
    <t>Change of use of part of ground floor and first floor from restaurant to C3 residential use to provide 1 additional first floor flat</t>
  </si>
  <si>
    <t xml:space="preserve">29 Kew Road, Richmond TW9 2NQ
</t>
  </si>
  <si>
    <t>22/0208/FUL</t>
  </si>
  <si>
    <t>Construction of two-storey house with basement.</t>
  </si>
  <si>
    <t xml:space="preserve">3 Bridle Lane, Twickenham TW1 3EG
</t>
  </si>
  <si>
    <t>22/0252/HOT</t>
  </si>
  <si>
    <t>Construction of new 2 storey house in garden.</t>
  </si>
  <si>
    <t xml:space="preserve">39 Second Cross Road, Twickenham TW2 5QY
</t>
  </si>
  <si>
    <t>TW2 5QY</t>
  </si>
  <si>
    <t>CA9 Twickenham Green</t>
  </si>
  <si>
    <t>22/0428/GPD26</t>
  </si>
  <si>
    <t>Change of use of ground floor hair salon from Use Class E Retail to Use Class C3 dwelling houses.</t>
  </si>
  <si>
    <t xml:space="preserve">173 Percy Road, Hampton TW12 2JN
</t>
  </si>
  <si>
    <t>TW12 2JN</t>
  </si>
  <si>
    <t>22/0487/FUL</t>
  </si>
  <si>
    <t>Erection of a 3 bedroom attached dwelling.  Demolition of existing timber outbuildings.</t>
  </si>
  <si>
    <t xml:space="preserve">147 Haliburton Road, Twickenham TW1 1PE
</t>
  </si>
  <si>
    <t>TW1 1PE</t>
  </si>
  <si>
    <t>22/0707/PS192</t>
  </si>
  <si>
    <t>Use of ancillary caretakers bungalow at The Vineyard School as Class F1(a) education use</t>
  </si>
  <si>
    <t xml:space="preserve">10 Friars Stile Road, Richmond TW10 6NE
</t>
  </si>
  <si>
    <t>TW10 6NE</t>
  </si>
  <si>
    <t>22/0901/FUL</t>
  </si>
  <si>
    <t>Demolition of existing garages and greenhouses and redevelopment to provide a single detached residential property with basement</t>
  </si>
  <si>
    <t xml:space="preserve">Land Rear Of 130 Castelnau, Barnes
</t>
  </si>
  <si>
    <t>SW13 9ET</t>
  </si>
  <si>
    <t>22/1001/FUL</t>
  </si>
  <si>
    <t>Erection of a one and a half storey, three-bedroom house in the rear garden of No. 33 (including land to the rear of No. 35-35a) Wensleydale Road, with accommodation at basement level, associated hard and soft landscaping, 4 no. parking, refuse/recycling</t>
  </si>
  <si>
    <t xml:space="preserve">33 Wensleydale Road, Hampton, TW12 2LP
</t>
  </si>
  <si>
    <t>22/1075/FUL</t>
  </si>
  <si>
    <t>Change of use of first floor from self-contained residential flat to office. Internal alterations including, upgrading the fire escape route, refurbishment of the kitchen to a tea room and WC facilities . Painting and decorating all rooms and corridors th</t>
  </si>
  <si>
    <t xml:space="preserve">First Floor Flat, Teddington District Library, Waldegrave Road, Teddington TW11 8NY
</t>
  </si>
  <si>
    <t>TW11 8NY</t>
  </si>
  <si>
    <t>22/1106/GPD26</t>
  </si>
  <si>
    <t>Conversion of a shop to single family dwelling house.</t>
  </si>
  <si>
    <t xml:space="preserve">1 Station Road, Teddington TW11 9AA
</t>
  </si>
  <si>
    <t>TW11 9AA</t>
  </si>
  <si>
    <t>22/1214/GPD26</t>
  </si>
  <si>
    <t>Change of use of first and second floors to C3 (residential) use to facilitate the creation of 2x 2-bed 3-person flats.</t>
  </si>
  <si>
    <t>First And Second Floors, 41 Broad Street, Teddington TW11 8QZ</t>
  </si>
  <si>
    <t>TW11 8QZ</t>
  </si>
  <si>
    <t>22/1497/FUL</t>
  </si>
  <si>
    <t>The demolition of the existing dwelling house and 22 garages and the construction of 5 x new residential dwellings (Class C3) with associated hard and soft landscaping, parking and associated infrastructure.</t>
  </si>
  <si>
    <t xml:space="preserve">32 Haverfield Gardens, Kew, Richmond TW9 3DD
</t>
  </si>
  <si>
    <t>TW9 3DD</t>
  </si>
  <si>
    <t>22/1575/FUL</t>
  </si>
  <si>
    <t>Proposed two-storey 2-bedroom mews house with accommodation in the roof including parking, bicycle and bin storage and private amenity space</t>
  </si>
  <si>
    <t>Land To Rear Of_x000D_177 High Street_x000D_Hampton Hill_x000D__x000D_</t>
  </si>
  <si>
    <t>22/1769/GPD26</t>
  </si>
  <si>
    <t>Part change of use of the ground floor of the building from commercial premises (Use Class E) to 2 residential apartments (Use Class C3).</t>
  </si>
  <si>
    <t xml:space="preserve">112 - 114 High Street, Whitton
</t>
  </si>
  <si>
    <t>TW2 7LD</t>
  </si>
  <si>
    <t>22/1825/FUL</t>
  </si>
  <si>
    <t>Demolition of existing dwelling and associated outbuildings, and erection of 4no. new 1bed and 2bed affordable flats, with associated landscaping, cycle and refuse stores</t>
  </si>
  <si>
    <t>88 Richmond Road, Twickenham TW1 3BB</t>
  </si>
  <si>
    <t>TW1 3BB</t>
  </si>
  <si>
    <t>MOL - Orleans School</t>
  </si>
  <si>
    <t>22/2095/FUL</t>
  </si>
  <si>
    <t>Change of Use from a Day Nursery (Use Class E) to a place of worship and meeting hall (F1) with ancillary studio flat and office and separate residential apartment (C3).  Elevational alterations to building and hard and soft landsciping, including car par</t>
  </si>
  <si>
    <t xml:space="preserve">Asquith Montessori Nursery, Church Grove, Hampton Wick KT1 4AL
</t>
  </si>
  <si>
    <t>KT1 4AL</t>
  </si>
  <si>
    <t>22/2399/FUL</t>
  </si>
  <si>
    <t>Single storey rear extension, side dormer roof extension with solar panels, rooflights on front and side roof slopes, replacement fenestration and associated bin store to facilitate the conversion of two flats into a single dwellinghouse.</t>
  </si>
  <si>
    <t xml:space="preserve">92 Palewell Park, East Sheen SW14 8JH
</t>
  </si>
  <si>
    <t>SW14 8JH</t>
  </si>
  <si>
    <t>22/2416/FUL</t>
  </si>
  <si>
    <t>Demolition of an existing single storey bungalow on the site, followed by the construction of a new single family residential dwelling.</t>
  </si>
  <si>
    <t xml:space="preserve">40 Twickenham Road, Teddington TW11 8AW
</t>
  </si>
  <si>
    <t>TW11 8AW</t>
  </si>
  <si>
    <t>22/2843/FUL</t>
  </si>
  <si>
    <t>Demolition of existing dwelling and replacement with a pair of two storey with basement semi-detached dwellings.  Alterations to boundary wall and assoicated hard and soft landscaping, cycle and refuse stores.</t>
  </si>
  <si>
    <t xml:space="preserve">62 Derby Road, East Sheen SW14 7DP
</t>
  </si>
  <si>
    <t>SW14 7DP</t>
  </si>
  <si>
    <t>22/2994/GPH03</t>
  </si>
  <si>
    <t>Erection of a roof extension comprising an additional storey (providing 3 additional residential units) to the existing mixed-use, 3 storey terraced building along with the provision of a green roof, refuse and recycling storage and cycle parking associat</t>
  </si>
  <si>
    <t xml:space="preserve">Canham House
17 Heath Road
Twickenham
TW1 4AW
</t>
  </si>
  <si>
    <t>22/3043/GPD24</t>
  </si>
  <si>
    <t>Change of use from Class E (commercial, business and service) to Mixed Use Class E (commercial, business and service) and Class C3_x000D_(dwellinghouses) to provide 1x self-contained dwelling.</t>
  </si>
  <si>
    <t>22/3049/FUL</t>
  </si>
  <si>
    <t>Change of use of first floor from former financial services floorspace to 2 x one bedroom flats. Alterations to rear elevation and reinstatement of first floor roof terrace.</t>
  </si>
  <si>
    <t xml:space="preserve">256 Upper Richmond Road West, East Sheen SW14 7JF
</t>
  </si>
  <si>
    <t>SW14 7JF</t>
  </si>
  <si>
    <t>22/3112/FUL</t>
  </si>
  <si>
    <t>Erection of one 4-storey building and one 2-storey building to provide 12 affordable housing units (7 Supported Living units and 5 London Living Rent units), plus one residential support unit; removal of existing vehicular access; landscaping including co</t>
  </si>
  <si>
    <t xml:space="preserve">Meadows Hall, Church Road, Richmond TW10 6LN
</t>
  </si>
  <si>
    <t>TW10 6LN</t>
  </si>
  <si>
    <t>22/3141/FUL</t>
  </si>
  <si>
    <t>Rear dormer roof extension to facilitate the conversion of existing 2 bed maisonette into 2 flats (1 x 1 bed and 1 x 2 bed). Solar PV panels to rear pitched and flat roofs. 2no. Velux roof lights to front roof slope.</t>
  </si>
  <si>
    <t xml:space="preserve">23 Colston Road
East Sheen
London
SW14 7PQ
</t>
  </si>
  <si>
    <t>22/3233/FUL</t>
  </si>
  <si>
    <t>Change of use from student accommodation to C3 residential use, side extension, erection of a part width rear extension to the lower and upper ground floor.</t>
  </si>
  <si>
    <t xml:space="preserve">Parkview, 23 Queens Road, Richmond TW10 6JW
</t>
  </si>
  <si>
    <t>TW10 6JW</t>
  </si>
  <si>
    <t>22/3304/FUL</t>
  </si>
  <si>
    <t>Single storey rear extension, hip to gable and rear dormer roof extension and rooflights to front roof slope and associated cycle and refuse store and hard and soft landscaping and outbuilding to no. 2.  
Demolition of existing single storey side extension to facilitate the erection of two storey dwelling house and associated cycle and refuse stores, replacement boundary fence, hard and soft landscaping and outbuilding.</t>
  </si>
  <si>
    <t xml:space="preserve">2 West Hall Road, Kew, Richmond TW9 4EE
</t>
  </si>
  <si>
    <t>TW9 4EE</t>
  </si>
  <si>
    <t>22/3397/GPD26</t>
  </si>
  <si>
    <t>Change of use of the building from Use Class E (Office) to C3 (Residential) single dwelling.</t>
  </si>
  <si>
    <t xml:space="preserve">33A Milton Road, Hampton TW12 2LL
</t>
  </si>
  <si>
    <t>TW12 2LL</t>
  </si>
  <si>
    <t>22/3468/FUL</t>
  </si>
  <si>
    <t>Subdivision of no 446 to create 1 no. dwellinghouse and 1 no. 2 bed flat. Alterations to fenestration/doors. Installation of vehicle gates. Installation of a new garden fence.</t>
  </si>
  <si>
    <t>446 Upper Richmond Road_x000D_Barnes_x000D_London_x000D_SW15 5RQ_x000D_</t>
  </si>
  <si>
    <t>SW15 5RQ</t>
  </si>
  <si>
    <t>22/3799/FUL</t>
  </si>
  <si>
    <t>Proposed rear dormer roof extension and 2no. skylights on front roof slope. Conversion of existing flat into 3no. studio flats. Provision of cycle storage, bin and refuse storage areas.</t>
  </si>
  <si>
    <t xml:space="preserve">21 Colston Road, East Sheen SW14 7PQ
</t>
  </si>
  <si>
    <t>23/0093/FUL</t>
  </si>
  <si>
    <t>Conversion of maisonette flat into two self-contained flats, including alterations &amp; loft extension, by replacing annex hip roof with Mansard roof</t>
  </si>
  <si>
    <t>74A Richmond Road_x000D_Twickenham_x000D_TW1 3BE_x000D_</t>
  </si>
  <si>
    <t>TW1 3BE</t>
  </si>
  <si>
    <t>23/0197/FUL</t>
  </si>
  <si>
    <t>Demolition of existing detached house and erection of new detached house containing 5 bedrooms</t>
  </si>
  <si>
    <t xml:space="preserve">64 Ormond Avenue, Hampton TW12 2RX
</t>
  </si>
  <si>
    <t>23/0260/FUL</t>
  </si>
  <si>
    <t>The erection of 7 part single, part two-storey residential dwellings; 8 car parking spaces (including 1 disabled parking space); landscaping incorporating communal amenity space and ecological enhancement area; secure cycle and refuse storage.</t>
  </si>
  <si>
    <t xml:space="preserve">The Mereway Centre, Mereway Road, Twickenham
</t>
  </si>
  <si>
    <t>TW2</t>
  </si>
  <si>
    <t>23/0328/FUL</t>
  </si>
  <si>
    <t>Erection of a terrace of three, three-bedroom townhouses and associated parking, access and landscaping on a 26-space private car park</t>
  </si>
  <si>
    <t xml:space="preserve">Car Park Adjacent Elfin Works, Elfin Grove, Teddington
</t>
  </si>
  <si>
    <t>TW11 8RD</t>
  </si>
  <si>
    <t>23/0970/FUL</t>
  </si>
  <si>
    <t>Change of use of second floor staff flat to ancillary office space and staff rest space to the use class F1(a) education use._x000D_</t>
  </si>
  <si>
    <t xml:space="preserve">30 Cumberland Road, Kew
</t>
  </si>
  <si>
    <t>TW9 3HQ</t>
  </si>
  <si>
    <t>CA15 Kew Gardens</t>
  </si>
  <si>
    <t>23/0977/FUL</t>
  </si>
  <si>
    <t>Proposed flat conversion to split into 2, 2-bed flats.</t>
  </si>
  <si>
    <t xml:space="preserve">148A Heath Road, Twickenham TW1 4BN
</t>
  </si>
  <si>
    <t>TW1 4BN</t>
  </si>
  <si>
    <t>23/1060/FUL</t>
  </si>
  <si>
    <t>Use of Second Floor of 24-26 Cumberland Road (staff flat) for education purposes Class F1[a].</t>
  </si>
  <si>
    <t xml:space="preserve">Kew College
24 Cumberland Road
Kew
Richmond
TW9 3HQ
</t>
  </si>
  <si>
    <t>23/1127/FUL</t>
  </si>
  <si>
    <t>Demolition of existing dwelling and construction of 2no. semi detached dwellings and associated parking and landscaping.</t>
  </si>
  <si>
    <t xml:space="preserve">6 Wensleydale Road, Hampton TW12 2LW
</t>
  </si>
  <si>
    <t>TW12 2LW</t>
  </si>
  <si>
    <t>23/1413/GPH01</t>
  </si>
  <si>
    <t>Construction of an additional storey containing 3no. flats immediately above the existing topmost residential storey, and recreation of the existing roof shape; addition of 2no. off-street parking spaces along with secure bike and bin storage.</t>
  </si>
  <si>
    <t xml:space="preserve">Heritage House, 145 London Road, Twickenham
</t>
  </si>
  <si>
    <t>TW1 1EF</t>
  </si>
  <si>
    <t>23/1487/FUL</t>
  </si>
  <si>
    <t>Change of use from C3 single dwelling to C2 children's care home</t>
  </si>
  <si>
    <t xml:space="preserve">1A School Lane, Kingston Upon Thames KT1 4DF
</t>
  </si>
  <si>
    <t>KT1 4DF</t>
  </si>
  <si>
    <t>23/1615/GPD26</t>
  </si>
  <si>
    <t>Conversion of existing ground floor offices (Class E) to residential (class C3). Retention of existing rear garden including secure cycle storage unit and recycling bin area.</t>
  </si>
  <si>
    <t xml:space="preserve">15 Nelson Road, Twickenham TW2 7AR
</t>
  </si>
  <si>
    <t>TW2 7AR</t>
  </si>
  <si>
    <t>23/1618/GPD26</t>
  </si>
  <si>
    <t>Conversion of office space into a single dwelling with associated cycle parking and refuse and recycling provision.</t>
  </si>
  <si>
    <t xml:space="preserve">Station Point, 121 Sandycombe Road, Richmond
</t>
  </si>
  <si>
    <t>23/1869/FUL</t>
  </si>
  <si>
    <t>The subdivision of a two-storey maisonette flat into two separate flats and loft extension to the third flat including a flat roof dormer to the rear.</t>
  </si>
  <si>
    <t xml:space="preserve">391 Upper Richmond Road West
East Sheen
London
SW14 7NX
</t>
  </si>
  <si>
    <t>SW14 7NX</t>
  </si>
  <si>
    <t>23/2244/FUL</t>
  </si>
  <si>
    <t>Demolition of the existing detached two-storey dwelling house with accommodation in the roofspace and existing attached single-storey garage and outbuildings, and their replacement with a pair of semi-detached two-storey dwelling houses with associated of</t>
  </si>
  <si>
    <t xml:space="preserve">233 Nelson Road
Twickenham
TW2 7BQ
</t>
  </si>
  <si>
    <t>TW2 7BQ</t>
  </si>
  <si>
    <t>23/2413/FUL</t>
  </si>
  <si>
    <t>Demolition of existing outbuilding. Erection of side/rear extension to create office floorspace and 1 x 2 bed flat with associated landscaping, cycle and refuse storage facilities.</t>
  </si>
  <si>
    <t>53 Sheen Lane_x000D_East Sheen_x000D_London_x000D_SW14 8AB</t>
  </si>
  <si>
    <t>SW14 8AB</t>
  </si>
  <si>
    <t>23/2490/FUL</t>
  </si>
  <si>
    <t>Demolition of Existing Bungalow and the Erection of a Replacement Dwelling</t>
  </si>
  <si>
    <t xml:space="preserve">84A Hampton Road, Twickenham TW2 5QS
</t>
  </si>
  <si>
    <t>TW2 5QS</t>
  </si>
  <si>
    <t>23/2673/FUL</t>
  </si>
  <si>
    <t>Subdivision of two bed flat to two 1 bed flats with associated refuse storage and cycle parking.</t>
  </si>
  <si>
    <t>23/2729/FUL</t>
  </si>
  <si>
    <t>Proposed amalgamation of the first floor studio flat and second floor x1 bedroom self contained flats to form 1 x 2-bedroom self contained flat.</t>
  </si>
  <si>
    <t>53 St Margarets Road_x000D_Twickenham_x000D_TW1 2LL_x000D_</t>
  </si>
  <si>
    <t>TW1 2LL</t>
  </si>
  <si>
    <t>24/0264/GPD26</t>
  </si>
  <si>
    <t>Change of use of part of the ground floor from commercial (use class E) to a single residential dwelling (use class C3).</t>
  </si>
  <si>
    <t xml:space="preserve">137 Percy Road, Twickenham TW2 6HU
</t>
  </si>
  <si>
    <t>TW2 6HU</t>
  </si>
  <si>
    <t>21/1864/FUL</t>
  </si>
  <si>
    <t>Extension of existing house and reversion of two (33 and 35) plots into one and associated hard and soft landscaping</t>
  </si>
  <si>
    <t>33 Ham Farm Road, Ham, Richmond TW10 5NA</t>
  </si>
  <si>
    <t>TW10 5NA</t>
  </si>
  <si>
    <t>Site Allocation</t>
  </si>
  <si>
    <t>Open Market / Affordable</t>
  </si>
  <si>
    <t>19/0510/FUL</t>
  </si>
  <si>
    <t>05. Deliverable Site (Application under consideration)</t>
  </si>
  <si>
    <t>Demolition of existing buildings and structures and comprehensive phased residential-led redevelopment to provide 453 residential units (of which 173 units will be affordable), flexible retail, community and office uses, provision of car and cycle parking, landscaping, public and private open spaces and all other necessary enabling works</t>
  </si>
  <si>
    <t>Homebase, 84 Manor Road Richmond TW9 1YB</t>
  </si>
  <si>
    <t>21/3107/FUL</t>
  </si>
  <si>
    <t>Demolition of existing structures and redevelopment of site including construction of three new buildings comprising 106 residential units of mixed tenure (Use Class C3), alterations and conversion of two existing buildings for 3 residential use (Use Class C3), car and cycle parking, landscaping and associated works</t>
  </si>
  <si>
    <t>Barnes Hospital, South Worple Way, East Sheen</t>
  </si>
  <si>
    <t>22/0900/OUT</t>
  </si>
  <si>
    <t>Hybrid application to include: 1. Demolition of existing buildings (except the Maltings and the façade of the Bottling Plant and former Hotel), walls, associated structures, site clearance and groundworks, to allow for the comprehensive phased redevelopment of the site: 2. Detailed application for the works to the east side of Ship Lane which comprise: a. Alterations and extensions to existing buildings and erection of buildings varying in height from 3 to 9 storeys plus a basement of one to two storeys below ground to allow for residential apartments; flexible use floorspace for retail, financial and professional services, café/restaurant and drinking establishment uses, offices, non-residential institutions and community use and boathouse; Hotel / public house with accommodation; Cinema and Offices. b. New pedestrian, vehicle and cycle accesses and internal routes, and associated highway works c. Provision of on-site cycle, vehicle and servicing parking at surface and basement level d. Provision of public open space, amenity and play space and landscaping e. Flood defence and towpath works f. Installation of plant and energy equipment 3. Outline application, with all matters reserved for works to the west of Ship Lane which comprise: a. The erection of a single storey basement and buildings varying in height from 3 to 8 storeys b. Residential development c. Provision of on-site cycle, vehicle and servicing parking d. Provision of public open space, amenity and play space and landscaping e. New pedestrian, vehicle and cycle accesses and internal routes, and associated highways works.</t>
  </si>
  <si>
    <t xml:space="preserve">The Stag Brewery Lower Richmond Road Mortlake London SW14 7ET </t>
  </si>
  <si>
    <t>22/1029/FUL</t>
  </si>
  <si>
    <t>Change of use of the building from student accommodation to provide 70 residential flats (C3 Use Class) including 4 social rent units, and 7 wheelchair accessible dwellings M4(3), facade and elevational alterations, infill extension at ground floor level and with associated landscaping, widening of two crossovers, access, parking/refuse provision and other external alterations.</t>
  </si>
  <si>
    <t>Kingston Bridge House, Church Grove, Hampton Wick KT1 4AG</t>
  </si>
  <si>
    <t>22/2204/FUL</t>
  </si>
  <si>
    <t>Demolition of existing buildings and erection of 1no. mixed use building between three and five storeys plus basement in height, comprising 86no. residential flats (Class C3) and 1,311.2sq.m of commercial floorspace (Class E); 1no.two storey building comprising 595sq.m of commercial floorspace (Class E); 14no. residential houses (Class C3); and, associated access, external landscaping and car parking.</t>
  </si>
  <si>
    <t>St Clare Business Park And 7 - 11 Windmill Road, Hampton Hill</t>
  </si>
  <si>
    <t>22/2556/FUL</t>
  </si>
  <si>
    <t>Demolition of existing buildings (with retention of a single dwelling) and redevelopment of the site to provide up to 116 residential units and 175 sqm commercial floorspace (Use Class E(g)) with associated hard and soft landscaping, car parking and highways works and other associated works.</t>
  </si>
  <si>
    <t>Greggs And No. 2 Gould Road, Gould Road, Twickenham</t>
  </si>
  <si>
    <t>05. Deliverable Site (Site Allocation)</t>
  </si>
  <si>
    <t>05. Deliverable Sites</t>
  </si>
  <si>
    <t>Existing C3 Dwelling</t>
  </si>
  <si>
    <t>Existing Home Rooms</t>
  </si>
  <si>
    <t>Proposed Home Rooms</t>
  </si>
  <si>
    <t>Net Home Rooms</t>
  </si>
  <si>
    <t>Existing House in Multiple Occupation Rooms</t>
  </si>
  <si>
    <t>Proposed House in Multiple Occupation Rooms</t>
  </si>
  <si>
    <t>Net House in Multiple Occupation Rooms</t>
  </si>
  <si>
    <t>Existing Student Bedrooms</t>
  </si>
  <si>
    <t>Proposed Student Bedrooms</t>
  </si>
  <si>
    <t>Net Student Bedrooms</t>
  </si>
  <si>
    <t>Existing Staff Accomodation</t>
  </si>
  <si>
    <t>Proposed Staff Accomodation</t>
  </si>
  <si>
    <t>Net Staff Accomodation</t>
  </si>
  <si>
    <t>1.8 : 1</t>
  </si>
  <si>
    <t>2.5:1</t>
  </si>
  <si>
    <t>C1</t>
  </si>
  <si>
    <t>D1</t>
  </si>
  <si>
    <t>Net Residential Units</t>
  </si>
  <si>
    <t>HMO</t>
  </si>
  <si>
    <t>175 Sheen Lane, East Sheen SW14 8LE</t>
  </si>
  <si>
    <t>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t>
  </si>
  <si>
    <t>27-29 Lower Teddington Road</t>
  </si>
  <si>
    <t>Student Bedrooms</t>
  </si>
  <si>
    <t>23-27 Lower Teddington Road</t>
  </si>
  <si>
    <t>23/1897/VRC</t>
  </si>
  <si>
    <t>Care Home Beds</t>
  </si>
  <si>
    <t>Change of use from hotel (Class C1) to care and physiotherapy-led rehabilitation centre (Class C2) to include partial demolition and extension of the existing building along with the provision of associated car parking, cycle parking, refuse storage, landscaping, boundary treatments, servicing, access and necessary highways works.</t>
  </si>
  <si>
    <t>Richmond Inn Hotel, 50 - 56 Sheen Road, Richmond, TW9 1UG</t>
  </si>
  <si>
    <t>TW9 1UG</t>
  </si>
  <si>
    <t>21/2661/FUL</t>
  </si>
  <si>
    <t>Conversion and extension of roof space above modern boarding blocks (C2 use) to provide additional boarding accommodation and rooflights. Raising of parapet walls.  Plant at ground level; 4No electric vehicle charging points in Entrance Forecourt; tempora</t>
  </si>
  <si>
    <t xml:space="preserve">The Royal Ballet School, White Lodge, Richmond Park, Richmond, TW10 5HR, </t>
  </si>
  <si>
    <t>TW10 5HR</t>
  </si>
  <si>
    <t xml:space="preserve">19/2822/FUL </t>
  </si>
  <si>
    <t>Retention and refurbishment of the former police station building with part demolition of rear wings and ancillary buildings, and the construction of a three storey side and rear extension and basement to form a registered care home comprising 22 care suites and 66 care bed units, with shared facilities, car and cycle parking, landscaping and ancillary works.</t>
  </si>
  <si>
    <t>Hampton Police Station, Station Road, Hampton TW12 2AX</t>
  </si>
  <si>
    <t>TW12 2AX</t>
  </si>
  <si>
    <t>Expected Housing Delivery Trajectory</t>
  </si>
  <si>
    <t>London Plan Period</t>
  </si>
  <si>
    <t>2016 London Plan</t>
  </si>
  <si>
    <t>London Plan (2021 - 2031)</t>
  </si>
  <si>
    <t>Years of Plan Remaining</t>
  </si>
  <si>
    <t>10-year supply</t>
  </si>
  <si>
    <t>Local Plan</t>
  </si>
  <si>
    <t>2024/25</t>
  </si>
  <si>
    <t>2025/26</t>
  </si>
  <si>
    <t>2026/27</t>
  </si>
  <si>
    <t>2027/28</t>
  </si>
  <si>
    <t>2028/29</t>
  </si>
  <si>
    <t>2029/30</t>
  </si>
  <si>
    <t>2030/31</t>
  </si>
  <si>
    <t>2031/32</t>
  </si>
  <si>
    <t>2032/33</t>
  </si>
  <si>
    <t>2033/34</t>
  </si>
  <si>
    <t>Past Completions</t>
  </si>
  <si>
    <t>Projected Completions</t>
  </si>
  <si>
    <t>Cumulative Completions over Plan Period</t>
  </si>
  <si>
    <t>Annual Target</t>
  </si>
  <si>
    <t>Cumulative Target over Plan Period</t>
  </si>
  <si>
    <t>Delivery against Target</t>
  </si>
  <si>
    <t>Cumulative Completions against Cumulative Target</t>
  </si>
  <si>
    <t>Stepped Trajectory (London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</si>
</sst>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48" x14ac:knownFonts="1">
    <font>
      <sz val="11"/>
      <color theme="1"/>
      <name val="Calibri"/>
      <family val="2"/>
      <scheme val="minor"/>
    </font>
    <font>
      <sz val="12"/>
      <name val="Calibri"/>
      <family val="2"/>
      <scheme val="minor"/>
    </font>
    <font>
      <sz val="11"/>
      <name val="Calibri"/>
      <family val="2"/>
      <scheme val="minor"/>
    </font>
    <font>
      <sz val="11"/>
      <color rgb="FFFF0000"/>
      <name val="Calibri"/>
      <family val="2"/>
      <scheme val="minor"/>
    </font>
    <font>
      <sz val="11"/>
      <color rgb="FF000000"/>
      <name val="Calibri"/>
      <family val="2"/>
    </font>
    <font>
      <sz val="10"/>
      <color indexed="8"/>
      <name val="Arial"/>
      <family val="2"/>
    </font>
    <font>
      <sz val="11"/>
      <color indexed="8"/>
      <name val="Calibri"/>
      <family val="2"/>
      <scheme val="minor"/>
    </font>
    <font>
      <strike/>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name val="MS Sans Serif"/>
      <family val="2"/>
    </font>
    <font>
      <b/>
      <sz val="9"/>
      <name val="Arial"/>
      <family val="2"/>
    </font>
    <font>
      <b/>
      <sz val="12"/>
      <name val="Arial"/>
      <family val="2"/>
    </font>
    <font>
      <b/>
      <sz val="8"/>
      <name val="Arial"/>
      <family val="2"/>
    </font>
    <font>
      <i/>
      <sz val="8"/>
      <name val="Arial"/>
      <family val="2"/>
    </font>
    <font>
      <sz val="8"/>
      <name val="Arial"/>
      <family val="2"/>
    </font>
    <font>
      <sz val="8"/>
      <color rgb="FFFF0000"/>
      <name val="Arial"/>
      <family val="2"/>
    </font>
    <font>
      <b/>
      <sz val="8"/>
      <color rgb="FFFF0000"/>
      <name val="Arial"/>
      <family val="2"/>
    </font>
    <font>
      <sz val="11"/>
      <color theme="1"/>
      <name val="Calibri"/>
      <family val="2"/>
      <scheme val="minor"/>
    </font>
    <font>
      <b/>
      <sz val="16"/>
      <name val="Arial"/>
      <family val="2"/>
    </font>
    <font>
      <b/>
      <vertAlign val="superscript"/>
      <sz val="16"/>
      <name val="Arial"/>
      <family val="2"/>
    </font>
    <font>
      <sz val="10"/>
      <color theme="5"/>
      <name val="Arial"/>
      <family val="2"/>
    </font>
    <font>
      <b/>
      <i/>
      <u/>
      <sz val="9"/>
      <color theme="5"/>
      <name val="Arial"/>
      <family val="2"/>
    </font>
    <font>
      <sz val="9"/>
      <color theme="5"/>
      <name val="Arial"/>
      <family val="2"/>
    </font>
    <font>
      <b/>
      <sz val="9"/>
      <color theme="5"/>
      <name val="Arial"/>
      <family val="2"/>
    </font>
    <font>
      <sz val="8"/>
      <color theme="5"/>
      <name val="Arial"/>
      <family val="2"/>
    </font>
    <font>
      <b/>
      <sz val="8"/>
      <color theme="5"/>
      <name val="Arial"/>
      <family val="2"/>
    </font>
    <font>
      <i/>
      <sz val="8"/>
      <color theme="5"/>
      <name val="Arial"/>
      <family val="2"/>
    </font>
    <font>
      <b/>
      <i/>
      <sz val="8"/>
      <color theme="5"/>
      <name val="Arial"/>
      <family val="2"/>
    </font>
    <font>
      <i/>
      <sz val="9"/>
      <color theme="5"/>
      <name val="Arial"/>
      <family val="2"/>
    </font>
    <font>
      <b/>
      <sz val="10"/>
      <color theme="5"/>
      <name val="Arial"/>
      <family val="2"/>
    </font>
    <font>
      <sz val="10"/>
      <color theme="5"/>
      <name val="MS Sans Serif"/>
      <family val="2"/>
    </font>
    <font>
      <b/>
      <sz val="8"/>
      <color theme="5"/>
      <name val="Calibri"/>
      <family val="2"/>
      <scheme val="minor"/>
    </font>
    <font>
      <b/>
      <u/>
      <sz val="16"/>
      <name val="Arial"/>
      <family val="2"/>
    </font>
    <font>
      <b/>
      <sz val="11"/>
      <name val="Arial"/>
      <family val="2"/>
    </font>
    <font>
      <sz val="7.5"/>
      <name val="Arial"/>
      <family val="2"/>
    </font>
    <font>
      <i/>
      <sz val="9"/>
      <name val="Arial"/>
      <family val="2"/>
    </font>
    <font>
      <sz val="11"/>
      <name val="Arial"/>
      <family val="2"/>
    </font>
    <font>
      <sz val="11"/>
      <name val="Calibri"/>
      <family val="2"/>
    </font>
    <font>
      <sz val="9"/>
      <color rgb="FFFF0000"/>
      <name val="Arial"/>
      <family val="2"/>
    </font>
    <font>
      <sz val="9"/>
      <color rgb="FF000000"/>
      <name val="Verdana"/>
      <family val="2"/>
    </font>
    <font>
      <sz val="9"/>
      <color rgb="FF000000"/>
      <name val="Arial"/>
      <family val="2"/>
    </font>
    <font>
      <sz val="8"/>
      <color rgb="FF000000"/>
      <name val="Arial"/>
      <family val="2"/>
    </font>
    <font>
      <sz val="8"/>
      <color theme="1"/>
      <name val="Arial"/>
      <family val="2"/>
    </font>
    <font>
      <b/>
      <sz val="8"/>
      <color rgb="FF000000"/>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B7DEE8"/>
        <bgColor rgb="FF000000"/>
      </patternFill>
    </fill>
    <fill>
      <patternFill patternType="solid">
        <fgColor rgb="FFFFFFCC"/>
        <bgColor indexed="64"/>
      </patternFill>
    </fill>
    <fill>
      <patternFill patternType="solid">
        <fgColor rgb="FFDCE6F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theme="0" tint="-0.499984740745262"/>
      </bottom>
      <diagonal/>
    </border>
    <border>
      <left/>
      <right/>
      <top/>
      <bottom style="thin">
        <color theme="0" tint="-0.499984740745262"/>
      </bottom>
      <diagonal/>
    </border>
    <border>
      <left style="medium">
        <color theme="0" tint="-0.499984740745262"/>
      </left>
      <right/>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theme="0" tint="-0.499984740745262"/>
      </left>
      <right/>
      <top/>
      <bottom/>
      <diagonal/>
    </border>
    <border>
      <left style="thin">
        <color indexed="64"/>
      </left>
      <right/>
      <top style="thin">
        <color theme="0" tint="-0.499984740745262"/>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s>
  <cellStyleXfs count="14">
    <xf numFmtId="0" fontId="0" fillId="0" borderId="0"/>
    <xf numFmtId="0" fontId="4" fillId="0" borderId="0"/>
    <xf numFmtId="0" fontId="5" fillId="0" borderId="0"/>
    <xf numFmtId="0" fontId="11" fillId="0" borderId="0"/>
    <xf numFmtId="0" fontId="11" fillId="0" borderId="0"/>
    <xf numFmtId="0" fontId="13" fillId="0" borderId="0"/>
    <xf numFmtId="0" fontId="11" fillId="0" borderId="0"/>
    <xf numFmtId="0" fontId="5" fillId="0" borderId="0"/>
    <xf numFmtId="0" fontId="13" fillId="0" borderId="0"/>
    <xf numFmtId="0" fontId="11" fillId="0" borderId="0"/>
    <xf numFmtId="43" fontId="21" fillId="0" borderId="0" applyFont="0" applyFill="0" applyBorder="0" applyAlignment="0" applyProtection="0"/>
    <xf numFmtId="9" fontId="21" fillId="0" borderId="0" applyFont="0" applyFill="0" applyBorder="0" applyAlignment="0" applyProtection="0"/>
    <xf numFmtId="0" fontId="5" fillId="0" borderId="0"/>
    <xf numFmtId="0" fontId="11" fillId="0" borderId="0"/>
  </cellStyleXfs>
  <cellXfs count="532">
    <xf numFmtId="0" fontId="0" fillId="0" borderId="0" xfId="0"/>
    <xf numFmtId="0" fontId="9" fillId="0" borderId="0" xfId="0" applyFont="1"/>
    <xf numFmtId="0" fontId="10" fillId="0" borderId="0" xfId="0" applyFont="1"/>
    <xf numFmtId="0" fontId="2" fillId="0" borderId="0" xfId="0" applyFont="1"/>
    <xf numFmtId="0" fontId="9" fillId="0" borderId="0" xfId="3" applyFont="1"/>
    <xf numFmtId="0" fontId="12" fillId="5" borderId="0" xfId="4" applyFont="1" applyFill="1" applyAlignment="1">
      <alignment horizontal="right"/>
    </xf>
    <xf numFmtId="0" fontId="12" fillId="5" borderId="0" xfId="4" applyFont="1" applyFill="1"/>
    <xf numFmtId="0" fontId="11" fillId="5" borderId="0" xfId="6" applyFill="1"/>
    <xf numFmtId="0" fontId="14" fillId="5" borderId="0" xfId="4" applyFont="1" applyFill="1" applyAlignment="1">
      <alignment horizontal="left"/>
    </xf>
    <xf numFmtId="0" fontId="12" fillId="6" borderId="12" xfId="4" applyFont="1" applyFill="1" applyBorder="1"/>
    <xf numFmtId="0" fontId="12" fillId="6" borderId="0" xfId="4" applyFont="1" applyFill="1"/>
    <xf numFmtId="0" fontId="12" fillId="6" borderId="2" xfId="4" applyFont="1" applyFill="1" applyBorder="1"/>
    <xf numFmtId="3" fontId="17" fillId="2" borderId="16" xfId="8" applyNumberFormat="1" applyFont="1" applyFill="1" applyBorder="1" applyAlignment="1">
      <alignment horizontal="center" vertical="center"/>
    </xf>
    <xf numFmtId="3" fontId="17" fillId="2" borderId="18" xfId="8" applyNumberFormat="1" applyFont="1" applyFill="1" applyBorder="1" applyAlignment="1">
      <alignment horizontal="center" vertical="center"/>
    </xf>
    <xf numFmtId="3" fontId="17" fillId="2" borderId="17" xfId="8" applyNumberFormat="1" applyFont="1" applyFill="1" applyBorder="1" applyAlignment="1">
      <alignment horizontal="center" vertical="center"/>
    </xf>
    <xf numFmtId="0" fontId="16" fillId="6" borderId="12" xfId="7" applyFont="1" applyFill="1" applyBorder="1" applyAlignment="1">
      <alignment horizontal="right" vertical="center" indent="3"/>
    </xf>
    <xf numFmtId="0" fontId="16" fillId="6" borderId="0" xfId="7" applyFont="1" applyFill="1" applyAlignment="1">
      <alignment horizontal="right" vertical="center" indent="3"/>
    </xf>
    <xf numFmtId="3" fontId="16" fillId="6" borderId="27" xfId="8" applyNumberFormat="1" applyFont="1" applyFill="1" applyBorder="1" applyAlignment="1">
      <alignment horizontal="center" vertical="center"/>
    </xf>
    <xf numFmtId="3" fontId="16" fillId="6" borderId="0" xfId="8" applyNumberFormat="1" applyFont="1" applyFill="1" applyAlignment="1">
      <alignment horizontal="center" vertical="center"/>
    </xf>
    <xf numFmtId="3" fontId="16" fillId="6" borderId="0" xfId="8" applyNumberFormat="1" applyFont="1" applyFill="1" applyAlignment="1">
      <alignment vertical="center"/>
    </xf>
    <xf numFmtId="3" fontId="16" fillId="6" borderId="2" xfId="8" applyNumberFormat="1" applyFont="1" applyFill="1" applyBorder="1" applyAlignment="1">
      <alignment vertical="center"/>
    </xf>
    <xf numFmtId="0" fontId="12" fillId="6" borderId="0" xfId="4" applyFont="1" applyFill="1" applyAlignment="1">
      <alignment horizontal="right"/>
    </xf>
    <xf numFmtId="0" fontId="12" fillId="6" borderId="2" xfId="4" applyFont="1" applyFill="1" applyBorder="1" applyAlignment="1">
      <alignment horizontal="right"/>
    </xf>
    <xf numFmtId="0" fontId="16" fillId="2" borderId="16" xfId="7" applyFont="1" applyFill="1" applyBorder="1" applyAlignment="1">
      <alignment horizontal="right" vertical="center"/>
    </xf>
    <xf numFmtId="0" fontId="16" fillId="2" borderId="18" xfId="7" applyFont="1" applyFill="1" applyBorder="1" applyAlignment="1">
      <alignment horizontal="right" vertical="center"/>
    </xf>
    <xf numFmtId="0" fontId="16" fillId="2" borderId="17" xfId="7" applyFont="1" applyFill="1" applyBorder="1" applyAlignment="1">
      <alignment horizontal="right" vertical="center"/>
    </xf>
    <xf numFmtId="0" fontId="16" fillId="2" borderId="1" xfId="7" applyFont="1" applyFill="1" applyBorder="1" applyAlignment="1">
      <alignment horizontal="right" vertical="center"/>
    </xf>
    <xf numFmtId="0" fontId="18" fillId="2" borderId="16" xfId="7" applyFont="1" applyFill="1" applyBorder="1" applyAlignment="1">
      <alignment vertical="center" wrapText="1"/>
    </xf>
    <xf numFmtId="0" fontId="18" fillId="0" borderId="1" xfId="9" applyFont="1" applyBorder="1" applyAlignment="1">
      <alignment horizontal="center" vertical="center"/>
    </xf>
    <xf numFmtId="3" fontId="18" fillId="0" borderId="1" xfId="7" applyNumberFormat="1" applyFont="1" applyBorder="1" applyAlignment="1">
      <alignment horizontal="center" vertical="center"/>
    </xf>
    <xf numFmtId="0" fontId="12" fillId="5" borderId="1" xfId="4" applyFont="1" applyFill="1" applyBorder="1" applyAlignment="1">
      <alignment horizontal="right"/>
    </xf>
    <xf numFmtId="3" fontId="19" fillId="0" borderId="1" xfId="8" applyNumberFormat="1" applyFont="1" applyBorder="1" applyAlignment="1">
      <alignment horizontal="center" vertical="center"/>
    </xf>
    <xf numFmtId="3" fontId="19" fillId="0" borderId="1" xfId="4" applyNumberFormat="1" applyFont="1" applyBorder="1" applyAlignment="1">
      <alignment horizontal="center" vertical="center"/>
    </xf>
    <xf numFmtId="0" fontId="19" fillId="0" borderId="1" xfId="9" applyFont="1" applyBorder="1" applyAlignment="1">
      <alignment horizontal="center" vertical="center"/>
    </xf>
    <xf numFmtId="0" fontId="20" fillId="0" borderId="1" xfId="9" applyFont="1" applyBorder="1" applyAlignment="1">
      <alignment horizontal="center" vertical="center"/>
    </xf>
    <xf numFmtId="1" fontId="18" fillId="0" borderId="1" xfId="9" applyNumberFormat="1" applyFont="1" applyBorder="1" applyAlignment="1">
      <alignment horizontal="center" vertical="center"/>
    </xf>
    <xf numFmtId="1" fontId="18" fillId="0" borderId="16" xfId="9" applyNumberFormat="1" applyFont="1" applyBorder="1" applyAlignment="1">
      <alignment horizontal="center" vertical="center"/>
    </xf>
    <xf numFmtId="3" fontId="18" fillId="0" borderId="1" xfId="8" applyNumberFormat="1" applyFont="1" applyBorder="1" applyAlignment="1">
      <alignment horizontal="center" vertical="center"/>
    </xf>
    <xf numFmtId="3" fontId="16" fillId="0" borderId="1" xfId="8" applyNumberFormat="1" applyFont="1" applyBorder="1" applyAlignment="1">
      <alignment horizontal="center" vertical="center"/>
    </xf>
    <xf numFmtId="3" fontId="16" fillId="3" borderId="29" xfId="8" applyNumberFormat="1" applyFont="1" applyFill="1" applyBorder="1" applyAlignment="1">
      <alignment horizontal="center" vertical="center"/>
    </xf>
    <xf numFmtId="3" fontId="16" fillId="2" borderId="1" xfId="8" applyNumberFormat="1" applyFont="1" applyFill="1" applyBorder="1" applyAlignment="1">
      <alignment horizontal="center" vertical="center"/>
    </xf>
    <xf numFmtId="0" fontId="18" fillId="2" borderId="16" xfId="7" applyFont="1" applyFill="1" applyBorder="1" applyAlignment="1">
      <alignment horizontal="left" vertical="center" wrapText="1"/>
    </xf>
    <xf numFmtId="3" fontId="16" fillId="0" borderId="1" xfId="7" applyNumberFormat="1" applyFont="1" applyBorder="1" applyAlignment="1">
      <alignment horizontal="center" vertical="center"/>
    </xf>
    <xf numFmtId="0" fontId="16" fillId="6" borderId="28" xfId="4" applyFont="1" applyFill="1" applyBorder="1" applyAlignment="1">
      <alignment vertical="center" wrapText="1"/>
    </xf>
    <xf numFmtId="3" fontId="16" fillId="0" borderId="29" xfId="8" applyNumberFormat="1" applyFont="1" applyBorder="1" applyAlignment="1">
      <alignment horizontal="center" vertical="center"/>
    </xf>
    <xf numFmtId="1" fontId="9" fillId="0" borderId="0" xfId="0" applyNumberFormat="1" applyFont="1"/>
    <xf numFmtId="0" fontId="14" fillId="5" borderId="23" xfId="5" applyFont="1" applyFill="1" applyBorder="1"/>
    <xf numFmtId="0" fontId="12" fillId="5" borderId="23" xfId="5" applyFont="1" applyFill="1" applyBorder="1"/>
    <xf numFmtId="0" fontId="16" fillId="4" borderId="29" xfId="5" applyFont="1" applyFill="1" applyBorder="1" applyAlignment="1">
      <alignment horizontal="center" vertical="top" wrapText="1"/>
    </xf>
    <xf numFmtId="0" fontId="16" fillId="4" borderId="1" xfId="5" applyFont="1" applyFill="1" applyBorder="1" applyAlignment="1">
      <alignment horizontal="center" vertical="top" wrapText="1"/>
    </xf>
    <xf numFmtId="49" fontId="16" fillId="4" borderId="1" xfId="5" applyNumberFormat="1" applyFont="1" applyFill="1" applyBorder="1" applyAlignment="1">
      <alignment horizontal="center" vertical="center" wrapText="1"/>
    </xf>
    <xf numFmtId="3" fontId="16" fillId="0" borderId="1" xfId="5" applyNumberFormat="1" applyFont="1" applyBorder="1" applyAlignment="1">
      <alignment horizontal="center" wrapText="1"/>
    </xf>
    <xf numFmtId="3" fontId="18" fillId="0" borderId="1" xfId="5" applyNumberFormat="1" applyFont="1" applyBorder="1" applyAlignment="1">
      <alignment horizontal="center" wrapText="1"/>
    </xf>
    <xf numFmtId="9" fontId="16" fillId="0" borderId="29" xfId="5" applyNumberFormat="1" applyFont="1" applyBorder="1" applyAlignment="1">
      <alignment horizontal="center" wrapText="1"/>
    </xf>
    <xf numFmtId="0" fontId="12" fillId="5" borderId="0" xfId="5" applyFont="1" applyFill="1"/>
    <xf numFmtId="0" fontId="24" fillId="5" borderId="0" xfId="6" applyFont="1" applyFill="1"/>
    <xf numFmtId="0" fontId="24" fillId="5" borderId="25" xfId="6" applyFont="1" applyFill="1" applyBorder="1"/>
    <xf numFmtId="0" fontId="25" fillId="5" borderId="25" xfId="5" applyFont="1" applyFill="1" applyBorder="1" applyAlignment="1">
      <alignment vertical="top"/>
    </xf>
    <xf numFmtId="0" fontId="26" fillId="5" borderId="25" xfId="5" applyFont="1" applyFill="1" applyBorder="1"/>
    <xf numFmtId="0" fontId="26" fillId="5" borderId="18" xfId="5" applyFont="1" applyFill="1" applyBorder="1"/>
    <xf numFmtId="0" fontId="24" fillId="5" borderId="12" xfId="6" applyFont="1" applyFill="1" applyBorder="1"/>
    <xf numFmtId="0" fontId="27" fillId="5" borderId="0" xfId="5" applyFont="1" applyFill="1"/>
    <xf numFmtId="0" fontId="28" fillId="5" borderId="0" xfId="5" applyFont="1" applyFill="1" applyAlignment="1">
      <alignment horizontal="left" wrapText="1"/>
    </xf>
    <xf numFmtId="3" fontId="29" fillId="5" borderId="0" xfId="5" applyNumberFormat="1" applyFont="1" applyFill="1" applyAlignment="1">
      <alignment horizontal="center" wrapText="1"/>
    </xf>
    <xf numFmtId="3" fontId="28" fillId="5" borderId="0" xfId="5" applyNumberFormat="1" applyFont="1" applyFill="1" applyAlignment="1">
      <alignment horizontal="right" wrapText="1"/>
    </xf>
    <xf numFmtId="9" fontId="29" fillId="5" borderId="0" xfId="5" applyNumberFormat="1" applyFont="1" applyFill="1" applyAlignment="1">
      <alignment horizontal="center" wrapText="1"/>
    </xf>
    <xf numFmtId="0" fontId="26" fillId="5" borderId="0" xfId="5" applyFont="1" applyFill="1"/>
    <xf numFmtId="0" fontId="26" fillId="5" borderId="2" xfId="5" applyFont="1" applyFill="1" applyBorder="1"/>
    <xf numFmtId="0" fontId="26" fillId="5" borderId="23" xfId="5" applyFont="1" applyFill="1" applyBorder="1"/>
    <xf numFmtId="3" fontId="26" fillId="5" borderId="0" xfId="5" applyNumberFormat="1" applyFont="1" applyFill="1"/>
    <xf numFmtId="9" fontId="28" fillId="5" borderId="0" xfId="11" applyFont="1" applyFill="1" applyBorder="1" applyAlignment="1">
      <alignment horizontal="right" wrapText="1"/>
    </xf>
    <xf numFmtId="0" fontId="30" fillId="5" borderId="0" xfId="6" applyFont="1" applyFill="1" applyAlignment="1">
      <alignment horizontal="center" vertical="center" wrapText="1"/>
    </xf>
    <xf numFmtId="0" fontId="30" fillId="5" borderId="0" xfId="6" applyFont="1" applyFill="1" applyAlignment="1">
      <alignment horizontal="left" vertical="center" wrapText="1"/>
    </xf>
    <xf numFmtId="164" fontId="31" fillId="5" borderId="0" xfId="6" applyNumberFormat="1" applyFont="1" applyFill="1" applyAlignment="1">
      <alignment horizontal="right" vertical="center" wrapText="1"/>
    </xf>
    <xf numFmtId="0" fontId="28" fillId="5" borderId="0" xfId="5" applyFont="1" applyFill="1"/>
    <xf numFmtId="0" fontId="28" fillId="5" borderId="2" xfId="5" applyFont="1" applyFill="1" applyBorder="1"/>
    <xf numFmtId="0" fontId="24" fillId="7" borderId="12" xfId="0" applyFont="1" applyFill="1" applyBorder="1"/>
    <xf numFmtId="0" fontId="26" fillId="7" borderId="0" xfId="0" applyFont="1" applyFill="1"/>
    <xf numFmtId="0" fontId="28" fillId="7" borderId="0" xfId="0" applyFont="1" applyFill="1"/>
    <xf numFmtId="0" fontId="28" fillId="7" borderId="2" xfId="0" applyFont="1" applyFill="1" applyBorder="1"/>
    <xf numFmtId="0" fontId="24" fillId="7" borderId="0" xfId="0" applyFont="1" applyFill="1"/>
    <xf numFmtId="0" fontId="24" fillId="7" borderId="3" xfId="0" applyFont="1" applyFill="1" applyBorder="1"/>
    <xf numFmtId="0" fontId="30" fillId="7" borderId="0" xfId="0" applyFont="1" applyFill="1" applyAlignment="1">
      <alignment horizontal="center" vertical="center" wrapText="1"/>
    </xf>
    <xf numFmtId="165" fontId="31" fillId="5" borderId="0" xfId="6" applyNumberFormat="1" applyFont="1" applyFill="1" applyAlignment="1">
      <alignment horizontal="right" vertical="center" wrapText="1"/>
    </xf>
    <xf numFmtId="0" fontId="32" fillId="5" borderId="0" xfId="5" applyFont="1" applyFill="1"/>
    <xf numFmtId="0" fontId="28" fillId="5" borderId="0" xfId="6" applyFont="1" applyFill="1" applyAlignment="1">
      <alignment horizontal="center" vertical="center" wrapText="1"/>
    </xf>
    <xf numFmtId="0" fontId="28" fillId="5" borderId="0" xfId="6" applyFont="1" applyFill="1" applyAlignment="1">
      <alignment horizontal="left" vertical="center" wrapText="1"/>
    </xf>
    <xf numFmtId="0" fontId="28" fillId="5" borderId="0" xfId="6" applyFont="1" applyFill="1" applyAlignment="1">
      <alignment horizontal="right" vertical="center" wrapText="1"/>
    </xf>
    <xf numFmtId="0" fontId="24" fillId="5" borderId="3" xfId="6" applyFont="1" applyFill="1" applyBorder="1"/>
    <xf numFmtId="3" fontId="28" fillId="5" borderId="0" xfId="5" applyNumberFormat="1" applyFont="1" applyFill="1"/>
    <xf numFmtId="0" fontId="33" fillId="5" borderId="0" xfId="5" applyFont="1" applyFill="1" applyAlignment="1">
      <alignment wrapText="1"/>
    </xf>
    <xf numFmtId="0" fontId="28" fillId="5" borderId="0" xfId="12" applyFont="1" applyFill="1"/>
    <xf numFmtId="0" fontId="28" fillId="5" borderId="0" xfId="12" applyFont="1" applyFill="1" applyAlignment="1">
      <alignment wrapText="1"/>
    </xf>
    <xf numFmtId="3" fontId="28" fillId="5" borderId="0" xfId="12" applyNumberFormat="1" applyFont="1" applyFill="1" applyAlignment="1">
      <alignment horizontal="center"/>
    </xf>
    <xf numFmtId="0" fontId="24" fillId="5" borderId="0" xfId="12" applyFont="1" applyFill="1"/>
    <xf numFmtId="0" fontId="24" fillId="5" borderId="2" xfId="12" applyFont="1" applyFill="1" applyBorder="1"/>
    <xf numFmtId="0" fontId="24" fillId="5" borderId="22" xfId="6" applyFont="1" applyFill="1" applyBorder="1"/>
    <xf numFmtId="0" fontId="28" fillId="5" borderId="23" xfId="12" applyFont="1" applyFill="1" applyBorder="1"/>
    <xf numFmtId="0" fontId="24" fillId="5" borderId="23" xfId="12" applyFont="1" applyFill="1" applyBorder="1"/>
    <xf numFmtId="0" fontId="24" fillId="5" borderId="24" xfId="12" applyFont="1" applyFill="1" applyBorder="1"/>
    <xf numFmtId="0" fontId="24" fillId="5" borderId="30" xfId="6" applyFont="1" applyFill="1" applyBorder="1"/>
    <xf numFmtId="0" fontId="24" fillId="5" borderId="25" xfId="12" applyFont="1" applyFill="1" applyBorder="1"/>
    <xf numFmtId="0" fontId="26" fillId="5" borderId="0" xfId="12" applyFont="1" applyFill="1"/>
    <xf numFmtId="0" fontId="26" fillId="5" borderId="0" xfId="12" applyFont="1" applyFill="1" applyAlignment="1">
      <alignment horizontal="center" vertical="center"/>
    </xf>
    <xf numFmtId="0" fontId="24" fillId="5" borderId="0" xfId="12" applyFont="1" applyFill="1" applyAlignment="1">
      <alignment horizontal="center" vertical="center"/>
    </xf>
    <xf numFmtId="0" fontId="24" fillId="5" borderId="2" xfId="6" applyFont="1" applyFill="1" applyBorder="1"/>
    <xf numFmtId="0" fontId="29" fillId="5" borderId="0" xfId="5" applyFont="1" applyFill="1"/>
    <xf numFmtId="3" fontId="29" fillId="5" borderId="0" xfId="5" applyNumberFormat="1" applyFont="1" applyFill="1" applyAlignment="1">
      <alignment horizontal="right"/>
    </xf>
    <xf numFmtId="0" fontId="24" fillId="5" borderId="23" xfId="6" applyFont="1" applyFill="1" applyBorder="1"/>
    <xf numFmtId="0" fontId="24" fillId="5" borderId="24" xfId="6" applyFont="1" applyFill="1" applyBorder="1"/>
    <xf numFmtId="0" fontId="24" fillId="5" borderId="26" xfId="6" applyFont="1" applyFill="1" applyBorder="1"/>
    <xf numFmtId="0" fontId="34" fillId="5" borderId="0" xfId="5" applyFont="1" applyFill="1"/>
    <xf numFmtId="0" fontId="29" fillId="5" borderId="0" xfId="5" applyFont="1" applyFill="1" applyAlignment="1">
      <alignment horizontal="center"/>
    </xf>
    <xf numFmtId="0" fontId="35" fillId="5" borderId="0" xfId="0" applyFont="1" applyFill="1"/>
    <xf numFmtId="3" fontId="28" fillId="5" borderId="0" xfId="5" applyNumberFormat="1" applyFont="1" applyFill="1" applyAlignment="1">
      <alignment horizontal="right"/>
    </xf>
    <xf numFmtId="0" fontId="34" fillId="5" borderId="23" xfId="5" applyFont="1" applyFill="1" applyBorder="1"/>
    <xf numFmtId="0" fontId="34" fillId="5" borderId="25" xfId="5" applyFont="1" applyFill="1" applyBorder="1"/>
    <xf numFmtId="9" fontId="28" fillId="5" borderId="0" xfId="11" applyFont="1" applyFill="1" applyBorder="1" applyAlignment="1">
      <alignment horizontal="center"/>
    </xf>
    <xf numFmtId="1" fontId="29" fillId="5" borderId="0" xfId="5" applyNumberFormat="1" applyFont="1" applyFill="1" applyAlignment="1">
      <alignment horizontal="right"/>
    </xf>
    <xf numFmtId="3" fontId="26" fillId="5" borderId="0" xfId="5" applyNumberFormat="1" applyFont="1" applyFill="1" applyAlignment="1">
      <alignment horizontal="center"/>
    </xf>
    <xf numFmtId="0" fontId="29" fillId="5" borderId="0" xfId="5" applyFont="1" applyFill="1" applyAlignment="1">
      <alignment horizontal="left"/>
    </xf>
    <xf numFmtId="0" fontId="29" fillId="5" borderId="23" xfId="5" applyFont="1" applyFill="1" applyBorder="1" applyAlignment="1">
      <alignment horizontal="left"/>
    </xf>
    <xf numFmtId="3" fontId="29" fillId="5" borderId="23" xfId="5" applyNumberFormat="1" applyFont="1" applyFill="1" applyBorder="1" applyAlignment="1">
      <alignment horizontal="right"/>
    </xf>
    <xf numFmtId="1" fontId="29" fillId="5" borderId="23" xfId="5" applyNumberFormat="1" applyFont="1" applyFill="1" applyBorder="1" applyAlignment="1">
      <alignment horizontal="right"/>
    </xf>
    <xf numFmtId="3" fontId="26" fillId="5" borderId="23" xfId="5" applyNumberFormat="1" applyFont="1" applyFill="1" applyBorder="1" applyAlignment="1">
      <alignment horizontal="center"/>
    </xf>
    <xf numFmtId="0" fontId="29" fillId="5" borderId="25" xfId="5" applyFont="1" applyFill="1" applyBorder="1" applyAlignment="1">
      <alignment horizontal="left"/>
    </xf>
    <xf numFmtId="0" fontId="29" fillId="5" borderId="25" xfId="5" applyFont="1" applyFill="1" applyBorder="1"/>
    <xf numFmtId="3" fontId="29" fillId="5" borderId="25" xfId="5" applyNumberFormat="1" applyFont="1" applyFill="1" applyBorder="1" applyAlignment="1">
      <alignment horizontal="center"/>
    </xf>
    <xf numFmtId="9" fontId="26" fillId="5" borderId="0" xfId="5" applyNumberFormat="1" applyFont="1" applyFill="1" applyAlignment="1">
      <alignment horizontal="center"/>
    </xf>
    <xf numFmtId="9" fontId="26" fillId="5" borderId="23" xfId="5" applyNumberFormat="1" applyFont="1" applyFill="1" applyBorder="1" applyAlignment="1">
      <alignment horizontal="center"/>
    </xf>
    <xf numFmtId="9" fontId="26" fillId="5" borderId="25" xfId="5" applyNumberFormat="1" applyFont="1" applyFill="1" applyBorder="1" applyAlignment="1">
      <alignment horizontal="center"/>
    </xf>
    <xf numFmtId="0" fontId="1" fillId="0" borderId="0" xfId="0" applyFont="1"/>
    <xf numFmtId="0" fontId="9" fillId="0" borderId="0" xfId="13" applyFont="1"/>
    <xf numFmtId="0" fontId="9" fillId="0" borderId="0" xfId="0" applyFont="1" applyAlignment="1">
      <alignment horizontal="left"/>
    </xf>
    <xf numFmtId="0" fontId="9" fillId="2" borderId="0" xfId="3" applyFont="1" applyFill="1"/>
    <xf numFmtId="0" fontId="9" fillId="2" borderId="0" xfId="0" applyFont="1" applyFill="1"/>
    <xf numFmtId="0" fontId="14" fillId="5" borderId="0" xfId="5" applyFont="1" applyFill="1"/>
    <xf numFmtId="0" fontId="18" fillId="5" borderId="0" xfId="6" applyFont="1" applyFill="1" applyAlignment="1">
      <alignment horizontal="left" vertical="center" wrapText="1"/>
    </xf>
    <xf numFmtId="0" fontId="9" fillId="2" borderId="0" xfId="13" applyFont="1" applyFill="1"/>
    <xf numFmtId="0" fontId="14" fillId="5" borderId="0" xfId="12" applyFont="1" applyFill="1"/>
    <xf numFmtId="0" fontId="12" fillId="5" borderId="0" xfId="12" applyFont="1" applyFill="1"/>
    <xf numFmtId="0" fontId="18" fillId="4" borderId="1" xfId="12" applyFont="1" applyFill="1" applyBorder="1" applyAlignment="1">
      <alignment horizontal="center" vertical="top" wrapText="1"/>
    </xf>
    <xf numFmtId="0" fontId="18" fillId="5" borderId="1" xfId="12" applyFont="1" applyFill="1" applyBorder="1" applyAlignment="1">
      <alignment horizontal="center" vertical="center"/>
    </xf>
    <xf numFmtId="3" fontId="18" fillId="5" borderId="1" xfId="12" applyNumberFormat="1" applyFont="1" applyFill="1" applyBorder="1" applyAlignment="1">
      <alignment horizontal="center" vertical="center"/>
    </xf>
    <xf numFmtId="3" fontId="18" fillId="0" borderId="1" xfId="12" applyNumberFormat="1" applyFont="1" applyBorder="1" applyAlignment="1">
      <alignment horizontal="center" vertical="center"/>
    </xf>
    <xf numFmtId="0" fontId="16" fillId="5" borderId="1" xfId="12" applyFont="1" applyFill="1" applyBorder="1" applyAlignment="1">
      <alignment horizontal="center" vertical="center"/>
    </xf>
    <xf numFmtId="3" fontId="16" fillId="0" borderId="1" xfId="12" applyNumberFormat="1" applyFont="1" applyBorder="1" applyAlignment="1">
      <alignment horizontal="center" vertical="center"/>
    </xf>
    <xf numFmtId="0" fontId="36" fillId="5" borderId="0" xfId="5" applyFont="1" applyFill="1" applyAlignment="1">
      <alignment horizontal="left" indent="1"/>
    </xf>
    <xf numFmtId="0" fontId="13" fillId="5" borderId="0" xfId="5" applyFill="1"/>
    <xf numFmtId="0" fontId="16" fillId="4" borderId="50" xfId="5" applyFont="1" applyFill="1" applyBorder="1" applyAlignment="1">
      <alignment horizontal="center"/>
    </xf>
    <xf numFmtId="0" fontId="16" fillId="4" borderId="1" xfId="5" applyFont="1" applyFill="1" applyBorder="1" applyAlignment="1">
      <alignment horizontal="center" vertical="center" wrapText="1"/>
    </xf>
    <xf numFmtId="0" fontId="18" fillId="0" borderId="1" xfId="5" applyFont="1" applyBorder="1" applyAlignment="1">
      <alignment horizontal="center"/>
    </xf>
    <xf numFmtId="9" fontId="18" fillId="5" borderId="1" xfId="11" applyFont="1" applyFill="1" applyBorder="1" applyAlignment="1">
      <alignment horizontal="center"/>
    </xf>
    <xf numFmtId="1" fontId="16" fillId="4" borderId="1" xfId="11" applyNumberFormat="1" applyFont="1" applyFill="1" applyBorder="1" applyAlignment="1">
      <alignment horizontal="center"/>
    </xf>
    <xf numFmtId="9" fontId="16" fillId="4" borderId="1" xfId="11" applyFont="1" applyFill="1" applyBorder="1" applyAlignment="1">
      <alignment horizontal="center"/>
    </xf>
    <xf numFmtId="0" fontId="18" fillId="5" borderId="1" xfId="6" applyFont="1" applyFill="1" applyBorder="1" applyAlignment="1">
      <alignment horizontal="center"/>
    </xf>
    <xf numFmtId="9" fontId="18" fillId="0" borderId="1" xfId="11" applyFont="1" applyFill="1" applyBorder="1" applyAlignment="1">
      <alignment horizontal="center"/>
    </xf>
    <xf numFmtId="0" fontId="16" fillId="5" borderId="1" xfId="6" applyFont="1" applyFill="1" applyBorder="1" applyAlignment="1">
      <alignment horizontal="center"/>
    </xf>
    <xf numFmtId="9" fontId="16" fillId="0" borderId="1" xfId="11" applyFont="1" applyFill="1" applyBorder="1" applyAlignment="1">
      <alignment horizontal="center"/>
    </xf>
    <xf numFmtId="0" fontId="18" fillId="5" borderId="0" xfId="6" applyFont="1" applyFill="1" applyAlignment="1">
      <alignment horizontal="left"/>
    </xf>
    <xf numFmtId="0" fontId="16" fillId="4" borderId="50" xfId="6" applyFont="1" applyFill="1" applyBorder="1" applyAlignment="1">
      <alignment horizontal="center"/>
    </xf>
    <xf numFmtId="0" fontId="18" fillId="5" borderId="50" xfId="6" applyFont="1" applyFill="1" applyBorder="1" applyAlignment="1">
      <alignment horizontal="center"/>
    </xf>
    <xf numFmtId="166" fontId="18" fillId="5" borderId="50" xfId="10" applyNumberFormat="1" applyFont="1" applyFill="1" applyBorder="1" applyAlignment="1">
      <alignment horizontal="center" vertical="center"/>
    </xf>
    <xf numFmtId="9" fontId="18" fillId="5" borderId="50" xfId="11" applyFont="1" applyFill="1" applyBorder="1" applyAlignment="1">
      <alignment horizontal="center"/>
    </xf>
    <xf numFmtId="0" fontId="16" fillId="5" borderId="50" xfId="6" applyFont="1" applyFill="1" applyBorder="1" applyAlignment="1">
      <alignment horizontal="center"/>
    </xf>
    <xf numFmtId="166" fontId="18" fillId="0" borderId="50" xfId="10" applyNumberFormat="1" applyFont="1" applyFill="1" applyBorder="1" applyAlignment="1">
      <alignment horizontal="center" vertical="center"/>
    </xf>
    <xf numFmtId="9" fontId="18" fillId="0" borderId="50" xfId="11" applyFont="1" applyFill="1" applyBorder="1" applyAlignment="1">
      <alignment horizontal="center"/>
    </xf>
    <xf numFmtId="166" fontId="16" fillId="4" borderId="50" xfId="10" applyNumberFormat="1" applyFont="1" applyFill="1" applyBorder="1" applyAlignment="1">
      <alignment horizontal="center" vertical="center"/>
    </xf>
    <xf numFmtId="9" fontId="16" fillId="4" borderId="50" xfId="11" applyFont="1" applyFill="1" applyBorder="1" applyAlignment="1">
      <alignment horizontal="center"/>
    </xf>
    <xf numFmtId="3" fontId="18" fillId="0" borderId="34" xfId="5" applyNumberFormat="1" applyFont="1" applyBorder="1" applyAlignment="1">
      <alignment horizontal="right"/>
    </xf>
    <xf numFmtId="9" fontId="18" fillId="0" borderId="34" xfId="5" applyNumberFormat="1" applyFont="1" applyBorder="1" applyAlignment="1">
      <alignment horizontal="right"/>
    </xf>
    <xf numFmtId="3" fontId="16" fillId="4" borderId="34" xfId="5" applyNumberFormat="1" applyFont="1" applyFill="1" applyBorder="1" applyAlignment="1">
      <alignment horizontal="right"/>
    </xf>
    <xf numFmtId="9" fontId="16" fillId="4" borderId="34" xfId="5" applyNumberFormat="1" applyFont="1" applyFill="1" applyBorder="1" applyAlignment="1">
      <alignment horizontal="right"/>
    </xf>
    <xf numFmtId="0" fontId="16" fillId="4" borderId="34" xfId="5" applyFont="1" applyFill="1" applyBorder="1" applyAlignment="1">
      <alignment horizontal="center"/>
    </xf>
    <xf numFmtId="0" fontId="14" fillId="5" borderId="0" xfId="5" applyFont="1" applyFill="1" applyAlignment="1">
      <alignment horizontal="left"/>
    </xf>
    <xf numFmtId="0" fontId="18" fillId="4" borderId="34" xfId="5" applyFont="1" applyFill="1" applyBorder="1" applyAlignment="1">
      <alignment horizontal="center"/>
    </xf>
    <xf numFmtId="0" fontId="37" fillId="5" borderId="0" xfId="5" applyFont="1" applyFill="1"/>
    <xf numFmtId="3" fontId="12" fillId="5" borderId="0" xfId="5" applyNumberFormat="1" applyFont="1" applyFill="1" applyAlignment="1">
      <alignment horizontal="center"/>
    </xf>
    <xf numFmtId="0" fontId="18" fillId="4" borderId="34" xfId="5" applyFont="1" applyFill="1" applyBorder="1" applyAlignment="1">
      <alignment horizontal="center" vertical="top"/>
    </xf>
    <xf numFmtId="0" fontId="18" fillId="4" borderId="34" xfId="5" applyFont="1" applyFill="1" applyBorder="1" applyAlignment="1">
      <alignment horizontal="center" vertical="top" wrapText="1"/>
    </xf>
    <xf numFmtId="0" fontId="10" fillId="2" borderId="0" xfId="0" applyFont="1" applyFill="1"/>
    <xf numFmtId="0" fontId="38" fillId="4" borderId="1" xfId="0" applyFont="1" applyFill="1" applyBorder="1" applyAlignment="1">
      <alignment horizontal="center" vertical="top" wrapText="1"/>
    </xf>
    <xf numFmtId="0" fontId="16" fillId="4" borderId="1" xfId="0" applyFont="1" applyFill="1" applyBorder="1" applyAlignment="1">
      <alignment horizontal="center" vertical="top" wrapText="1"/>
    </xf>
    <xf numFmtId="166" fontId="18" fillId="0" borderId="1" xfId="10" applyNumberFormat="1" applyFont="1" applyFill="1" applyBorder="1" applyAlignment="1">
      <alignment horizontal="center" vertical="center" wrapText="1"/>
    </xf>
    <xf numFmtId="166" fontId="16" fillId="0" borderId="1" xfId="10" applyNumberFormat="1" applyFont="1" applyFill="1" applyBorder="1" applyAlignment="1">
      <alignment horizontal="center" vertical="center" wrapText="1"/>
    </xf>
    <xf numFmtId="166" fontId="16" fillId="4" borderId="1" xfId="10" applyNumberFormat="1" applyFont="1" applyFill="1" applyBorder="1" applyAlignment="1">
      <alignment horizontal="center" vertical="center" wrapText="1"/>
    </xf>
    <xf numFmtId="0" fontId="17" fillId="5" borderId="0" xfId="6" applyFont="1" applyFill="1" applyAlignment="1">
      <alignment horizontal="left" vertical="center" wrapText="1"/>
    </xf>
    <xf numFmtId="0" fontId="39" fillId="5" borderId="0" xfId="5" applyFont="1" applyFill="1"/>
    <xf numFmtId="0" fontId="14" fillId="7" borderId="0" xfId="0" applyFont="1" applyFill="1"/>
    <xf numFmtId="0" fontId="12" fillId="7" borderId="0" xfId="0" applyFont="1" applyFill="1"/>
    <xf numFmtId="1" fontId="18" fillId="0" borderId="17" xfId="9" applyNumberFormat="1" applyFont="1" applyBorder="1" applyAlignment="1">
      <alignment horizontal="center" vertical="center"/>
    </xf>
    <xf numFmtId="3" fontId="18" fillId="0" borderId="1" xfId="4" applyNumberFormat="1" applyFont="1" applyBorder="1" applyAlignment="1">
      <alignment horizontal="center" vertical="center"/>
    </xf>
    <xf numFmtId="1" fontId="18" fillId="0" borderId="56" xfId="9" applyNumberFormat="1" applyFont="1" applyBorder="1" applyAlignment="1">
      <alignment horizontal="center" vertical="center"/>
    </xf>
    <xf numFmtId="1" fontId="18" fillId="0" borderId="57" xfId="9" applyNumberFormat="1" applyFont="1" applyBorder="1" applyAlignment="1">
      <alignment horizontal="center" vertical="center"/>
    </xf>
    <xf numFmtId="1" fontId="18" fillId="0" borderId="5" xfId="9" applyNumberFormat="1" applyFont="1" applyBorder="1" applyAlignment="1">
      <alignment horizontal="center" vertical="center"/>
    </xf>
    <xf numFmtId="3" fontId="17" fillId="2" borderId="0" xfId="8" applyNumberFormat="1" applyFont="1" applyFill="1" applyAlignment="1">
      <alignment horizontal="center" vertical="center"/>
    </xf>
    <xf numFmtId="3" fontId="17" fillId="2" borderId="2" xfId="8" applyNumberFormat="1" applyFont="1" applyFill="1" applyBorder="1" applyAlignment="1">
      <alignment horizontal="center" vertical="center"/>
    </xf>
    <xf numFmtId="3" fontId="18" fillId="0" borderId="16" xfId="7" applyNumberFormat="1" applyFont="1" applyBorder="1" applyAlignment="1">
      <alignment horizontal="center" vertical="center"/>
    </xf>
    <xf numFmtId="1" fontId="19" fillId="0" borderId="16" xfId="9" applyNumberFormat="1" applyFont="1" applyBorder="1" applyAlignment="1">
      <alignment horizontal="center" vertical="center"/>
    </xf>
    <xf numFmtId="3" fontId="18" fillId="0" borderId="16" xfId="8" applyNumberFormat="1" applyFont="1" applyBorder="1" applyAlignment="1">
      <alignment horizontal="center" vertical="center"/>
    </xf>
    <xf numFmtId="0" fontId="12" fillId="5" borderId="17" xfId="4" applyFont="1" applyFill="1" applyBorder="1" applyAlignment="1">
      <alignment horizontal="right"/>
    </xf>
    <xf numFmtId="3" fontId="16" fillId="2" borderId="17" xfId="8" applyNumberFormat="1" applyFont="1" applyFill="1" applyBorder="1" applyAlignment="1">
      <alignment horizontal="center" vertical="center"/>
    </xf>
    <xf numFmtId="3" fontId="18" fillId="0" borderId="17" xfId="8" applyNumberFormat="1" applyFont="1" applyBorder="1" applyAlignment="1">
      <alignment horizontal="center" vertical="center"/>
    </xf>
    <xf numFmtId="3" fontId="16" fillId="0" borderId="17" xfId="7" applyNumberFormat="1" applyFont="1" applyBorder="1" applyAlignment="1">
      <alignment horizontal="center" vertical="center"/>
    </xf>
    <xf numFmtId="0" fontId="16" fillId="2" borderId="25" xfId="7" applyFont="1" applyFill="1" applyBorder="1" applyAlignment="1">
      <alignment horizontal="right" vertical="center"/>
    </xf>
    <xf numFmtId="3" fontId="18" fillId="0" borderId="58" xfId="7" applyNumberFormat="1" applyFont="1" applyBorder="1" applyAlignment="1">
      <alignment horizontal="center" vertical="center"/>
    </xf>
    <xf numFmtId="3" fontId="18" fillId="0" borderId="59" xfId="7" applyNumberFormat="1" applyFont="1" applyBorder="1" applyAlignment="1">
      <alignment horizontal="center" vertical="center"/>
    </xf>
    <xf numFmtId="3" fontId="18" fillId="0" borderId="60" xfId="7" applyNumberFormat="1" applyFont="1" applyBorder="1" applyAlignment="1">
      <alignment horizontal="center" vertical="center"/>
    </xf>
    <xf numFmtId="3" fontId="18" fillId="0" borderId="61" xfId="7" applyNumberFormat="1" applyFont="1" applyBorder="1" applyAlignment="1">
      <alignment horizontal="center" vertical="center"/>
    </xf>
    <xf numFmtId="1" fontId="18" fillId="0" borderId="62" xfId="9" applyNumberFormat="1" applyFont="1" applyBorder="1" applyAlignment="1">
      <alignment horizontal="center" vertical="center"/>
    </xf>
    <xf numFmtId="1" fontId="18" fillId="0" borderId="63" xfId="9" applyNumberFormat="1" applyFont="1" applyBorder="1" applyAlignment="1">
      <alignment horizontal="center" vertical="center"/>
    </xf>
    <xf numFmtId="3" fontId="16" fillId="0" borderId="62" xfId="8" applyNumberFormat="1" applyFont="1" applyBorder="1" applyAlignment="1">
      <alignment horizontal="center" vertical="center"/>
    </xf>
    <xf numFmtId="3" fontId="16" fillId="2" borderId="63" xfId="8" applyNumberFormat="1" applyFont="1" applyFill="1" applyBorder="1" applyAlignment="1">
      <alignment horizontal="center" vertical="center"/>
    </xf>
    <xf numFmtId="3" fontId="18" fillId="0" borderId="62" xfId="8" applyNumberFormat="1" applyFont="1" applyBorder="1" applyAlignment="1">
      <alignment horizontal="center" vertical="center"/>
    </xf>
    <xf numFmtId="3" fontId="18" fillId="0" borderId="63" xfId="8" applyNumberFormat="1" applyFont="1" applyBorder="1" applyAlignment="1">
      <alignment horizontal="center" vertical="center"/>
    </xf>
    <xf numFmtId="3" fontId="16" fillId="0" borderId="62" xfId="7" applyNumberFormat="1" applyFont="1" applyBorder="1" applyAlignment="1">
      <alignment horizontal="center" vertical="center"/>
    </xf>
    <xf numFmtId="3" fontId="16" fillId="0" borderId="63" xfId="7" applyNumberFormat="1" applyFont="1" applyBorder="1" applyAlignment="1">
      <alignment horizontal="center" vertical="center"/>
    </xf>
    <xf numFmtId="9" fontId="40" fillId="7" borderId="0" xfId="0" applyNumberFormat="1" applyFont="1" applyFill="1" applyAlignment="1">
      <alignment horizontal="center"/>
    </xf>
    <xf numFmtId="0" fontId="18" fillId="7" borderId="0" xfId="0" applyFont="1" applyFill="1"/>
    <xf numFmtId="0" fontId="18" fillId="7" borderId="2" xfId="0" applyFont="1" applyFill="1" applyBorder="1"/>
    <xf numFmtId="0" fontId="11" fillId="7" borderId="0" xfId="0" applyFont="1" applyFill="1"/>
    <xf numFmtId="0" fontId="14" fillId="7" borderId="0" xfId="0" applyFont="1" applyFill="1" applyAlignment="1">
      <alignment horizontal="center"/>
    </xf>
    <xf numFmtId="164" fontId="14" fillId="7" borderId="0" xfId="0" applyNumberFormat="1" applyFont="1" applyFill="1" applyAlignment="1">
      <alignment horizontal="center"/>
    </xf>
    <xf numFmtId="1" fontId="14" fillId="7" borderId="0" xfId="0" applyNumberFormat="1" applyFont="1" applyFill="1" applyAlignment="1">
      <alignment horizontal="center"/>
    </xf>
    <xf numFmtId="9" fontId="18" fillId="7" borderId="0" xfId="0" applyNumberFormat="1" applyFont="1" applyFill="1"/>
    <xf numFmtId="3" fontId="14" fillId="7" borderId="0" xfId="0" applyNumberFormat="1" applyFont="1" applyFill="1" applyAlignment="1">
      <alignment horizontal="center"/>
    </xf>
    <xf numFmtId="165" fontId="14" fillId="7" borderId="0" xfId="11" applyNumberFormat="1" applyFont="1" applyFill="1" applyBorder="1" applyAlignment="1">
      <alignment horizontal="center"/>
    </xf>
    <xf numFmtId="2" fontId="14" fillId="7" borderId="0" xfId="0" applyNumberFormat="1" applyFont="1" applyFill="1" applyAlignment="1">
      <alignment horizontal="center"/>
    </xf>
    <xf numFmtId="0" fontId="12" fillId="5" borderId="2" xfId="5" applyFont="1" applyFill="1" applyBorder="1"/>
    <xf numFmtId="0" fontId="8" fillId="0" borderId="0" xfId="3" applyFont="1"/>
    <xf numFmtId="0" fontId="8" fillId="0" borderId="0" xfId="0" applyFont="1"/>
    <xf numFmtId="0" fontId="8" fillId="0" borderId="0" xfId="13" applyFont="1"/>
    <xf numFmtId="0" fontId="2" fillId="0" borderId="3" xfId="0" applyFont="1" applyBorder="1" applyAlignment="1">
      <alignment vertical="top" wrapText="1"/>
    </xf>
    <xf numFmtId="164" fontId="2" fillId="0" borderId="0" xfId="0" applyNumberFormat="1" applyFont="1" applyAlignment="1">
      <alignment vertical="top" wrapText="1"/>
    </xf>
    <xf numFmtId="0" fontId="2" fillId="0" borderId="0" xfId="0" applyFont="1" applyAlignment="1">
      <alignment vertical="top" wrapText="1"/>
    </xf>
    <xf numFmtId="0" fontId="2" fillId="0" borderId="2" xfId="0" applyFont="1" applyBorder="1" applyAlignment="1">
      <alignmen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xf>
    <xf numFmtId="14" fontId="2" fillId="0" borderId="0" xfId="0" applyNumberFormat="1" applyFont="1" applyAlignment="1">
      <alignment vertical="top" wrapText="1"/>
    </xf>
    <xf numFmtId="0" fontId="7" fillId="0" borderId="0" xfId="0" applyFont="1" applyAlignment="1">
      <alignment vertical="top" wrapText="1"/>
    </xf>
    <xf numFmtId="14" fontId="7" fillId="0" borderId="0" xfId="0" applyNumberFormat="1" applyFont="1" applyAlignment="1">
      <alignment vertical="top" wrapText="1"/>
    </xf>
    <xf numFmtId="0" fontId="6" fillId="0" borderId="0" xfId="2" applyFont="1" applyAlignment="1">
      <alignment vertical="top"/>
    </xf>
    <xf numFmtId="14" fontId="6" fillId="0" borderId="0" xfId="2" applyNumberFormat="1" applyFont="1" applyAlignment="1">
      <alignment horizontal="right" vertical="top" wrapText="1"/>
    </xf>
    <xf numFmtId="0" fontId="2" fillId="0" borderId="0" xfId="0" applyFont="1" applyAlignment="1">
      <alignment horizontal="left" vertical="top"/>
    </xf>
    <xf numFmtId="0" fontId="2" fillId="0" borderId="3" xfId="0" applyFont="1" applyBorder="1" applyAlignment="1">
      <alignment horizontal="left" vertical="top"/>
    </xf>
    <xf numFmtId="0" fontId="3" fillId="0" borderId="0" xfId="0" applyFont="1" applyAlignment="1">
      <alignment vertical="top" wrapText="1"/>
    </xf>
    <xf numFmtId="0" fontId="3"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center"/>
    </xf>
    <xf numFmtId="14" fontId="2" fillId="0" borderId="0" xfId="0" applyNumberFormat="1" applyFont="1" applyAlignment="1">
      <alignment vertical="top"/>
    </xf>
    <xf numFmtId="0" fontId="2" fillId="0" borderId="2" xfId="0" applyFont="1" applyBorder="1" applyAlignment="1">
      <alignment horizontal="right" vertical="center"/>
    </xf>
    <xf numFmtId="164" fontId="2" fillId="0" borderId="0" xfId="0" applyNumberFormat="1" applyFont="1" applyAlignment="1">
      <alignment horizontal="right" vertical="center"/>
    </xf>
    <xf numFmtId="3" fontId="18" fillId="0" borderId="67" xfId="7" applyNumberFormat="1" applyFont="1" applyBorder="1" applyAlignment="1">
      <alignment horizontal="center" vertical="center"/>
    </xf>
    <xf numFmtId="3" fontId="18" fillId="0" borderId="30" xfId="7" applyNumberFormat="1" applyFont="1" applyBorder="1" applyAlignment="1">
      <alignment horizontal="center" vertical="center"/>
    </xf>
    <xf numFmtId="3" fontId="18" fillId="0" borderId="68" xfId="7" applyNumberFormat="1" applyFont="1" applyBorder="1" applyAlignment="1">
      <alignment horizontal="center" vertical="center"/>
    </xf>
    <xf numFmtId="3" fontId="18" fillId="0" borderId="69" xfId="7" applyNumberFormat="1" applyFont="1" applyBorder="1" applyAlignment="1">
      <alignment horizontal="center" vertical="center"/>
    </xf>
    <xf numFmtId="3" fontId="18" fillId="0" borderId="26" xfId="7" applyNumberFormat="1" applyFont="1" applyBorder="1" applyAlignment="1">
      <alignment horizontal="center" vertical="center"/>
    </xf>
    <xf numFmtId="0" fontId="18" fillId="2" borderId="30" xfId="7" applyFont="1" applyFill="1" applyBorder="1" applyAlignment="1">
      <alignment horizontal="left" vertical="center" wrapText="1"/>
    </xf>
    <xf numFmtId="14" fontId="2" fillId="0" borderId="0" xfId="0" applyNumberFormat="1" applyFont="1" applyAlignment="1">
      <alignment vertical="center"/>
    </xf>
    <xf numFmtId="14" fontId="2" fillId="0" borderId="0" xfId="0" applyNumberFormat="1" applyFont="1"/>
    <xf numFmtId="0" fontId="2" fillId="0" borderId="0" xfId="0" applyFont="1" applyAlignment="1">
      <alignment vertical="center"/>
    </xf>
    <xf numFmtId="1" fontId="2" fillId="0" borderId="0" xfId="0" applyNumberFormat="1" applyFont="1" applyAlignment="1">
      <alignment horizontal="right" vertical="center"/>
    </xf>
    <xf numFmtId="0" fontId="2"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left"/>
    </xf>
    <xf numFmtId="1" fontId="2" fillId="0" borderId="0" xfId="0" applyNumberFormat="1" applyFont="1"/>
    <xf numFmtId="164" fontId="2" fillId="0" borderId="0" xfId="0" applyNumberFormat="1" applyFont="1"/>
    <xf numFmtId="0" fontId="12" fillId="5" borderId="16" xfId="4" applyFont="1" applyFill="1" applyBorder="1" applyAlignment="1">
      <alignment horizontal="right"/>
    </xf>
    <xf numFmtId="3" fontId="18" fillId="0" borderId="17" xfId="7" applyNumberFormat="1" applyFont="1" applyBorder="1" applyAlignment="1">
      <alignment horizontal="center" vertical="center"/>
    </xf>
    <xf numFmtId="0" fontId="18" fillId="9" borderId="64" xfId="4" applyFont="1" applyFill="1" applyBorder="1" applyAlignment="1">
      <alignment horizontal="center" vertical="center"/>
    </xf>
    <xf numFmtId="0" fontId="18" fillId="9" borderId="65" xfId="4" applyFont="1" applyFill="1" applyBorder="1" applyAlignment="1">
      <alignment horizontal="center" vertical="center"/>
    </xf>
    <xf numFmtId="0" fontId="18" fillId="9" borderId="66" xfId="4" applyFont="1" applyFill="1" applyBorder="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horizontal="left" vertical="top"/>
    </xf>
    <xf numFmtId="0" fontId="0" fillId="0" borderId="0" xfId="0" applyAlignment="1">
      <alignment vertical="top"/>
    </xf>
    <xf numFmtId="0" fontId="0" fillId="0" borderId="3" xfId="0" applyBorder="1" applyAlignment="1">
      <alignment horizontal="left" vertical="top"/>
    </xf>
    <xf numFmtId="0" fontId="0" fillId="0" borderId="2" xfId="0" applyBorder="1" applyAlignment="1">
      <alignment vertical="top" wrapText="1"/>
    </xf>
    <xf numFmtId="0" fontId="0" fillId="0" borderId="12" xfId="0" applyBorder="1" applyAlignment="1">
      <alignment vertical="top" wrapText="1"/>
    </xf>
    <xf numFmtId="1" fontId="0" fillId="0" borderId="0" xfId="0" applyNumberFormat="1" applyAlignment="1">
      <alignment horizontal="right" vertical="top"/>
    </xf>
    <xf numFmtId="0" fontId="6" fillId="0" borderId="0" xfId="2" applyFont="1" applyAlignment="1">
      <alignment vertical="top" wrapText="1"/>
    </xf>
    <xf numFmtId="0" fontId="6" fillId="0" borderId="0" xfId="2" applyFont="1" applyAlignment="1">
      <alignment horizontal="right" vertical="top" wrapText="1"/>
    </xf>
    <xf numFmtId="1" fontId="6" fillId="0" borderId="0" xfId="2" applyNumberFormat="1" applyFont="1" applyAlignment="1">
      <alignment horizontal="right" vertical="top" wrapText="1"/>
    </xf>
    <xf numFmtId="1" fontId="0" fillId="0" borderId="0" xfId="0" applyNumberFormat="1" applyAlignment="1">
      <alignment horizontal="right" vertical="top" wrapText="1"/>
    </xf>
    <xf numFmtId="0" fontId="0" fillId="0" borderId="0" xfId="0" applyAlignment="1">
      <alignment horizontal="center" vertical="top"/>
    </xf>
    <xf numFmtId="14" fontId="6" fillId="0" borderId="0" xfId="2" applyNumberFormat="1" applyFont="1" applyAlignment="1">
      <alignment vertical="top"/>
    </xf>
    <xf numFmtId="14" fontId="6" fillId="0" borderId="0" xfId="2" applyNumberFormat="1" applyFont="1" applyAlignment="1">
      <alignment vertical="top" wrapText="1"/>
    </xf>
    <xf numFmtId="0" fontId="0" fillId="0" borderId="3" xfId="0" applyBorder="1" applyAlignment="1">
      <alignment horizontal="left" vertical="top" wrapText="1"/>
    </xf>
    <xf numFmtId="1" fontId="0" fillId="0" borderId="0" xfId="0" applyNumberFormat="1" applyAlignment="1">
      <alignment vertical="top" wrapText="1"/>
    </xf>
    <xf numFmtId="164" fontId="0" fillId="0" borderId="0" xfId="0" applyNumberFormat="1" applyAlignment="1">
      <alignment vertical="top" wrapText="1"/>
    </xf>
    <xf numFmtId="164" fontId="0" fillId="0" borderId="2" xfId="0" applyNumberFormat="1" applyBorder="1" applyAlignment="1">
      <alignment vertical="top" wrapText="1"/>
    </xf>
    <xf numFmtId="0" fontId="41" fillId="0" borderId="0" xfId="0" applyFont="1" applyAlignment="1">
      <alignment vertical="top" wrapText="1"/>
    </xf>
    <xf numFmtId="0" fontId="3" fillId="0" borderId="0" xfId="2" applyFont="1" applyAlignment="1">
      <alignment vertical="top" wrapText="1"/>
    </xf>
    <xf numFmtId="0" fontId="41" fillId="0" borderId="0" xfId="0" applyFont="1" applyAlignment="1">
      <alignment horizontal="left" vertical="top" wrapText="1"/>
    </xf>
    <xf numFmtId="1" fontId="0" fillId="0" borderId="0" xfId="0" applyNumberFormat="1" applyAlignment="1">
      <alignment horizontal="left" vertical="top"/>
    </xf>
    <xf numFmtId="1" fontId="0" fillId="2" borderId="0" xfId="0" applyNumberFormat="1" applyFill="1" applyAlignment="1">
      <alignment horizontal="left" vertical="top"/>
    </xf>
    <xf numFmtId="0" fontId="16" fillId="4" borderId="1" xfId="5" applyFont="1" applyFill="1" applyBorder="1" applyAlignment="1">
      <alignment horizontal="center"/>
    </xf>
    <xf numFmtId="0" fontId="18" fillId="5" borderId="47" xfId="5" applyFont="1" applyFill="1" applyBorder="1" applyAlignment="1">
      <alignment horizontal="center"/>
    </xf>
    <xf numFmtId="0" fontId="18" fillId="5" borderId="47" xfId="12" applyFont="1" applyFill="1" applyBorder="1" applyAlignment="1">
      <alignment horizontal="center"/>
    </xf>
    <xf numFmtId="0" fontId="18" fillId="5" borderId="52" xfId="12" applyFont="1" applyFill="1" applyBorder="1" applyAlignment="1">
      <alignment horizontal="center"/>
    </xf>
    <xf numFmtId="0" fontId="18" fillId="5" borderId="50" xfId="12" applyFont="1" applyFill="1" applyBorder="1" applyAlignment="1">
      <alignment horizontal="center"/>
    </xf>
    <xf numFmtId="3" fontId="18" fillId="5" borderId="50" xfId="5" applyNumberFormat="1" applyFont="1" applyFill="1" applyBorder="1" applyAlignment="1">
      <alignment horizontal="center"/>
    </xf>
    <xf numFmtId="9" fontId="18" fillId="5" borderId="50" xfId="5" applyNumberFormat="1" applyFont="1" applyFill="1" applyBorder="1" applyAlignment="1">
      <alignment horizontal="center"/>
    </xf>
    <xf numFmtId="3" fontId="18" fillId="5" borderId="50" xfId="12" applyNumberFormat="1" applyFont="1" applyFill="1" applyBorder="1" applyAlignment="1">
      <alignment horizontal="center"/>
    </xf>
    <xf numFmtId="3" fontId="18" fillId="5" borderId="49" xfId="5" applyNumberFormat="1" applyFont="1" applyFill="1" applyBorder="1" applyAlignment="1">
      <alignment horizontal="center"/>
    </xf>
    <xf numFmtId="9" fontId="18" fillId="5" borderId="49" xfId="5" applyNumberFormat="1" applyFont="1" applyFill="1" applyBorder="1" applyAlignment="1">
      <alignment horizontal="center"/>
    </xf>
    <xf numFmtId="3" fontId="18" fillId="0" borderId="49" xfId="12" applyNumberFormat="1" applyFont="1" applyBorder="1" applyAlignment="1">
      <alignment horizontal="center"/>
    </xf>
    <xf numFmtId="3" fontId="18" fillId="0" borderId="49" xfId="5" applyNumberFormat="1" applyFont="1" applyBorder="1" applyAlignment="1">
      <alignment horizontal="center"/>
    </xf>
    <xf numFmtId="9" fontId="18" fillId="0" borderId="49" xfId="5" applyNumberFormat="1" applyFont="1" applyBorder="1" applyAlignment="1">
      <alignment horizontal="center"/>
    </xf>
    <xf numFmtId="3" fontId="16" fillId="4" borderId="1" xfId="5" applyNumberFormat="1" applyFont="1" applyFill="1" applyBorder="1" applyAlignment="1">
      <alignment horizontal="center"/>
    </xf>
    <xf numFmtId="9" fontId="16" fillId="4" borderId="1" xfId="5" applyNumberFormat="1" applyFont="1" applyFill="1" applyBorder="1" applyAlignment="1">
      <alignment horizontal="center"/>
    </xf>
    <xf numFmtId="3" fontId="18" fillId="0" borderId="34" xfId="12" applyNumberFormat="1" applyFont="1" applyBorder="1" applyAlignment="1">
      <alignment horizontal="center"/>
    </xf>
    <xf numFmtId="3" fontId="18" fillId="0" borderId="34" xfId="5" applyNumberFormat="1" applyFont="1" applyBorder="1" applyAlignment="1">
      <alignment horizontal="center"/>
    </xf>
    <xf numFmtId="3" fontId="16" fillId="4" borderId="34" xfId="5" applyNumberFormat="1" applyFont="1" applyFill="1" applyBorder="1" applyAlignment="1">
      <alignment horizontal="center"/>
    </xf>
    <xf numFmtId="1" fontId="16" fillId="4" borderId="34" xfId="5" applyNumberFormat="1" applyFont="1" applyFill="1" applyBorder="1" applyAlignment="1">
      <alignment horizontal="center"/>
    </xf>
    <xf numFmtId="2" fontId="0" fillId="0" borderId="0" xfId="0" applyNumberFormat="1" applyAlignment="1">
      <alignment horizontal="left" vertical="top"/>
    </xf>
    <xf numFmtId="0" fontId="16" fillId="5" borderId="0" xfId="0" applyFont="1" applyFill="1" applyAlignment="1">
      <alignment vertical="center" wrapText="1"/>
    </xf>
    <xf numFmtId="0" fontId="18" fillId="4" borderId="70" xfId="5" applyFont="1" applyFill="1" applyBorder="1" applyAlignment="1">
      <alignment horizontal="center"/>
    </xf>
    <xf numFmtId="0" fontId="18" fillId="4" borderId="71" xfId="5" applyFont="1" applyFill="1" applyBorder="1" applyAlignment="1">
      <alignment horizontal="center"/>
    </xf>
    <xf numFmtId="0" fontId="16" fillId="5" borderId="23" xfId="0" applyFont="1" applyFill="1" applyBorder="1" applyAlignment="1">
      <alignment vertical="center" wrapText="1"/>
    </xf>
    <xf numFmtId="0" fontId="43" fillId="0" borderId="0" xfId="0" applyFont="1"/>
    <xf numFmtId="0" fontId="9" fillId="0" borderId="12" xfId="0" applyFont="1" applyBorder="1"/>
    <xf numFmtId="0" fontId="11" fillId="5" borderId="12" xfId="6" applyFill="1" applyBorder="1"/>
    <xf numFmtId="0" fontId="11" fillId="5" borderId="2" xfId="6" applyFill="1" applyBorder="1"/>
    <xf numFmtId="0" fontId="11" fillId="5" borderId="3" xfId="6" applyFill="1" applyBorder="1"/>
    <xf numFmtId="3" fontId="16" fillId="5" borderId="34" xfId="5" applyNumberFormat="1" applyFont="1" applyFill="1" applyBorder="1" applyAlignment="1">
      <alignment horizontal="right"/>
    </xf>
    <xf numFmtId="3" fontId="16" fillId="0" borderId="34" xfId="5" applyNumberFormat="1" applyFont="1" applyBorder="1" applyAlignment="1">
      <alignment horizontal="right"/>
    </xf>
    <xf numFmtId="0" fontId="2" fillId="0" borderId="12" xfId="0" applyFont="1" applyBorder="1" applyAlignment="1">
      <alignment horizontal="right" vertical="center"/>
    </xf>
    <xf numFmtId="0" fontId="0" fillId="0" borderId="13" xfId="0" applyBorder="1" applyAlignment="1">
      <alignment horizontal="left" vertical="top"/>
    </xf>
    <xf numFmtId="0" fontId="45" fillId="10" borderId="1" xfId="0" applyFont="1" applyFill="1" applyBorder="1" applyAlignment="1">
      <alignment horizontal="center" vertical="center"/>
    </xf>
    <xf numFmtId="0" fontId="45" fillId="0" borderId="1" xfId="0" applyFont="1" applyBorder="1" applyAlignment="1">
      <alignment horizontal="center" vertical="center"/>
    </xf>
    <xf numFmtId="0" fontId="47" fillId="10" borderId="1" xfId="0" applyFont="1" applyFill="1" applyBorder="1" applyAlignment="1">
      <alignment horizontal="center" vertical="center"/>
    </xf>
    <xf numFmtId="164" fontId="47" fillId="10" borderId="1" xfId="0" applyNumberFormat="1" applyFont="1" applyFill="1" applyBorder="1" applyAlignment="1">
      <alignment horizontal="center" vertical="center"/>
    </xf>
    <xf numFmtId="0" fontId="46" fillId="0" borderId="1" xfId="0" applyFont="1" applyBorder="1" applyAlignment="1">
      <alignment vertical="center"/>
    </xf>
    <xf numFmtId="164" fontId="18" fillId="0" borderId="1" xfId="6" applyNumberFormat="1" applyFont="1" applyBorder="1" applyAlignment="1">
      <alignment horizontal="center"/>
    </xf>
    <xf numFmtId="49" fontId="47" fillId="10" borderId="1" xfId="0" applyNumberFormat="1" applyFont="1" applyFill="1" applyBorder="1" applyAlignment="1">
      <alignment horizontal="center" vertical="center"/>
    </xf>
    <xf numFmtId="0" fontId="18" fillId="5" borderId="1" xfId="6" applyFont="1" applyFill="1" applyBorder="1" applyAlignment="1">
      <alignment horizontal="center" vertical="center"/>
    </xf>
    <xf numFmtId="0" fontId="16" fillId="5" borderId="1" xfId="6" applyFont="1" applyFill="1" applyBorder="1" applyAlignment="1">
      <alignment horizontal="center" vertical="center"/>
    </xf>
    <xf numFmtId="0" fontId="16" fillId="4" borderId="1" xfId="6" applyFont="1" applyFill="1" applyBorder="1" applyAlignment="1">
      <alignment horizontal="center" vertical="center"/>
    </xf>
    <xf numFmtId="0" fontId="30" fillId="7" borderId="0" xfId="0" applyFont="1" applyFill="1" applyAlignment="1">
      <alignment horizontal="left" vertical="center" wrapText="1"/>
    </xf>
    <xf numFmtId="0" fontId="18" fillId="7" borderId="0" xfId="0" applyFont="1" applyFill="1" applyAlignment="1">
      <alignment horizontal="center" vertical="center" wrapText="1"/>
    </xf>
    <xf numFmtId="0" fontId="18" fillId="7" borderId="0" xfId="0" applyFont="1" applyFill="1" applyAlignment="1">
      <alignment horizontal="left" vertical="center" wrapText="1"/>
    </xf>
    <xf numFmtId="0" fontId="18" fillId="7" borderId="1" xfId="0" applyFont="1" applyFill="1" applyBorder="1" applyAlignment="1">
      <alignment horizontal="center" vertical="center" wrapText="1"/>
    </xf>
    <xf numFmtId="167" fontId="16" fillId="5" borderId="0" xfId="0" applyNumberFormat="1" applyFont="1" applyFill="1" applyAlignment="1">
      <alignment horizontal="right" vertical="center" wrapText="1"/>
    </xf>
    <xf numFmtId="0" fontId="9" fillId="0" borderId="4" xfId="0" applyFont="1" applyBorder="1"/>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164" fontId="9" fillId="0" borderId="9" xfId="0" applyNumberFormat="1" applyFont="1" applyBorder="1"/>
    <xf numFmtId="164" fontId="9" fillId="0" borderId="10" xfId="0" applyNumberFormat="1" applyFont="1" applyBorder="1"/>
    <xf numFmtId="164" fontId="9" fillId="0" borderId="11" xfId="0" applyNumberFormat="1" applyFont="1" applyBorder="1"/>
    <xf numFmtId="0" fontId="9" fillId="0" borderId="53" xfId="0" applyFont="1" applyBorder="1" applyAlignment="1">
      <alignment horizontal="left"/>
    </xf>
    <xf numFmtId="0" fontId="9" fillId="0" borderId="55" xfId="0" applyFont="1" applyBorder="1"/>
    <xf numFmtId="0" fontId="9" fillId="0" borderId="9" xfId="0" applyFont="1" applyBorder="1" applyAlignment="1">
      <alignment horizontal="left"/>
    </xf>
    <xf numFmtId="0" fontId="9" fillId="0" borderId="11" xfId="0" applyFont="1" applyBorder="1"/>
    <xf numFmtId="0" fontId="9" fillId="0" borderId="14" xfId="0" applyFont="1" applyBorder="1"/>
    <xf numFmtId="0" fontId="9" fillId="0" borderId="15" xfId="0" applyFont="1" applyBorder="1"/>
    <xf numFmtId="1" fontId="9" fillId="0" borderId="55" xfId="0" applyNumberFormat="1" applyFont="1" applyBorder="1"/>
    <xf numFmtId="1" fontId="9" fillId="0" borderId="10" xfId="0" applyNumberFormat="1" applyFont="1" applyBorder="1"/>
    <xf numFmtId="1" fontId="9" fillId="0" borderId="11" xfId="0" applyNumberFormat="1" applyFont="1" applyBorder="1"/>
    <xf numFmtId="0" fontId="9" fillId="0" borderId="54" xfId="0" applyFont="1" applyBorder="1"/>
    <xf numFmtId="0" fontId="9" fillId="0" borderId="13" xfId="0" applyFont="1" applyBorder="1" applyAlignment="1">
      <alignment horizontal="left"/>
    </xf>
    <xf numFmtId="0" fontId="9" fillId="0" borderId="13" xfId="0" applyFont="1" applyBorder="1"/>
    <xf numFmtId="0" fontId="9" fillId="0" borderId="53" xfId="0" applyFont="1" applyBorder="1" applyAlignment="1">
      <alignment horizontal="left" vertical="center"/>
    </xf>
    <xf numFmtId="0" fontId="9" fillId="0" borderId="16" xfId="0" applyFont="1" applyBorder="1"/>
    <xf numFmtId="0" fontId="9" fillId="0" borderId="17" xfId="0" applyFont="1" applyBorder="1"/>
    <xf numFmtId="0" fontId="9" fillId="0" borderId="30" xfId="0" applyFont="1" applyBorder="1"/>
    <xf numFmtId="0" fontId="9" fillId="0" borderId="12" xfId="0" applyFont="1" applyBorder="1" applyAlignment="1">
      <alignment horizontal="left"/>
    </xf>
    <xf numFmtId="0" fontId="9" fillId="0" borderId="67" xfId="0" applyFont="1" applyBorder="1"/>
    <xf numFmtId="0" fontId="9" fillId="0" borderId="3" xfId="0" applyFont="1" applyBorder="1"/>
    <xf numFmtId="0" fontId="9" fillId="0" borderId="29" xfId="0" applyFont="1" applyBorder="1"/>
    <xf numFmtId="0" fontId="9" fillId="0" borderId="1" xfId="0" applyFont="1" applyBorder="1"/>
    <xf numFmtId="0" fontId="9" fillId="0" borderId="67" xfId="0" applyFont="1" applyBorder="1" applyAlignment="1">
      <alignment horizontal="left"/>
    </xf>
    <xf numFmtId="0" fontId="9" fillId="0" borderId="3" xfId="0" applyFont="1" applyBorder="1" applyAlignment="1">
      <alignment horizontal="left"/>
    </xf>
    <xf numFmtId="0" fontId="9" fillId="0" borderId="29" xfId="0" applyFont="1" applyBorder="1" applyAlignment="1">
      <alignment horizontal="left"/>
    </xf>
    <xf numFmtId="0" fontId="9" fillId="0" borderId="1" xfId="0" applyFont="1" applyBorder="1" applyAlignment="1">
      <alignment horizontal="left"/>
    </xf>
    <xf numFmtId="0" fontId="9" fillId="0" borderId="53" xfId="0" applyFont="1" applyBorder="1"/>
    <xf numFmtId="0" fontId="9" fillId="0" borderId="9" xfId="0" applyFont="1" applyBorder="1"/>
    <xf numFmtId="0" fontId="9" fillId="0" borderId="10" xfId="0"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164" fontId="9" fillId="0" borderId="13" xfId="0" applyNumberFormat="1" applyFont="1" applyBorder="1"/>
    <xf numFmtId="1" fontId="9" fillId="0" borderId="15" xfId="0" applyNumberFormat="1" applyFont="1" applyBorder="1"/>
    <xf numFmtId="2" fontId="2" fillId="0" borderId="0" xfId="0" applyNumberFormat="1" applyFont="1" applyAlignment="1">
      <alignment horizontal="left" vertical="top"/>
    </xf>
    <xf numFmtId="0" fontId="0" fillId="0" borderId="0" xfId="0" applyAlignment="1">
      <alignment horizontal="center" vertical="top" wrapText="1"/>
    </xf>
    <xf numFmtId="0" fontId="2" fillId="0" borderId="0" xfId="0" applyFont="1" applyAlignment="1">
      <alignment horizontal="center" vertical="top" wrapText="1"/>
    </xf>
    <xf numFmtId="0" fontId="41" fillId="0" borderId="0" xfId="0" applyFont="1" applyAlignment="1">
      <alignment horizontal="center" vertical="top" wrapText="1"/>
    </xf>
    <xf numFmtId="164" fontId="2" fillId="0" borderId="0" xfId="0" applyNumberFormat="1" applyFont="1" applyAlignment="1">
      <alignment horizontal="center" vertical="top" wrapText="1"/>
    </xf>
    <xf numFmtId="9" fontId="12" fillId="5" borderId="0" xfId="5" applyNumberFormat="1" applyFont="1" applyFill="1" applyAlignment="1">
      <alignment horizontal="center"/>
    </xf>
    <xf numFmtId="9" fontId="12" fillId="5" borderId="0" xfId="5" applyNumberFormat="1" applyFont="1" applyFill="1" applyAlignment="1">
      <alignment horizontal="left"/>
    </xf>
    <xf numFmtId="0" fontId="42" fillId="5" borderId="0" xfId="5" applyFont="1" applyFill="1"/>
    <xf numFmtId="0" fontId="14" fillId="0" borderId="0" xfId="5" applyFont="1"/>
    <xf numFmtId="3" fontId="16" fillId="0" borderId="1" xfId="0" applyNumberFormat="1" applyFont="1" applyBorder="1" applyAlignment="1">
      <alignment horizontal="right" vertical="center" wrapText="1"/>
    </xf>
    <xf numFmtId="1" fontId="16" fillId="0" borderId="1" xfId="0" applyNumberFormat="1" applyFont="1" applyBorder="1" applyAlignment="1">
      <alignment horizontal="right" vertical="center" wrapText="1"/>
    </xf>
    <xf numFmtId="9" fontId="16" fillId="0" borderId="1" xfId="6" applyNumberFormat="1" applyFont="1" applyBorder="1" applyAlignment="1">
      <alignment horizontal="right" vertical="center" wrapText="1"/>
    </xf>
    <xf numFmtId="167" fontId="16" fillId="0" borderId="1" xfId="0" applyNumberFormat="1" applyFont="1" applyBorder="1" applyAlignment="1">
      <alignment horizontal="right" vertical="center" wrapText="1"/>
    </xf>
    <xf numFmtId="166" fontId="26" fillId="5" borderId="0" xfId="5" applyNumberFormat="1" applyFont="1" applyFill="1"/>
    <xf numFmtId="3" fontId="11" fillId="5" borderId="0" xfId="6" applyNumberFormat="1" applyFill="1"/>
    <xf numFmtId="2" fontId="18" fillId="7" borderId="0" xfId="0" applyNumberFormat="1" applyFont="1" applyFill="1"/>
    <xf numFmtId="0" fontId="44" fillId="10" borderId="16" xfId="0" applyFont="1" applyFill="1" applyBorder="1" applyAlignment="1">
      <alignment horizontal="center" vertical="center"/>
    </xf>
    <xf numFmtId="0" fontId="44" fillId="10" borderId="18" xfId="0" applyFont="1" applyFill="1" applyBorder="1" applyAlignment="1">
      <alignment horizontal="center" vertical="center"/>
    </xf>
    <xf numFmtId="0" fontId="44" fillId="10" borderId="17" xfId="0" applyFont="1" applyFill="1" applyBorder="1" applyAlignment="1">
      <alignment horizontal="center" vertical="center"/>
    </xf>
    <xf numFmtId="3" fontId="18" fillId="5" borderId="33" xfId="12" applyNumberFormat="1" applyFont="1" applyFill="1" applyBorder="1" applyAlignment="1">
      <alignment horizontal="left"/>
    </xf>
    <xf numFmtId="3" fontId="18" fillId="5" borderId="34" xfId="12" applyNumberFormat="1" applyFont="1" applyFill="1" applyBorder="1" applyAlignment="1">
      <alignment horizontal="left"/>
    </xf>
    <xf numFmtId="0" fontId="16" fillId="4" borderId="33" xfId="5" applyFont="1" applyFill="1" applyBorder="1"/>
    <xf numFmtId="0" fontId="16" fillId="4" borderId="34" xfId="5" applyFont="1" applyFill="1" applyBorder="1"/>
    <xf numFmtId="3" fontId="18" fillId="5" borderId="31" xfId="12" applyNumberFormat="1" applyFont="1" applyFill="1" applyBorder="1" applyAlignment="1">
      <alignment horizontal="left"/>
    </xf>
    <xf numFmtId="0" fontId="18" fillId="0" borderId="1" xfId="0" applyFont="1" applyBorder="1" applyAlignment="1">
      <alignment horizontal="left"/>
    </xf>
    <xf numFmtId="0" fontId="16" fillId="4"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18" fillId="7" borderId="1" xfId="0" applyFont="1" applyFill="1" applyBorder="1" applyAlignment="1">
      <alignment horizontal="center" vertical="center" wrapText="1"/>
    </xf>
    <xf numFmtId="0" fontId="18" fillId="5" borderId="33" xfId="0" applyFont="1" applyFill="1" applyBorder="1" applyAlignment="1">
      <alignment vertical="center"/>
    </xf>
    <xf numFmtId="0" fontId="18" fillId="5" borderId="34" xfId="0" applyFont="1" applyFill="1" applyBorder="1" applyAlignment="1">
      <alignment vertical="center"/>
    </xf>
    <xf numFmtId="0" fontId="18" fillId="5" borderId="17" xfId="0" applyFont="1" applyFill="1" applyBorder="1" applyAlignment="1">
      <alignment vertical="center" wrapText="1"/>
    </xf>
    <xf numFmtId="0" fontId="18" fillId="5" borderId="1" xfId="0" applyFont="1" applyFill="1" applyBorder="1" applyAlignment="1">
      <alignment vertical="center" wrapText="1"/>
    </xf>
    <xf numFmtId="0" fontId="16" fillId="4" borderId="1" xfId="0" applyFont="1" applyFill="1" applyBorder="1" applyAlignment="1">
      <alignment horizontal="left" vertical="center" wrapText="1"/>
    </xf>
    <xf numFmtId="0" fontId="18" fillId="5" borderId="40" xfId="0" applyFont="1" applyFill="1" applyBorder="1" applyAlignment="1">
      <alignment horizontal="left" vertical="center" wrapText="1"/>
    </xf>
    <xf numFmtId="0" fontId="18" fillId="5" borderId="32" xfId="0" applyFont="1" applyFill="1" applyBorder="1" applyAlignment="1">
      <alignment horizontal="left" vertical="center" wrapText="1"/>
    </xf>
    <xf numFmtId="0" fontId="18" fillId="5" borderId="33" xfId="0" applyFont="1" applyFill="1" applyBorder="1" applyAlignment="1">
      <alignment horizontal="left" vertical="center" wrapText="1"/>
    </xf>
    <xf numFmtId="3" fontId="18" fillId="0" borderId="31" xfId="0" applyNumberFormat="1" applyFont="1" applyBorder="1" applyAlignment="1">
      <alignment horizontal="center" vertical="center" wrapText="1"/>
    </xf>
    <xf numFmtId="3" fontId="18" fillId="0" borderId="41" xfId="0" applyNumberFormat="1" applyFont="1" applyBorder="1" applyAlignment="1">
      <alignment horizontal="center" vertical="center" wrapText="1"/>
    </xf>
    <xf numFmtId="0" fontId="18" fillId="0" borderId="40" xfId="0" applyFont="1" applyBorder="1" applyAlignment="1">
      <alignment horizontal="left" vertical="center" wrapText="1"/>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18" fillId="5" borderId="1" xfId="5" applyFont="1" applyFill="1" applyBorder="1" applyAlignment="1">
      <alignment horizontal="center"/>
    </xf>
    <xf numFmtId="0" fontId="18" fillId="0" borderId="1" xfId="5" applyFont="1" applyBorder="1" applyAlignment="1">
      <alignment horizontal="center"/>
    </xf>
    <xf numFmtId="9" fontId="18" fillId="4" borderId="1" xfId="5" applyNumberFormat="1" applyFont="1" applyFill="1" applyBorder="1" applyAlignment="1">
      <alignment horizontal="left" vertical="center"/>
    </xf>
    <xf numFmtId="0" fontId="22" fillId="5" borderId="30" xfId="5" applyFont="1" applyFill="1" applyBorder="1" applyAlignment="1">
      <alignment horizontal="center" vertical="center" wrapText="1"/>
    </xf>
    <xf numFmtId="0" fontId="22" fillId="5" borderId="25" xfId="5" applyFont="1" applyFill="1" applyBorder="1" applyAlignment="1">
      <alignment horizontal="center" vertical="center" wrapText="1"/>
    </xf>
    <xf numFmtId="0" fontId="22" fillId="5" borderId="26" xfId="5" applyFont="1" applyFill="1" applyBorder="1" applyAlignment="1">
      <alignment horizontal="center" vertical="center" wrapText="1"/>
    </xf>
    <xf numFmtId="0" fontId="22" fillId="5" borderId="22" xfId="5" applyFont="1" applyFill="1" applyBorder="1" applyAlignment="1">
      <alignment horizontal="center" vertical="center" wrapText="1"/>
    </xf>
    <xf numFmtId="0" fontId="22" fillId="5" borderId="23" xfId="5" applyFont="1" applyFill="1" applyBorder="1" applyAlignment="1">
      <alignment horizontal="center" vertical="center" wrapText="1"/>
    </xf>
    <xf numFmtId="0" fontId="22" fillId="5" borderId="24" xfId="5" applyFont="1" applyFill="1" applyBorder="1" applyAlignment="1">
      <alignment horizontal="center" vertical="center" wrapText="1"/>
    </xf>
    <xf numFmtId="0" fontId="16" fillId="4" borderId="30" xfId="5" applyFont="1" applyFill="1" applyBorder="1" applyAlignment="1">
      <alignment horizontal="center" vertical="center" wrapText="1"/>
    </xf>
    <xf numFmtId="0" fontId="16" fillId="4" borderId="25" xfId="5" applyFont="1" applyFill="1" applyBorder="1" applyAlignment="1">
      <alignment horizontal="center" vertical="center" wrapText="1"/>
    </xf>
    <xf numFmtId="0" fontId="16" fillId="4" borderId="26" xfId="5" applyFont="1" applyFill="1" applyBorder="1" applyAlignment="1">
      <alignment horizontal="center" vertical="center" wrapText="1"/>
    </xf>
    <xf numFmtId="0" fontId="16" fillId="4" borderId="22" xfId="5" applyFont="1" applyFill="1" applyBorder="1" applyAlignment="1">
      <alignment horizontal="center" vertical="center" wrapText="1"/>
    </xf>
    <xf numFmtId="0" fontId="16" fillId="4" borderId="23" xfId="5" applyFont="1" applyFill="1" applyBorder="1" applyAlignment="1">
      <alignment horizontal="center" vertical="center" wrapText="1"/>
    </xf>
    <xf numFmtId="0" fontId="16" fillId="4" borderId="24" xfId="5" applyFont="1" applyFill="1" applyBorder="1" applyAlignment="1">
      <alignment horizontal="center" vertical="center" wrapText="1"/>
    </xf>
    <xf numFmtId="0" fontId="16" fillId="4" borderId="29" xfId="5" applyFont="1" applyFill="1" applyBorder="1" applyAlignment="1">
      <alignment horizontal="center" vertical="top" wrapText="1"/>
    </xf>
    <xf numFmtId="0" fontId="16" fillId="4" borderId="1" xfId="5" applyFont="1" applyFill="1" applyBorder="1" applyAlignment="1">
      <alignment horizontal="center" vertical="top" wrapText="1"/>
    </xf>
    <xf numFmtId="0" fontId="18" fillId="0" borderId="16" xfId="5" applyFont="1" applyBorder="1" applyAlignment="1">
      <alignment horizontal="left"/>
    </xf>
    <xf numFmtId="0" fontId="18" fillId="0" borderId="18" xfId="5" applyFont="1" applyBorder="1" applyAlignment="1">
      <alignment horizontal="left"/>
    </xf>
    <xf numFmtId="0" fontId="18" fillId="0" borderId="17" xfId="5" applyFont="1" applyBorder="1" applyAlignment="1">
      <alignment horizontal="left"/>
    </xf>
    <xf numFmtId="0" fontId="16" fillId="4" borderId="16" xfId="5" applyFont="1" applyFill="1" applyBorder="1" applyAlignment="1">
      <alignment horizontal="center" vertical="center" wrapText="1"/>
    </xf>
    <xf numFmtId="0" fontId="16" fillId="4" borderId="18" xfId="5" applyFont="1" applyFill="1" applyBorder="1" applyAlignment="1">
      <alignment horizontal="center" vertical="center" wrapText="1"/>
    </xf>
    <xf numFmtId="0" fontId="16" fillId="4" borderId="17" xfId="5" applyFont="1" applyFill="1" applyBorder="1" applyAlignment="1">
      <alignment horizontal="center" vertical="center" wrapText="1"/>
    </xf>
    <xf numFmtId="0" fontId="27" fillId="8" borderId="1" xfId="0" applyFont="1" applyFill="1" applyBorder="1" applyAlignment="1">
      <alignment horizontal="center"/>
    </xf>
    <xf numFmtId="0" fontId="18" fillId="0" borderId="1" xfId="6" applyFont="1" applyBorder="1" applyAlignment="1">
      <alignment horizontal="left" vertical="center" wrapText="1"/>
    </xf>
    <xf numFmtId="0" fontId="18" fillId="5" borderId="1" xfId="6" applyFont="1" applyFill="1" applyBorder="1" applyAlignment="1">
      <alignment horizontal="left" vertical="center" wrapText="1"/>
    </xf>
    <xf numFmtId="0" fontId="18" fillId="5" borderId="1" xfId="6" applyFont="1" applyFill="1" applyBorder="1" applyAlignment="1">
      <alignment horizontal="center" vertical="center" wrapText="1"/>
    </xf>
    <xf numFmtId="0" fontId="30" fillId="7" borderId="0" xfId="0" applyFont="1" applyFill="1" applyAlignment="1">
      <alignment horizontal="left" vertical="center" wrapText="1"/>
    </xf>
    <xf numFmtId="0" fontId="30" fillId="7" borderId="0" xfId="0" applyFont="1" applyFill="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8" fillId="5" borderId="67" xfId="6" applyFont="1" applyFill="1" applyBorder="1" applyAlignment="1">
      <alignment horizontal="left" vertical="center" wrapText="1"/>
    </xf>
    <xf numFmtId="0" fontId="18" fillId="5" borderId="16" xfId="6" applyFont="1" applyFill="1" applyBorder="1" applyAlignment="1">
      <alignment horizontal="left" vertical="center" wrapText="1"/>
    </xf>
    <xf numFmtId="0" fontId="18" fillId="5" borderId="18" xfId="6" applyFont="1" applyFill="1" applyBorder="1" applyAlignment="1">
      <alignment horizontal="left" vertical="center" wrapText="1"/>
    </xf>
    <xf numFmtId="0" fontId="18" fillId="5" borderId="17" xfId="6" applyFont="1" applyFill="1" applyBorder="1" applyAlignment="1">
      <alignment horizontal="left" vertical="center" wrapText="1"/>
    </xf>
    <xf numFmtId="0" fontId="16" fillId="4" borderId="42" xfId="0" applyFont="1" applyFill="1" applyBorder="1" applyAlignment="1">
      <alignment horizontal="left" vertical="center" wrapText="1"/>
    </xf>
    <xf numFmtId="0" fontId="16" fillId="4" borderId="43" xfId="0" applyFont="1" applyFill="1" applyBorder="1" applyAlignment="1">
      <alignment horizontal="left" vertical="center" wrapText="1"/>
    </xf>
    <xf numFmtId="0" fontId="16" fillId="4" borderId="44" xfId="0" applyFont="1" applyFill="1" applyBorder="1" applyAlignment="1">
      <alignment horizontal="left" vertical="center" wrapText="1"/>
    </xf>
    <xf numFmtId="3" fontId="16" fillId="4" borderId="45" xfId="0" applyNumberFormat="1" applyFont="1" applyFill="1" applyBorder="1" applyAlignment="1">
      <alignment horizontal="center" vertical="center" wrapText="1"/>
    </xf>
    <xf numFmtId="3" fontId="16" fillId="4" borderId="46" xfId="0" applyNumberFormat="1" applyFont="1" applyFill="1" applyBorder="1" applyAlignment="1">
      <alignment horizontal="center" vertical="center" wrapText="1"/>
    </xf>
    <xf numFmtId="0" fontId="29" fillId="5" borderId="0" xfId="5" applyFont="1" applyFill="1" applyAlignment="1">
      <alignment horizontal="center" vertical="center" wrapText="1"/>
    </xf>
    <xf numFmtId="0" fontId="29" fillId="5" borderId="0" xfId="5" applyFont="1" applyFill="1" applyAlignment="1">
      <alignment horizontal="center"/>
    </xf>
    <xf numFmtId="0" fontId="16" fillId="4" borderId="1" xfId="5" applyFont="1" applyFill="1" applyBorder="1" applyAlignment="1">
      <alignment horizontal="center" vertical="center" wrapText="1"/>
    </xf>
    <xf numFmtId="0" fontId="16" fillId="4" borderId="47" xfId="5" applyFont="1" applyFill="1" applyBorder="1" applyAlignment="1">
      <alignment horizontal="center" vertical="center" wrapText="1"/>
    </xf>
    <xf numFmtId="0" fontId="16" fillId="4" borderId="48" xfId="5" applyFont="1" applyFill="1" applyBorder="1" applyAlignment="1">
      <alignment horizontal="center"/>
    </xf>
    <xf numFmtId="0" fontId="16" fillId="4" borderId="47" xfId="5" applyFont="1" applyFill="1" applyBorder="1" applyAlignment="1">
      <alignment horizontal="center"/>
    </xf>
    <xf numFmtId="0" fontId="16" fillId="4" borderId="49" xfId="5" applyFont="1" applyFill="1" applyBorder="1" applyAlignment="1">
      <alignment horizontal="center" wrapText="1"/>
    </xf>
    <xf numFmtId="0" fontId="16" fillId="4" borderId="51" xfId="5" applyFont="1" applyFill="1" applyBorder="1" applyAlignment="1">
      <alignment horizontal="center"/>
    </xf>
    <xf numFmtId="9" fontId="16" fillId="4" borderId="1" xfId="11" applyFont="1" applyFill="1" applyBorder="1" applyAlignment="1">
      <alignment horizontal="center"/>
    </xf>
    <xf numFmtId="0" fontId="16" fillId="4" borderId="1" xfId="5" applyFont="1" applyFill="1" applyBorder="1" applyAlignment="1">
      <alignment horizontal="center"/>
    </xf>
    <xf numFmtId="1" fontId="16" fillId="4" borderId="1" xfId="11" applyNumberFormat="1" applyFont="1" applyFill="1" applyBorder="1" applyAlignment="1">
      <alignment horizontal="center"/>
    </xf>
    <xf numFmtId="166" fontId="18" fillId="5" borderId="1" xfId="10" applyNumberFormat="1" applyFont="1" applyFill="1" applyBorder="1" applyAlignment="1">
      <alignment horizontal="center" vertical="center"/>
    </xf>
    <xf numFmtId="9" fontId="18" fillId="5" borderId="1" xfId="11" applyFont="1" applyFill="1" applyBorder="1" applyAlignment="1">
      <alignment horizontal="center"/>
    </xf>
    <xf numFmtId="166" fontId="16" fillId="4" borderId="1" xfId="10" applyNumberFormat="1" applyFont="1" applyFill="1" applyBorder="1" applyAlignment="1">
      <alignment horizontal="center" vertical="center"/>
    </xf>
    <xf numFmtId="166" fontId="18" fillId="0" borderId="1" xfId="10" applyNumberFormat="1" applyFont="1" applyFill="1" applyBorder="1" applyAlignment="1">
      <alignment horizontal="center" vertical="center"/>
    </xf>
    <xf numFmtId="0" fontId="16" fillId="5" borderId="1" xfId="5" applyFont="1" applyFill="1" applyBorder="1" applyAlignment="1">
      <alignment horizontal="center"/>
    </xf>
    <xf numFmtId="166" fontId="16" fillId="0" borderId="1" xfId="10" applyNumberFormat="1" applyFont="1" applyFill="1" applyBorder="1" applyAlignment="1">
      <alignment horizontal="center" vertical="center"/>
    </xf>
    <xf numFmtId="0" fontId="18" fillId="5" borderId="40" xfId="0" applyFont="1" applyFill="1" applyBorder="1" applyAlignment="1">
      <alignment horizontal="left"/>
    </xf>
    <xf numFmtId="0" fontId="18" fillId="5" borderId="32" xfId="0" applyFont="1" applyFill="1" applyBorder="1" applyAlignment="1">
      <alignment horizontal="left"/>
    </xf>
    <xf numFmtId="0" fontId="18" fillId="5" borderId="33" xfId="0" applyFont="1" applyFill="1" applyBorder="1" applyAlignment="1">
      <alignment horizontal="left"/>
    </xf>
    <xf numFmtId="0" fontId="18" fillId="4" borderId="33" xfId="5" applyFont="1" applyFill="1" applyBorder="1" applyAlignment="1">
      <alignment horizontal="center"/>
    </xf>
    <xf numFmtId="0" fontId="18" fillId="4" borderId="34" xfId="5" applyFont="1" applyFill="1" applyBorder="1" applyAlignment="1">
      <alignment horizontal="center"/>
    </xf>
    <xf numFmtId="0" fontId="18" fillId="5" borderId="34" xfId="0" applyFont="1" applyFill="1" applyBorder="1" applyAlignment="1">
      <alignment horizontal="left"/>
    </xf>
    <xf numFmtId="0" fontId="16" fillId="4" borderId="33" xfId="5" applyFont="1" applyFill="1" applyBorder="1" applyAlignment="1">
      <alignment horizontal="left"/>
    </xf>
    <xf numFmtId="0" fontId="16" fillId="4" borderId="34" xfId="5" applyFont="1" applyFill="1" applyBorder="1" applyAlignment="1">
      <alignment horizontal="left"/>
    </xf>
    <xf numFmtId="0" fontId="18" fillId="5" borderId="33" xfId="5" applyFont="1" applyFill="1" applyBorder="1" applyAlignment="1">
      <alignment horizontal="left" vertical="center"/>
    </xf>
    <xf numFmtId="0" fontId="18" fillId="5" borderId="34" xfId="5" applyFont="1" applyFill="1" applyBorder="1" applyAlignment="1">
      <alignment horizontal="left" vertical="center"/>
    </xf>
    <xf numFmtId="0" fontId="16" fillId="4" borderId="33" xfId="5" applyFont="1" applyFill="1" applyBorder="1" applyAlignment="1">
      <alignment horizontal="left" vertical="center"/>
    </xf>
    <xf numFmtId="0" fontId="16" fillId="4" borderId="34" xfId="5" applyFont="1" applyFill="1" applyBorder="1" applyAlignment="1">
      <alignment horizontal="left" vertical="center"/>
    </xf>
    <xf numFmtId="9" fontId="18" fillId="4" borderId="17" xfId="5" applyNumberFormat="1" applyFont="1" applyFill="1" applyBorder="1" applyAlignment="1">
      <alignment horizontal="left" vertical="center"/>
    </xf>
    <xf numFmtId="0" fontId="18" fillId="5" borderId="32" xfId="0" applyFont="1" applyFill="1" applyBorder="1" applyAlignment="1">
      <alignment vertical="center"/>
    </xf>
    <xf numFmtId="0" fontId="18" fillId="7" borderId="16" xfId="0" applyFont="1" applyFill="1" applyBorder="1" applyAlignment="1">
      <alignment horizontal="left" vertical="center" wrapText="1"/>
    </xf>
    <xf numFmtId="0" fontId="18" fillId="7" borderId="18" xfId="0" applyFont="1" applyFill="1" applyBorder="1" applyAlignment="1">
      <alignment horizontal="left" vertical="center" wrapText="1"/>
    </xf>
    <xf numFmtId="0" fontId="18" fillId="7" borderId="17" xfId="0" applyFont="1" applyFill="1" applyBorder="1" applyAlignment="1">
      <alignment horizontal="left" vertical="center" wrapText="1"/>
    </xf>
    <xf numFmtId="0" fontId="18" fillId="7" borderId="16"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6" fillId="4" borderId="33" xfId="5" applyFont="1" applyFill="1" applyBorder="1" applyAlignment="1">
      <alignment vertical="center"/>
    </xf>
    <xf numFmtId="0" fontId="16" fillId="4" borderId="34" xfId="5" applyFont="1" applyFill="1" applyBorder="1" applyAlignment="1">
      <alignment vertical="center"/>
    </xf>
    <xf numFmtId="0" fontId="16" fillId="6" borderId="1" xfId="7" applyFont="1" applyFill="1" applyBorder="1" applyAlignment="1">
      <alignment horizontal="left" vertical="center" wrapText="1"/>
    </xf>
    <xf numFmtId="3" fontId="16" fillId="6" borderId="16" xfId="8" applyNumberFormat="1" applyFont="1" applyFill="1" applyBorder="1" applyAlignment="1">
      <alignment horizontal="center" vertical="center"/>
    </xf>
    <xf numFmtId="3" fontId="16" fillId="6" borderId="18" xfId="8" applyNumberFormat="1" applyFont="1" applyFill="1" applyBorder="1" applyAlignment="1">
      <alignment horizontal="center" vertical="center"/>
    </xf>
    <xf numFmtId="3" fontId="16" fillId="6" borderId="17" xfId="8" applyNumberFormat="1" applyFont="1" applyFill="1" applyBorder="1" applyAlignment="1">
      <alignment horizontal="center" vertical="center"/>
    </xf>
    <xf numFmtId="0" fontId="16" fillId="6" borderId="12" xfId="4" applyFont="1" applyFill="1" applyBorder="1" applyAlignment="1">
      <alignment horizontal="right" vertical="center" indent="3"/>
    </xf>
    <xf numFmtId="0" fontId="16" fillId="6" borderId="0" xfId="4" applyFont="1" applyFill="1" applyAlignment="1">
      <alignment horizontal="right" vertical="center" indent="3"/>
    </xf>
    <xf numFmtId="0" fontId="16" fillId="6" borderId="28" xfId="4" applyFont="1" applyFill="1" applyBorder="1" applyAlignment="1">
      <alignment horizontal="left" vertical="center" wrapText="1"/>
    </xf>
    <xf numFmtId="0" fontId="16" fillId="6" borderId="12" xfId="4" applyFont="1" applyFill="1" applyBorder="1" applyAlignment="1">
      <alignment horizontal="left" vertical="center" wrapText="1"/>
    </xf>
    <xf numFmtId="0" fontId="16" fillId="6" borderId="19" xfId="4" applyFont="1" applyFill="1" applyBorder="1" applyAlignment="1">
      <alignment horizontal="left" vertical="center" wrapText="1"/>
    </xf>
    <xf numFmtId="0" fontId="16" fillId="6" borderId="16" xfId="7" applyFont="1" applyFill="1" applyBorder="1" applyAlignment="1">
      <alignment horizontal="right" vertical="center" wrapText="1" indent="3"/>
    </xf>
    <xf numFmtId="0" fontId="16" fillId="6" borderId="17" xfId="7" applyFont="1" applyFill="1" applyBorder="1" applyAlignment="1">
      <alignment horizontal="right" vertical="center" wrapText="1" indent="3"/>
    </xf>
    <xf numFmtId="0" fontId="22" fillId="5" borderId="16" xfId="5" applyFont="1" applyFill="1" applyBorder="1" applyAlignment="1">
      <alignment horizontal="center" vertical="center" wrapText="1"/>
    </xf>
    <xf numFmtId="0" fontId="22" fillId="5" borderId="18" xfId="5" applyFont="1" applyFill="1" applyBorder="1" applyAlignment="1">
      <alignment horizontal="center" vertical="center" wrapText="1"/>
    </xf>
    <xf numFmtId="0" fontId="22" fillId="5" borderId="17" xfId="5" applyFont="1" applyFill="1" applyBorder="1" applyAlignment="1">
      <alignment horizontal="center" vertical="center" wrapText="1"/>
    </xf>
    <xf numFmtId="0" fontId="15" fillId="6" borderId="16" xfId="7" applyFont="1" applyFill="1" applyBorder="1" applyAlignment="1">
      <alignment horizontal="center" vertical="center"/>
    </xf>
    <xf numFmtId="0" fontId="15" fillId="6" borderId="18" xfId="7" applyFont="1" applyFill="1" applyBorder="1" applyAlignment="1">
      <alignment horizontal="center" vertical="center"/>
    </xf>
    <xf numFmtId="0" fontId="15" fillId="6" borderId="17" xfId="7" applyFont="1" applyFill="1" applyBorder="1" applyAlignment="1">
      <alignment horizontal="center" vertical="center"/>
    </xf>
    <xf numFmtId="0" fontId="16" fillId="6" borderId="19" xfId="7" applyFont="1" applyFill="1" applyBorder="1" applyAlignment="1">
      <alignment horizontal="right" vertical="center" indent="3"/>
    </xf>
    <xf numFmtId="0" fontId="16" fillId="6" borderId="20" xfId="7" applyFont="1" applyFill="1" applyBorder="1" applyAlignment="1">
      <alignment horizontal="right" vertical="center" indent="3"/>
    </xf>
    <xf numFmtId="3" fontId="16" fillId="6" borderId="21" xfId="8" applyNumberFormat="1" applyFont="1" applyFill="1" applyBorder="1" applyAlignment="1">
      <alignment horizontal="center" vertical="center"/>
    </xf>
    <xf numFmtId="3" fontId="16" fillId="6" borderId="20" xfId="8" applyNumberFormat="1" applyFont="1" applyFill="1" applyBorder="1" applyAlignment="1">
      <alignment horizontal="center" vertical="center"/>
    </xf>
    <xf numFmtId="3" fontId="16" fillId="6" borderId="22" xfId="8" applyNumberFormat="1" applyFont="1" applyFill="1" applyBorder="1" applyAlignment="1">
      <alignment horizontal="center" vertical="center"/>
    </xf>
    <xf numFmtId="3" fontId="16" fillId="6" borderId="23" xfId="8" applyNumberFormat="1" applyFont="1" applyFill="1" applyBorder="1" applyAlignment="1">
      <alignment horizontal="center" vertical="center"/>
    </xf>
    <xf numFmtId="3" fontId="16" fillId="6" borderId="24" xfId="8" applyNumberFormat="1" applyFont="1" applyFill="1" applyBorder="1" applyAlignment="1">
      <alignment horizontal="center" vertical="center"/>
    </xf>
  </cellXfs>
  <cellStyles count="14">
    <cellStyle name="Comma" xfId="10" builtinId="3"/>
    <cellStyle name="Normal" xfId="0" builtinId="0"/>
    <cellStyle name="Normal 16" xfId="9" xr:uid="{7C983AF1-46D6-4293-9E03-E2E03F069D00}"/>
    <cellStyle name="Normal 2" xfId="1" xr:uid="{70B35F4F-FD9C-49A5-A557-26765EEB41A0}"/>
    <cellStyle name="Normal 28" xfId="6" xr:uid="{A4072AB4-F625-40D9-BD78-3C9BFDE3EBFF}"/>
    <cellStyle name="Normal 29" xfId="3" xr:uid="{B2A782AC-EA81-4D73-B851-4618C56251A4}"/>
    <cellStyle name="Normal 30" xfId="13" xr:uid="{301DF267-EA04-47AF-8B83-5E42752A56E9}"/>
    <cellStyle name="Normal 33" xfId="4" xr:uid="{3E569677-5CCE-4FCE-883F-949A22C0A122}"/>
    <cellStyle name="Normal__2024_AMR_COMBINED" xfId="2" xr:uid="{EBF15B38-EC1B-496D-B5B3-59E1F04E0539}"/>
    <cellStyle name="Normal_Sheet1_3" xfId="7" xr:uid="{DA1A769F-CDC0-4D29-8065-E2790F588CBF}"/>
    <cellStyle name="Normal_Sheet2_1" xfId="5" xr:uid="{EB31A22A-00F1-4D24-8C97-D167A636C2AD}"/>
    <cellStyle name="Normal_Summary Tables" xfId="12" xr:uid="{3E689D3B-63F7-41E5-BECB-47EBFC93D991}"/>
    <cellStyle name="Normal_Trajectory" xfId="8" xr:uid="{F0A5DFD4-ED4A-47CF-A92D-AE4FE7D8EC5A}"/>
    <cellStyle name="Percent" xfId="11" builtinId="5"/>
  </cellStyles>
  <dxfs count="2855">
    <dxf>
      <font>
        <color rgb="FF9C0006"/>
      </font>
      <fill>
        <patternFill>
          <bgColor rgb="FFFFC7CE"/>
        </patternFill>
      </fill>
    </dxf>
    <dxf>
      <font>
        <color rgb="FF9C0006"/>
      </font>
      <fill>
        <patternFill>
          <bgColor rgb="FFFFC7CE"/>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solid">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numFmt numFmtId="1" formatCode="0"/>
    </dxf>
    <dxf>
      <fill>
        <patternFill patternType="solid">
          <bgColor rgb="FFFFC000"/>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color rgb="FFFF0000"/>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alignment vertical="cent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numFmt numFmtId="1" formatCode="0"/>
    </dxf>
    <dxf>
      <fill>
        <patternFill patternType="none">
          <bgColor auto="1"/>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medium">
          <color indexed="64"/>
        </left>
        <right style="medium">
          <color indexed="64"/>
        </right>
        <top style="medium">
          <color indexed="64"/>
        </top>
      </border>
    </dxf>
    <dxf>
      <fill>
        <patternFill patternType="none">
          <bgColor auto="1"/>
        </patternFill>
      </fill>
    </dxf>
    <dxf>
      <fill>
        <patternFill patternType="none">
          <bgColor auto="1"/>
        </patternFill>
      </fill>
    </dxf>
    <dxf>
      <fill>
        <patternFill patternType="solid">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sz val="10"/>
      </font>
    </dxf>
    <dxf>
      <font>
        <sz val="10"/>
      </font>
    </dxf>
    <dxf>
      <font>
        <sz val="10"/>
      </font>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border>
        <top style="medium">
          <color indexed="64"/>
        </top>
      </border>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color auto="1"/>
      </font>
    </dxf>
    <dxf>
      <font>
        <color auto="1"/>
      </font>
    </dxf>
    <dxf>
      <font>
        <color auto="1"/>
      </font>
    </dxf>
    <dxf>
      <font>
        <color auto="1"/>
      </font>
    </dxf>
    <dxf>
      <font>
        <color auto="1"/>
      </font>
    </dxf>
    <dxf>
      <fill>
        <patternFill patternType="none">
          <fgColor indexed="64"/>
          <bgColor indexed="65"/>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ont>
        <sz val="10"/>
      </font>
    </dxf>
    <dxf>
      <font>
        <sz val="10"/>
      </font>
    </dxf>
    <dxf>
      <font>
        <color auto="1"/>
      </font>
    </dxf>
    <dxf>
      <font>
        <color auto="1"/>
      </font>
    </dxf>
    <dxf>
      <font>
        <color auto="1"/>
      </font>
    </dxf>
    <dxf>
      <font>
        <color auto="1"/>
      </font>
    </dxf>
    <dxf>
      <font>
        <color auto="1"/>
      </font>
    </dxf>
    <dxf>
      <font>
        <color auto="1"/>
      </font>
    </dxf>
    <dxf>
      <fill>
        <patternFill patternType="none">
          <fgColor indexed="64"/>
          <bgColor indexed="65"/>
        </patternFill>
      </fill>
    </dxf>
    <dxf>
      <alignment horizontal="general" vertical="bottom" textRotation="0" wrapText="0" indent="0" justifyLastLine="0" shrinkToFit="0" readingOrder="0"/>
    </dxf>
    <dxf>
      <fill>
        <patternFill patternType="none">
          <bgColor auto="1"/>
        </patternFill>
      </fill>
    </dxf>
    <dxf>
      <fill>
        <patternFill patternType="solid">
          <bgColor rgb="FFFFC000"/>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 formatCode="0"/>
    </dxf>
    <dxf>
      <fill>
        <patternFill patternType="solid">
          <bgColor rgb="FFFFC000"/>
        </patternFill>
      </fill>
    </dxf>
    <dxf>
      <fill>
        <patternFill patternType="solid">
          <bgColor rgb="FFFFC000"/>
        </patternFill>
      </fill>
    </dxf>
    <dxf>
      <font>
        <sz val="10"/>
      </font>
    </dxf>
    <dxf>
      <font>
        <sz val="10"/>
      </font>
    </dxf>
    <dxf>
      <font>
        <sz val="10"/>
      </font>
    </dxf>
    <dxf>
      <font>
        <color auto="1"/>
      </font>
    </dxf>
    <dxf>
      <font>
        <color auto="1"/>
      </font>
    </dxf>
    <dxf>
      <font>
        <color auto="1"/>
      </font>
    </dxf>
    <dxf>
      <numFmt numFmtId="164" formatCode="0.0"/>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64" formatCode="0.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numFmt numFmtId="164" formatCode="0.0"/>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border>
        <top style="medium">
          <color indexed="64"/>
        </top>
      </border>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color rgb="FFFF0000"/>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fgColor indexed="64"/>
          <bgColor indexed="65"/>
        </patternFill>
      </fill>
    </dxf>
    <dxf>
      <font>
        <color auto="1"/>
      </font>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solid">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 formatCode="0"/>
    </dxf>
    <dxf>
      <fill>
        <patternFill patternType="solid">
          <bgColor rgb="FFFFC000"/>
        </patternFill>
      </fill>
    </dxf>
    <dxf>
      <fill>
        <patternFill patternType="solid">
          <bgColor rgb="FFFFC000"/>
        </patternFill>
      </fill>
    </dxf>
    <dxf>
      <font>
        <sz val="10"/>
      </font>
    </dxf>
    <dxf>
      <font>
        <sz val="10"/>
      </font>
    </dxf>
    <dxf>
      <font>
        <sz val="10"/>
      </font>
    </dxf>
    <dxf>
      <font>
        <color auto="1"/>
      </font>
    </dxf>
    <dxf>
      <font>
        <color auto="1"/>
      </font>
    </dxf>
    <dxf>
      <font>
        <color auto="1"/>
      </font>
    </dxf>
    <dxf>
      <numFmt numFmtId="164" formatCode="0.0"/>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 formatCode="0"/>
    </dxf>
    <dxf>
      <fill>
        <patternFill patternType="solid">
          <bgColor rgb="FFFFC000"/>
        </patternFill>
      </fill>
    </dxf>
    <dxf>
      <fill>
        <patternFill patternType="solid">
          <bgColor rgb="FFFFC000"/>
        </patternFill>
      </fill>
    </dxf>
    <dxf>
      <font>
        <sz val="10"/>
      </font>
    </dxf>
    <dxf>
      <font>
        <sz val="10"/>
      </font>
    </dxf>
    <dxf>
      <font>
        <sz val="10"/>
      </font>
    </dxf>
    <dxf>
      <font>
        <color auto="1"/>
      </font>
    </dxf>
    <dxf>
      <font>
        <color auto="1"/>
      </font>
    </dxf>
    <dxf>
      <font>
        <color auto="1"/>
      </font>
    </dxf>
    <dxf>
      <numFmt numFmtId="164" formatCode="0.0"/>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alignment vertical="center"/>
    </dxf>
    <dxf>
      <font>
        <color auto="1"/>
      </font>
    </dxf>
    <dxf>
      <font>
        <color auto="1"/>
      </font>
    </dxf>
    <dxf>
      <font>
        <color auto="1"/>
      </font>
    </dxf>
    <dxf>
      <font>
        <color auto="1"/>
      </font>
    </dxf>
    <dxf>
      <font>
        <color auto="1"/>
      </font>
    </dxf>
    <dxf>
      <font>
        <sz val="10"/>
      </font>
    </dxf>
    <dxf>
      <font>
        <sz val="10"/>
      </font>
    </dxf>
    <dxf>
      <font>
        <sz val="10"/>
      </font>
    </dxf>
    <dxf>
      <fill>
        <patternFill patternType="solid">
          <bgColor rgb="FFFFC000"/>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border>
        <left style="medium">
          <color indexed="64"/>
        </left>
        <right style="medium">
          <color indexed="64"/>
        </right>
        <top style="medium">
          <color indexed="64"/>
        </top>
      </border>
    </dxf>
    <dxf>
      <fill>
        <patternFill patternType="none">
          <bgColor auto="1"/>
        </patternFill>
      </fill>
    </dxf>
    <dxf>
      <fill>
        <patternFill patternType="none">
          <bgColor auto="1"/>
        </patternFill>
      </fill>
    </dxf>
    <dxf>
      <fill>
        <patternFill patternType="solid">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numFmt numFmtId="164" formatCode="0.0"/>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color auto="1"/>
      </font>
    </dxf>
    <dxf>
      <font>
        <color auto="1"/>
      </font>
    </dxf>
    <dxf>
      <font>
        <color auto="1"/>
      </font>
    </dxf>
    <dxf>
      <font>
        <color auto="1"/>
      </font>
    </dxf>
    <dxf>
      <font>
        <color auto="1"/>
      </font>
    </dxf>
    <dxf>
      <font>
        <color auto="1"/>
      </font>
    </dxf>
    <dxf>
      <fill>
        <patternFill patternType="none">
          <fgColor indexed="64"/>
          <bgColor indexed="65"/>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64" formatCode="0.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medium">
          <color indexed="64"/>
        </left>
        <right style="medium">
          <color indexed="64"/>
        </right>
        <top style="medium">
          <color indexed="64"/>
        </top>
      </border>
    </dxf>
    <dxf>
      <fill>
        <patternFill patternType="none">
          <bgColor auto="1"/>
        </patternFill>
      </fill>
    </dxf>
    <dxf>
      <fill>
        <patternFill patternType="none">
          <bgColor auto="1"/>
        </patternFill>
      </fill>
    </dxf>
    <dxf>
      <fill>
        <patternFill patternType="solid">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color auto="1"/>
      </font>
    </dxf>
    <dxf>
      <font>
        <color auto="1"/>
      </font>
    </dxf>
    <dxf>
      <font>
        <sz val="10"/>
      </font>
    </dxf>
    <dxf>
      <font>
        <sz val="10"/>
      </font>
    </dxf>
    <dxf>
      <font>
        <sz val="10"/>
      </font>
    </dxf>
    <dxf>
      <font>
        <sz val="10"/>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solid">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sz val="10"/>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s>
  <tableStyles count="0" defaultTableStyle="TableStyleMedium9" defaultPivotStyle="PivotStyleLight16"/>
  <colors>
    <mruColors>
      <color rgb="FFDCE6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43369734789394E-2"/>
          <c:y val="5.8823754686560537E-2"/>
          <c:w val="0.90795631825273015"/>
          <c:h val="0.81348429272427891"/>
        </c:manualLayout>
      </c:layout>
      <c:barChart>
        <c:barDir val="col"/>
        <c:grouping val="clustered"/>
        <c:varyColors val="0"/>
        <c:ser>
          <c:idx val="0"/>
          <c:order val="1"/>
          <c:tx>
            <c:strRef>
              <c:f>'Summary Tables'!$D$60</c:f>
              <c:strCache>
                <c:ptCount val="1"/>
                <c:pt idx="0">
                  <c:v>Completions</c:v>
                </c:pt>
              </c:strCache>
            </c:strRef>
          </c:tx>
          <c:spPr>
            <a:solidFill>
              <a:srgbClr val="0070C0"/>
            </a:solidFill>
            <a:ln w="12700">
              <a:solidFill>
                <a:srgbClr val="002060"/>
              </a:solidFill>
              <a:prstDash val="solid"/>
              <a:miter lim="800000"/>
            </a:ln>
          </c:spPr>
          <c:invertIfNegative val="0"/>
          <c:cat>
            <c:strRef>
              <c:f>'Summary Tables'!$C$61:$C$82</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'Summary Tables'!$D$61:$D$82</c:f>
              <c:numCache>
                <c:formatCode>#,##0</c:formatCode>
                <c:ptCount val="22"/>
                <c:pt idx="0">
                  <c:v>319</c:v>
                </c:pt>
                <c:pt idx="1">
                  <c:v>246</c:v>
                </c:pt>
                <c:pt idx="2">
                  <c:v>582</c:v>
                </c:pt>
                <c:pt idx="3">
                  <c:v>842</c:v>
                </c:pt>
                <c:pt idx="4">
                  <c:v>230</c:v>
                </c:pt>
                <c:pt idx="5">
                  <c:v>260</c:v>
                </c:pt>
                <c:pt idx="6">
                  <c:v>436</c:v>
                </c:pt>
                <c:pt idx="7">
                  <c:v>145</c:v>
                </c:pt>
                <c:pt idx="8">
                  <c:v>399</c:v>
                </c:pt>
                <c:pt idx="9">
                  <c:v>208</c:v>
                </c:pt>
                <c:pt idx="10">
                  <c:v>695</c:v>
                </c:pt>
                <c:pt idx="11">
                  <c:v>235</c:v>
                </c:pt>
                <c:pt idx="12">
                  <c:v>304</c:v>
                </c:pt>
                <c:pt idx="13">
                  <c:v>491</c:v>
                </c:pt>
                <c:pt idx="14">
                  <c:v>460</c:v>
                </c:pt>
                <c:pt idx="15">
                  <c:v>382</c:v>
                </c:pt>
                <c:pt idx="16">
                  <c:v>419</c:v>
                </c:pt>
                <c:pt idx="17">
                  <c:v>331</c:v>
                </c:pt>
                <c:pt idx="18">
                  <c:v>206</c:v>
                </c:pt>
                <c:pt idx="19">
                  <c:v>164</c:v>
                </c:pt>
                <c:pt idx="20">
                  <c:v>141</c:v>
                </c:pt>
                <c:pt idx="21">
                  <c:v>100</c:v>
                </c:pt>
              </c:numCache>
            </c:numRef>
          </c:val>
          <c:extLst>
            <c:ext xmlns:c16="http://schemas.microsoft.com/office/drawing/2014/chart" uri="{C3380CC4-5D6E-409C-BE32-E72D297353CC}">
              <c16:uniqueId val="{00000000-4BCF-463C-A76E-6D74F73DBA6F}"/>
            </c:ext>
          </c:extLst>
        </c:ser>
        <c:dLbls>
          <c:showLegendKey val="0"/>
          <c:showVal val="0"/>
          <c:showCatName val="0"/>
          <c:showSerName val="0"/>
          <c:showPercent val="0"/>
          <c:showBubbleSize val="0"/>
        </c:dLbls>
        <c:gapWidth val="78"/>
        <c:axId val="261322240"/>
        <c:axId val="261323776"/>
      </c:barChart>
      <c:lineChart>
        <c:grouping val="standard"/>
        <c:varyColors val="0"/>
        <c:ser>
          <c:idx val="2"/>
          <c:order val="0"/>
          <c:tx>
            <c:strRef>
              <c:f>'Summary Tables'!$E$60</c:f>
              <c:strCache>
                <c:ptCount val="1"/>
                <c:pt idx="0">
                  <c:v>Target</c:v>
                </c:pt>
              </c:strCache>
            </c:strRef>
          </c:tx>
          <c:marker>
            <c:symbol val="none"/>
          </c:marker>
          <c:cat>
            <c:strRef>
              <c:f>'Summary Tables'!$C$61:$C$82</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'Summary Tables'!$E$61:$E$82</c:f>
              <c:numCache>
                <c:formatCode>#,##0</c:formatCode>
                <c:ptCount val="22"/>
                <c:pt idx="0">
                  <c:v>270</c:v>
                </c:pt>
                <c:pt idx="1">
                  <c:v>270</c:v>
                </c:pt>
                <c:pt idx="2">
                  <c:v>270</c:v>
                </c:pt>
                <c:pt idx="3">
                  <c:v>270</c:v>
                </c:pt>
                <c:pt idx="4">
                  <c:v>270</c:v>
                </c:pt>
                <c:pt idx="5">
                  <c:v>270</c:v>
                </c:pt>
                <c:pt idx="6">
                  <c:v>270</c:v>
                </c:pt>
                <c:pt idx="7">
                  <c:v>270</c:v>
                </c:pt>
                <c:pt idx="8">
                  <c:v>270</c:v>
                </c:pt>
                <c:pt idx="9">
                  <c:v>245</c:v>
                </c:pt>
                <c:pt idx="10">
                  <c:v>245</c:v>
                </c:pt>
                <c:pt idx="11">
                  <c:v>245</c:v>
                </c:pt>
                <c:pt idx="12">
                  <c:v>245</c:v>
                </c:pt>
                <c:pt idx="13">
                  <c:v>245</c:v>
                </c:pt>
                <c:pt idx="14">
                  <c:v>315</c:v>
                </c:pt>
                <c:pt idx="15">
                  <c:v>315</c:v>
                </c:pt>
                <c:pt idx="16">
                  <c:v>315</c:v>
                </c:pt>
                <c:pt idx="17">
                  <c:v>315</c:v>
                </c:pt>
                <c:pt idx="18">
                  <c:v>315</c:v>
                </c:pt>
                <c:pt idx="19">
                  <c:v>411</c:v>
                </c:pt>
                <c:pt idx="20">
                  <c:v>411</c:v>
                </c:pt>
                <c:pt idx="21">
                  <c:v>411</c:v>
                </c:pt>
              </c:numCache>
            </c:numRef>
          </c:val>
          <c:smooth val="0"/>
          <c:extLst>
            <c:ext xmlns:c16="http://schemas.microsoft.com/office/drawing/2014/chart" uri="{C3380CC4-5D6E-409C-BE32-E72D297353CC}">
              <c16:uniqueId val="{00000000-9E63-4579-B14A-D349F72D2049}"/>
            </c:ext>
          </c:extLst>
        </c:ser>
        <c:dLbls>
          <c:showLegendKey val="0"/>
          <c:showVal val="0"/>
          <c:showCatName val="0"/>
          <c:showSerName val="0"/>
          <c:showPercent val="0"/>
          <c:showBubbleSize val="0"/>
        </c:dLbls>
        <c:marker val="1"/>
        <c:smooth val="0"/>
        <c:axId val="261322240"/>
        <c:axId val="261323776"/>
      </c:lineChart>
      <c:catAx>
        <c:axId val="26132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261323776"/>
        <c:crosses val="autoZero"/>
        <c:auto val="1"/>
        <c:lblAlgn val="ctr"/>
        <c:lblOffset val="100"/>
        <c:noMultiLvlLbl val="0"/>
      </c:catAx>
      <c:valAx>
        <c:axId val="261323776"/>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322240"/>
        <c:crosses val="autoZero"/>
        <c:crossBetween val="between"/>
      </c:valAx>
      <c:spPr>
        <a:noFill/>
        <a:ln w="12700">
          <a:noFill/>
          <a:prstDash val="solid"/>
        </a:ln>
      </c:spPr>
    </c:plotArea>
    <c:legend>
      <c:legendPos val="r"/>
      <c:layout>
        <c:manualLayout>
          <c:xMode val="edge"/>
          <c:yMode val="edge"/>
          <c:x val="0.84117815192914558"/>
          <c:y val="1.4894730770653904E-2"/>
          <c:w val="0.13965137211251735"/>
          <c:h val="0.10527743698901718"/>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50000"/>
        </a:schemeClr>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78034954054069E-2"/>
          <c:y val="5.905511811023622E-2"/>
          <c:w val="0.93777804232354312"/>
          <c:h val="0.83639682697237672"/>
        </c:manualLayout>
      </c:layout>
      <c:barChart>
        <c:barDir val="col"/>
        <c:grouping val="stacked"/>
        <c:varyColors val="0"/>
        <c:ser>
          <c:idx val="0"/>
          <c:order val="0"/>
          <c:tx>
            <c:strRef>
              <c:f>'Summary Tables'!$D$89</c:f>
              <c:strCache>
                <c:ptCount val="1"/>
                <c:pt idx="0">
                  <c:v> Open Market</c:v>
                </c:pt>
              </c:strCache>
            </c:strRef>
          </c:tx>
          <c:spPr>
            <a:solidFill>
              <a:schemeClr val="tx2">
                <a:lumMod val="60000"/>
                <a:lumOff val="40000"/>
              </a:schemeClr>
            </a:solidFill>
            <a:ln w="25400">
              <a:solidFill>
                <a:schemeClr val="tx2">
                  <a:lumMod val="60000"/>
                  <a:lumOff val="40000"/>
                </a:schemeClr>
              </a:solidFill>
              <a:prstDash val="solid"/>
              <a:miter lim="800000"/>
            </a:ln>
          </c:spPr>
          <c:invertIfNegative val="0"/>
          <c:dLbls>
            <c:delete val="1"/>
          </c:dLbls>
          <c:cat>
            <c:strRef>
              <c:f>'Summary Tables'!$C$91:$C$109</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'Summary Tables'!$D$91:$D$109</c:f>
              <c:numCache>
                <c:formatCode>#,##0</c:formatCode>
                <c:ptCount val="19"/>
                <c:pt idx="0">
                  <c:v>611</c:v>
                </c:pt>
                <c:pt idx="1">
                  <c:v>192</c:v>
                </c:pt>
                <c:pt idx="2">
                  <c:v>257</c:v>
                </c:pt>
                <c:pt idx="3">
                  <c:v>338</c:v>
                </c:pt>
                <c:pt idx="4">
                  <c:v>145</c:v>
                </c:pt>
                <c:pt idx="5">
                  <c:v>273</c:v>
                </c:pt>
                <c:pt idx="6">
                  <c:v>133</c:v>
                </c:pt>
                <c:pt idx="7">
                  <c:v>468</c:v>
                </c:pt>
                <c:pt idx="8">
                  <c:v>202</c:v>
                </c:pt>
                <c:pt idx="9">
                  <c:v>298</c:v>
                </c:pt>
                <c:pt idx="10">
                  <c:v>392</c:v>
                </c:pt>
                <c:pt idx="11">
                  <c:v>398</c:v>
                </c:pt>
                <c:pt idx="12">
                  <c:v>341</c:v>
                </c:pt>
                <c:pt idx="13">
                  <c:v>349</c:v>
                </c:pt>
                <c:pt idx="14">
                  <c:v>297</c:v>
                </c:pt>
                <c:pt idx="15">
                  <c:v>189</c:v>
                </c:pt>
                <c:pt idx="16">
                  <c:v>142</c:v>
                </c:pt>
                <c:pt idx="17">
                  <c:v>127</c:v>
                </c:pt>
                <c:pt idx="18">
                  <c:v>90</c:v>
                </c:pt>
              </c:numCache>
            </c:numRef>
          </c:val>
          <c:extLst>
            <c:ext xmlns:c16="http://schemas.microsoft.com/office/drawing/2014/chart" uri="{C3380CC4-5D6E-409C-BE32-E72D297353CC}">
              <c16:uniqueId val="{00000000-5718-4A15-8CDA-6DD04014AC14}"/>
            </c:ext>
          </c:extLst>
        </c:ser>
        <c:ser>
          <c:idx val="4"/>
          <c:order val="1"/>
          <c:tx>
            <c:strRef>
              <c:f>'Summary Tables'!$F$89</c:f>
              <c:strCache>
                <c:ptCount val="1"/>
                <c:pt idx="0">
                  <c:v> Affordable</c:v>
                </c:pt>
              </c:strCache>
            </c:strRef>
          </c:tx>
          <c:spPr>
            <a:solidFill>
              <a:schemeClr val="accent3"/>
            </a:solidFill>
            <a:ln w="25400">
              <a:solidFill>
                <a:schemeClr val="accent3"/>
              </a:solidFill>
              <a:prstDash val="solid"/>
              <a:miter lim="800000"/>
            </a:ln>
          </c:spPr>
          <c:invertIfNegative val="0"/>
          <c:dLbls>
            <c:delete val="1"/>
          </c:dLbls>
          <c:cat>
            <c:strRef>
              <c:f>'Summary Tables'!$C$91:$C$109</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'Summary Tables'!$F$91:$F$109</c:f>
              <c:numCache>
                <c:formatCode>#,##0</c:formatCode>
                <c:ptCount val="19"/>
                <c:pt idx="0">
                  <c:v>231</c:v>
                </c:pt>
                <c:pt idx="1">
                  <c:v>38</c:v>
                </c:pt>
                <c:pt idx="2">
                  <c:v>3</c:v>
                </c:pt>
                <c:pt idx="3">
                  <c:v>98</c:v>
                </c:pt>
                <c:pt idx="4">
                  <c:v>0</c:v>
                </c:pt>
                <c:pt idx="5">
                  <c:v>126</c:v>
                </c:pt>
                <c:pt idx="6">
                  <c:v>75</c:v>
                </c:pt>
                <c:pt idx="7">
                  <c:v>227</c:v>
                </c:pt>
                <c:pt idx="8">
                  <c:v>33</c:v>
                </c:pt>
                <c:pt idx="9">
                  <c:v>6</c:v>
                </c:pt>
                <c:pt idx="10">
                  <c:v>99</c:v>
                </c:pt>
                <c:pt idx="11">
                  <c:v>62</c:v>
                </c:pt>
                <c:pt idx="12">
                  <c:v>41</c:v>
                </c:pt>
                <c:pt idx="13">
                  <c:v>70</c:v>
                </c:pt>
                <c:pt idx="14">
                  <c:v>34</c:v>
                </c:pt>
                <c:pt idx="15">
                  <c:v>17</c:v>
                </c:pt>
                <c:pt idx="16">
                  <c:v>22</c:v>
                </c:pt>
                <c:pt idx="17">
                  <c:v>14</c:v>
                </c:pt>
                <c:pt idx="18">
                  <c:v>10</c:v>
                </c:pt>
              </c:numCache>
            </c:numRef>
          </c:val>
          <c:extLst>
            <c:ext xmlns:c16="http://schemas.microsoft.com/office/drawing/2014/chart" uri="{C3380CC4-5D6E-409C-BE32-E72D297353CC}">
              <c16:uniqueId val="{00000001-5718-4A15-8CDA-6DD04014AC14}"/>
            </c:ext>
          </c:extLst>
        </c:ser>
        <c:dLbls>
          <c:dLblPos val="ctr"/>
          <c:showLegendKey val="0"/>
          <c:showVal val="1"/>
          <c:showCatName val="0"/>
          <c:showSerName val="0"/>
          <c:showPercent val="0"/>
          <c:showBubbleSize val="0"/>
        </c:dLbls>
        <c:gapWidth val="56"/>
        <c:overlap val="100"/>
        <c:axId val="324841856"/>
        <c:axId val="324843392"/>
      </c:barChart>
      <c:catAx>
        <c:axId val="32484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324843392"/>
        <c:crosses val="autoZero"/>
        <c:auto val="1"/>
        <c:lblAlgn val="ctr"/>
        <c:lblOffset val="100"/>
        <c:tickLblSkip val="1"/>
        <c:tickMarkSkip val="1"/>
        <c:noMultiLvlLbl val="0"/>
      </c:catAx>
      <c:valAx>
        <c:axId val="324843392"/>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1856"/>
        <c:crosses val="autoZero"/>
        <c:crossBetween val="between"/>
      </c:valAx>
      <c:spPr>
        <a:noFill/>
        <a:ln w="12700">
          <a:solidFill>
            <a:schemeClr val="bg1">
              <a:lumMod val="50000"/>
            </a:schemeClr>
          </a:solidFill>
          <a:prstDash val="solid"/>
        </a:ln>
      </c:spPr>
    </c:plotArea>
    <c:legend>
      <c:legendPos val="r"/>
      <c:layout>
        <c:manualLayout>
          <c:xMode val="edge"/>
          <c:yMode val="edge"/>
          <c:x val="0.76499620700426352"/>
          <c:y val="7.3397590007131461E-2"/>
          <c:w val="0.19393234269209397"/>
          <c:h val="0.1238627524500614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50000"/>
        </a:schemeClr>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Proportion of housing completions provided by large sites</a:t>
            </a:r>
          </a:p>
        </c:rich>
      </c:tx>
      <c:overlay val="1"/>
    </c:title>
    <c:autoTitleDeleted val="0"/>
    <c:plotArea>
      <c:layout>
        <c:manualLayout>
          <c:layoutTarget val="inner"/>
          <c:xMode val="edge"/>
          <c:yMode val="edge"/>
          <c:x val="8.6616442099943791E-2"/>
          <c:y val="0.1274504604450217"/>
          <c:w val="0.88456888861387417"/>
          <c:h val="0.66614786553742644"/>
        </c:manualLayout>
      </c:layout>
      <c:barChart>
        <c:barDir val="col"/>
        <c:grouping val="clustered"/>
        <c:varyColors val="0"/>
        <c:ser>
          <c:idx val="0"/>
          <c:order val="0"/>
          <c:tx>
            <c:strRef>
              <c:f>'Summary Tables'!$D$164</c:f>
              <c:strCache>
                <c:ptCount val="1"/>
                <c:pt idx="0">
                  <c:v>%</c:v>
                </c:pt>
              </c:strCache>
            </c:strRef>
          </c:tx>
          <c:spPr>
            <a:solidFill>
              <a:srgbClr val="0070C0"/>
            </a:solidFill>
            <a:ln w="12700">
              <a:solidFill>
                <a:srgbClr val="002060"/>
              </a:solidFill>
            </a:ln>
          </c:spPr>
          <c:invertIfNegative val="0"/>
          <c:dLbls>
            <c:spPr>
              <a:solidFill>
                <a:schemeClr val="bg1"/>
              </a:solid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Tables'!$C$165:$C$185</c:f>
              <c:strCache>
                <c:ptCount val="21"/>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pt idx="17">
                  <c:v>2020/21</c:v>
                </c:pt>
                <c:pt idx="18">
                  <c:v>2021/22</c:v>
                </c:pt>
                <c:pt idx="19">
                  <c:v>2022/23</c:v>
                </c:pt>
                <c:pt idx="20">
                  <c:v>2023/24</c:v>
                </c:pt>
              </c:strCache>
            </c:strRef>
          </c:cat>
          <c:val>
            <c:numRef>
              <c:f>'Summary Tables'!$D$165:$D$185</c:f>
              <c:numCache>
                <c:formatCode>0%</c:formatCode>
                <c:ptCount val="21"/>
                <c:pt idx="0">
                  <c:v>0.5</c:v>
                </c:pt>
                <c:pt idx="1">
                  <c:v>0.72</c:v>
                </c:pt>
                <c:pt idx="2">
                  <c:v>0.83</c:v>
                </c:pt>
                <c:pt idx="3">
                  <c:v>0.41</c:v>
                </c:pt>
                <c:pt idx="4">
                  <c:v>0.27</c:v>
                </c:pt>
                <c:pt idx="5">
                  <c:v>0.61</c:v>
                </c:pt>
                <c:pt idx="6">
                  <c:v>7.0000000000000007E-2</c:v>
                </c:pt>
                <c:pt idx="7">
                  <c:v>0.67</c:v>
                </c:pt>
                <c:pt idx="8">
                  <c:v>0.3</c:v>
                </c:pt>
                <c:pt idx="9">
                  <c:v>0.79</c:v>
                </c:pt>
                <c:pt idx="10">
                  <c:v>0.73</c:v>
                </c:pt>
                <c:pt idx="11">
                  <c:v>0.22</c:v>
                </c:pt>
                <c:pt idx="12">
                  <c:v>0.38</c:v>
                </c:pt>
                <c:pt idx="13">
                  <c:v>0.47</c:v>
                </c:pt>
                <c:pt idx="14">
                  <c:v>0.56999999999999995</c:v>
                </c:pt>
                <c:pt idx="15">
                  <c:v>0.70167064439140814</c:v>
                </c:pt>
                <c:pt idx="16">
                  <c:v>0.70392749244712993</c:v>
                </c:pt>
                <c:pt idx="17">
                  <c:v>0.48058252427184467</c:v>
                </c:pt>
                <c:pt idx="18">
                  <c:v>0.61585365853658536</c:v>
                </c:pt>
                <c:pt idx="19">
                  <c:v>0.14184397163120568</c:v>
                </c:pt>
                <c:pt idx="20">
                  <c:v>0.23</c:v>
                </c:pt>
              </c:numCache>
            </c:numRef>
          </c:val>
          <c:extLst>
            <c:ext xmlns:c16="http://schemas.microsoft.com/office/drawing/2014/chart" uri="{C3380CC4-5D6E-409C-BE32-E72D297353CC}">
              <c16:uniqueId val="{00000000-D366-4D66-9DCA-74FCBF8B301F}"/>
            </c:ext>
          </c:extLst>
        </c:ser>
        <c:dLbls>
          <c:showLegendKey val="0"/>
          <c:showVal val="0"/>
          <c:showCatName val="0"/>
          <c:showSerName val="0"/>
          <c:showPercent val="0"/>
          <c:showBubbleSize val="0"/>
        </c:dLbls>
        <c:gapWidth val="54"/>
        <c:axId val="325008000"/>
        <c:axId val="325013888"/>
      </c:barChart>
      <c:catAx>
        <c:axId val="325008000"/>
        <c:scaling>
          <c:orientation val="minMax"/>
        </c:scaling>
        <c:delete val="0"/>
        <c:axPos val="b"/>
        <c:numFmt formatCode="General" sourceLinked="0"/>
        <c:majorTickMark val="out"/>
        <c:minorTickMark val="none"/>
        <c:tickLblPos val="nextTo"/>
        <c:txPr>
          <a:bodyPr rot="1800000" vert="horz"/>
          <a:lstStyle/>
          <a:p>
            <a:pPr>
              <a:defRPr sz="900">
                <a:latin typeface="Arial" panose="020B0604020202020204" pitchFamily="34" charset="0"/>
                <a:cs typeface="Arial" panose="020B0604020202020204" pitchFamily="34" charset="0"/>
              </a:defRPr>
            </a:pPr>
            <a:endParaRPr lang="en-US"/>
          </a:p>
        </c:txPr>
        <c:crossAx val="325013888"/>
        <c:crosses val="autoZero"/>
        <c:auto val="1"/>
        <c:lblAlgn val="ctr"/>
        <c:lblOffset val="100"/>
        <c:noMultiLvlLbl val="0"/>
      </c:catAx>
      <c:valAx>
        <c:axId val="325013888"/>
        <c:scaling>
          <c:orientation val="minMax"/>
          <c:max val="0.9"/>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08000"/>
        <c:crosses val="autoZero"/>
        <c:crossBetween val="between"/>
      </c:valAx>
    </c:plotArea>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Net units completed by Ward 2023/24</a:t>
            </a:r>
            <a:endParaRPr lang="en-GB">
              <a:solidFill>
                <a:sysClr val="windowText" lastClr="000000"/>
              </a:solidFill>
            </a:endParaRP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37868124718705576"/>
          <c:y val="0.1076958468426741"/>
          <c:w val="0.5882621463488541"/>
          <c:h val="0.80917153002933462"/>
        </c:manualLayout>
      </c:layout>
      <c:barChart>
        <c:barDir val="bar"/>
        <c:grouping val="clustered"/>
        <c:varyColors val="0"/>
        <c:ser>
          <c:idx val="1"/>
          <c:order val="0"/>
          <c:tx>
            <c:strRef>
              <c:f>'Summary Tables'!$H$230</c:f>
              <c:strCache>
                <c:ptCount val="1"/>
                <c:pt idx="0">
                  <c:v>Net Gain</c:v>
                </c:pt>
              </c:strCache>
            </c:strRef>
          </c:tx>
          <c:spPr>
            <a:solidFill>
              <a:srgbClr val="0070C0"/>
            </a:solidFill>
            <a:ln w="12700">
              <a:solidFill>
                <a:srgbClr val="002060"/>
              </a:solidFill>
            </a:ln>
          </c:spPr>
          <c:invertIfNegative val="0"/>
          <c:dLbls>
            <c:delete val="1"/>
          </c:dLbls>
          <c:cat>
            <c:strRef>
              <c:f>'Summary Tables'!$C$231:$C$248</c:f>
              <c:strCache>
                <c:ptCount val="18"/>
                <c:pt idx="0">
                  <c:v>Barnes</c:v>
                </c:pt>
                <c:pt idx="1">
                  <c:v>East Sheen</c:v>
                </c:pt>
                <c:pt idx="2">
                  <c:v>Fulwell &amp; Hampton Hill</c:v>
                </c:pt>
                <c:pt idx="3">
                  <c:v>Ham, Petersham &amp; Richmond Riverside</c:v>
                </c:pt>
                <c:pt idx="4">
                  <c:v>Hampton</c:v>
                </c:pt>
                <c:pt idx="5">
                  <c:v>Hampton North</c:v>
                </c:pt>
                <c:pt idx="6">
                  <c:v>Hampton Wick &amp; South Teddington</c:v>
                </c:pt>
                <c:pt idx="7">
                  <c:v>Heathfield</c:v>
                </c:pt>
                <c:pt idx="8">
                  <c:v>Kew</c:v>
                </c:pt>
                <c:pt idx="9">
                  <c:v>Mortlake &amp; Barnes Common</c:v>
                </c:pt>
                <c:pt idx="10">
                  <c:v>North Richmond</c:v>
                </c:pt>
                <c:pt idx="11">
                  <c:v>South Richmond</c:v>
                </c:pt>
                <c:pt idx="12">
                  <c:v>South Twickenham</c:v>
                </c:pt>
                <c:pt idx="13">
                  <c:v>St. Margarets &amp; North Twickenham</c:v>
                </c:pt>
                <c:pt idx="14">
                  <c:v>Teddington</c:v>
                </c:pt>
                <c:pt idx="15">
                  <c:v>Twickenham Riverside</c:v>
                </c:pt>
                <c:pt idx="16">
                  <c:v>West Twickenham</c:v>
                </c:pt>
                <c:pt idx="17">
                  <c:v>Whitton</c:v>
                </c:pt>
              </c:strCache>
            </c:strRef>
          </c:cat>
          <c:val>
            <c:numRef>
              <c:f>'Summary Tables'!$H$231:$H$248</c:f>
              <c:numCache>
                <c:formatCode>#,##0</c:formatCode>
                <c:ptCount val="18"/>
                <c:pt idx="0">
                  <c:v>-2</c:v>
                </c:pt>
                <c:pt idx="1">
                  <c:v>7</c:v>
                </c:pt>
                <c:pt idx="2">
                  <c:v>15</c:v>
                </c:pt>
                <c:pt idx="3">
                  <c:v>2</c:v>
                </c:pt>
                <c:pt idx="4">
                  <c:v>4</c:v>
                </c:pt>
                <c:pt idx="5">
                  <c:v>10</c:v>
                </c:pt>
                <c:pt idx="6">
                  <c:v>2</c:v>
                </c:pt>
                <c:pt idx="7">
                  <c:v>16</c:v>
                </c:pt>
                <c:pt idx="8">
                  <c:v>4</c:v>
                </c:pt>
                <c:pt idx="9">
                  <c:v>1</c:v>
                </c:pt>
                <c:pt idx="10">
                  <c:v>11</c:v>
                </c:pt>
                <c:pt idx="11">
                  <c:v>9</c:v>
                </c:pt>
                <c:pt idx="12">
                  <c:v>2</c:v>
                </c:pt>
                <c:pt idx="13">
                  <c:v>19</c:v>
                </c:pt>
                <c:pt idx="14">
                  <c:v>1</c:v>
                </c:pt>
                <c:pt idx="15">
                  <c:v>5</c:v>
                </c:pt>
                <c:pt idx="16">
                  <c:v>0</c:v>
                </c:pt>
                <c:pt idx="17">
                  <c:v>-6</c:v>
                </c:pt>
              </c:numCache>
            </c:numRef>
          </c:val>
          <c:extLst>
            <c:ext xmlns:c16="http://schemas.microsoft.com/office/drawing/2014/chart" uri="{C3380CC4-5D6E-409C-BE32-E72D297353CC}">
              <c16:uniqueId val="{00000000-8987-4965-A98D-B9DD2FF8DB67}"/>
            </c:ext>
          </c:extLst>
        </c:ser>
        <c:dLbls>
          <c:showLegendKey val="0"/>
          <c:showVal val="1"/>
          <c:showCatName val="0"/>
          <c:showSerName val="0"/>
          <c:showPercent val="0"/>
          <c:showBubbleSize val="0"/>
        </c:dLbls>
        <c:gapWidth val="0"/>
        <c:overlap val="100"/>
        <c:axId val="324732032"/>
        <c:axId val="324733568"/>
      </c:barChart>
      <c:catAx>
        <c:axId val="324732032"/>
        <c:scaling>
          <c:orientation val="maxMin"/>
        </c:scaling>
        <c:delete val="0"/>
        <c:axPos val="l"/>
        <c:numFmt formatCode="General" sourceLinked="1"/>
        <c:majorTickMark val="out"/>
        <c:minorTickMark val="none"/>
        <c:tickLblPos val="low"/>
        <c:txPr>
          <a:bodyPr rot="0" vert="horz"/>
          <a:lstStyle/>
          <a:p>
            <a:pPr>
              <a:defRPr/>
            </a:pPr>
            <a:endParaRPr lang="en-US"/>
          </a:p>
        </c:txPr>
        <c:crossAx val="324733568"/>
        <c:crossesAt val="0"/>
        <c:auto val="1"/>
        <c:lblAlgn val="ctr"/>
        <c:lblOffset val="100"/>
        <c:tickLblSkip val="1"/>
        <c:noMultiLvlLbl val="0"/>
      </c:catAx>
      <c:valAx>
        <c:axId val="324733568"/>
        <c:scaling>
          <c:orientation val="minMax"/>
          <c:max val="20"/>
          <c:min val="0"/>
        </c:scaling>
        <c:delete val="0"/>
        <c:axPos val="b"/>
        <c:majorGridlines>
          <c:spPr>
            <a:ln w="3175">
              <a:solidFill>
                <a:srgbClr val="BEBEBE"/>
              </a:solidFill>
              <a:prstDash val="solid"/>
            </a:ln>
          </c:spPr>
        </c:majorGridlines>
        <c:minorGridlines/>
        <c:numFmt formatCode="General" sourceLinked="0"/>
        <c:majorTickMark val="out"/>
        <c:minorTickMark val="out"/>
        <c:tickLblPos val="high"/>
        <c:spPr>
          <a:ln>
            <a:solidFill>
              <a:schemeClr val="bg1">
                <a:lumMod val="75000"/>
              </a:schemeClr>
            </a:solidFill>
          </a:ln>
        </c:spPr>
        <c:txPr>
          <a:bodyPr rot="0" vert="horz"/>
          <a:lstStyle/>
          <a:p>
            <a:pPr>
              <a:defRPr/>
            </a:pPr>
            <a:endParaRPr lang="en-US"/>
          </a:p>
        </c:txPr>
        <c:crossAx val="324732032"/>
        <c:crosses val="max"/>
        <c:crossBetween val="between"/>
        <c:majorUnit val="5"/>
        <c:minorUnit val="5"/>
      </c:valAx>
    </c:plotArea>
    <c:plotVisOnly val="1"/>
    <c:dispBlanksAs val="gap"/>
    <c:showDLblsOverMax val="0"/>
  </c:chart>
  <c:spPr>
    <a:solidFill>
      <a:srgbClr val="FFFFFF"/>
    </a:solidFill>
    <a:ln w="3175">
      <a:solidFill>
        <a:schemeClr val="bg1">
          <a:lumMod val="50000"/>
        </a:schemeClr>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385735601933279E-2"/>
          <c:y val="2.2194088484037533E-2"/>
          <c:w val="0.5950272836468723"/>
          <c:h val="0.94294752371639823"/>
        </c:manualLayout>
      </c:layout>
      <c:pieChart>
        <c:varyColors val="1"/>
        <c:ser>
          <c:idx val="0"/>
          <c:order val="0"/>
          <c:tx>
            <c:strRef>
              <c:f>'Summary Tables'!$C$307:$D$307</c:f>
              <c:strCache>
                <c:ptCount val="2"/>
                <c:pt idx="0">
                  <c:v>Market</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A6C8-45CA-9FB8-FF22091104E2}"/>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A6C8-45CA-9FB8-FF22091104E2}"/>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A6C8-45CA-9FB8-FF22091104E2}"/>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A6C8-45CA-9FB8-FF22091104E2}"/>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A6C8-45CA-9FB8-FF22091104E2}"/>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A6C8-45CA-9FB8-FF22091104E2}"/>
              </c:ext>
            </c:extLst>
          </c:dPt>
          <c:cat>
            <c:strRef>
              <c:f>'Summary Tables'!$E$306:$H$306</c:f>
              <c:strCache>
                <c:ptCount val="4"/>
                <c:pt idx="0">
                  <c:v>1 bed</c:v>
                </c:pt>
                <c:pt idx="1">
                  <c:v>2 bed</c:v>
                </c:pt>
                <c:pt idx="2">
                  <c:v>3 bed</c:v>
                </c:pt>
                <c:pt idx="3">
                  <c:v>4 + bed</c:v>
                </c:pt>
              </c:strCache>
            </c:strRef>
          </c:cat>
          <c:val>
            <c:numRef>
              <c:f>'Summary Tables'!$E$315:$H$315</c:f>
              <c:numCache>
                <c:formatCode>#,##0</c:formatCode>
                <c:ptCount val="4"/>
                <c:pt idx="0">
                  <c:v>42</c:v>
                </c:pt>
                <c:pt idx="1">
                  <c:v>21</c:v>
                </c:pt>
                <c:pt idx="2">
                  <c:v>7</c:v>
                </c:pt>
                <c:pt idx="3">
                  <c:v>11</c:v>
                </c:pt>
              </c:numCache>
            </c:numRef>
          </c:val>
          <c:extLst>
            <c:ext xmlns:c16="http://schemas.microsoft.com/office/drawing/2014/chart" uri="{C3380CC4-5D6E-409C-BE32-E72D297353CC}">
              <c16:uniqueId val="{0000000C-A6C8-45CA-9FB8-FF22091104E2}"/>
            </c:ext>
          </c:extLst>
        </c:ser>
        <c:ser>
          <c:idx val="1"/>
          <c:order val="1"/>
          <c:tx>
            <c:strRef>
              <c:f>'Summary Tables'!$C$308:$D$308</c:f>
              <c:strCache>
                <c:ptCount val="2"/>
                <c:pt idx="0">
                  <c:v>Market</c:v>
                </c:pt>
              </c:strCache>
            </c:strRef>
          </c:tx>
          <c:cat>
            <c:strRef>
              <c:f>'Summary Tables'!$E$306:$H$306</c:f>
              <c:strCache>
                <c:ptCount val="4"/>
                <c:pt idx="0">
                  <c:v>1 bed</c:v>
                </c:pt>
                <c:pt idx="1">
                  <c:v>2 bed</c:v>
                </c:pt>
                <c:pt idx="2">
                  <c:v>3 bed</c:v>
                </c:pt>
                <c:pt idx="3">
                  <c:v>4 + bed</c:v>
                </c:pt>
              </c:strCache>
            </c:strRef>
          </c:cat>
          <c:val>
            <c:numRef>
              <c:f>'Summary Tables'!$E$308:$H$308</c:f>
              <c:numCache>
                <c:formatCode>0%</c:formatCode>
                <c:ptCount val="4"/>
                <c:pt idx="0">
                  <c:v>8.6419753086419748E-2</c:v>
                </c:pt>
                <c:pt idx="1">
                  <c:v>0.22222222222222221</c:v>
                </c:pt>
                <c:pt idx="2">
                  <c:v>8.6419753086419748E-2</c:v>
                </c:pt>
                <c:pt idx="3">
                  <c:v>0.1111111111111111</c:v>
                </c:pt>
              </c:numCache>
            </c:numRef>
          </c:val>
          <c:extLst>
            <c:ext xmlns:c16="http://schemas.microsoft.com/office/drawing/2014/chart" uri="{C3380CC4-5D6E-409C-BE32-E72D297353CC}">
              <c16:uniqueId val="{0000000D-A6C8-45CA-9FB8-FF22091104E2}"/>
            </c:ext>
          </c:extLst>
        </c:ser>
        <c:ser>
          <c:idx val="2"/>
          <c:order val="2"/>
          <c:tx>
            <c:strRef>
              <c:f>'Summary Tables'!$C$309:$D$309</c:f>
              <c:strCache>
                <c:ptCount val="2"/>
                <c:pt idx="0">
                  <c:v>Intermediate</c:v>
                </c:pt>
              </c:strCache>
            </c:strRef>
          </c:tx>
          <c:cat>
            <c:strRef>
              <c:f>'Summary Tables'!$E$306:$H$306</c:f>
              <c:strCache>
                <c:ptCount val="4"/>
                <c:pt idx="0">
                  <c:v>1 bed</c:v>
                </c:pt>
                <c:pt idx="1">
                  <c:v>2 bed</c:v>
                </c:pt>
                <c:pt idx="2">
                  <c:v>3 bed</c:v>
                </c:pt>
                <c:pt idx="3">
                  <c:v>4 + bed</c:v>
                </c:pt>
              </c:strCache>
            </c:strRef>
          </c:cat>
          <c:val>
            <c:numRef>
              <c:f>'Summary Tables'!$E$309:$H$309</c:f>
              <c:numCache>
                <c:formatCode>#,##0</c:formatCode>
                <c:ptCount val="4"/>
                <c:pt idx="0">
                  <c:v>10</c:v>
                </c:pt>
                <c:pt idx="1">
                  <c:v>3</c:v>
                </c:pt>
                <c:pt idx="2">
                  <c:v>0</c:v>
                </c:pt>
                <c:pt idx="3">
                  <c:v>0</c:v>
                </c:pt>
              </c:numCache>
            </c:numRef>
          </c:val>
          <c:extLst>
            <c:ext xmlns:c16="http://schemas.microsoft.com/office/drawing/2014/chart" uri="{C3380CC4-5D6E-409C-BE32-E72D297353CC}">
              <c16:uniqueId val="{0000000E-A6C8-45CA-9FB8-FF22091104E2}"/>
            </c:ext>
          </c:extLst>
        </c:ser>
        <c:ser>
          <c:idx val="3"/>
          <c:order val="3"/>
          <c:tx>
            <c:strRef>
              <c:f>'Summary Tables'!$C$310:$D$310</c:f>
              <c:strCache>
                <c:ptCount val="2"/>
                <c:pt idx="0">
                  <c:v>Intermediate</c:v>
                </c:pt>
              </c:strCache>
            </c:strRef>
          </c:tx>
          <c:cat>
            <c:strRef>
              <c:f>'Summary Tables'!$E$306:$H$306</c:f>
              <c:strCache>
                <c:ptCount val="4"/>
                <c:pt idx="0">
                  <c:v>1 bed</c:v>
                </c:pt>
                <c:pt idx="1">
                  <c:v>2 bed</c:v>
                </c:pt>
                <c:pt idx="2">
                  <c:v>3 bed</c:v>
                </c:pt>
                <c:pt idx="3">
                  <c:v>4 + bed</c:v>
                </c:pt>
              </c:strCache>
            </c:strRef>
          </c:cat>
          <c:val>
            <c:numRef>
              <c:f>'Summary Tables'!$E$310:$H$310</c:f>
              <c:numCache>
                <c:formatCode>0%</c:formatCode>
                <c:ptCount val="4"/>
                <c:pt idx="0">
                  <c:v>0.12345679012345678</c:v>
                </c:pt>
                <c:pt idx="1">
                  <c:v>3.7037037037037035E-2</c:v>
                </c:pt>
                <c:pt idx="2">
                  <c:v>0</c:v>
                </c:pt>
                <c:pt idx="3">
                  <c:v>0</c:v>
                </c:pt>
              </c:numCache>
            </c:numRef>
          </c:val>
          <c:extLst>
            <c:ext xmlns:c16="http://schemas.microsoft.com/office/drawing/2014/chart" uri="{C3380CC4-5D6E-409C-BE32-E72D297353CC}">
              <c16:uniqueId val="{0000000F-A6C8-45CA-9FB8-FF22091104E2}"/>
            </c:ext>
          </c:extLst>
        </c:ser>
        <c:ser>
          <c:idx val="4"/>
          <c:order val="4"/>
          <c:tx>
            <c:strRef>
              <c:f>'Summary Tables'!$C$311:$D$311</c:f>
              <c:strCache>
                <c:ptCount val="2"/>
                <c:pt idx="0">
                  <c:v>Affordable Rented</c:v>
                </c:pt>
              </c:strCache>
            </c:strRef>
          </c:tx>
          <c:cat>
            <c:strRef>
              <c:f>'Summary Tables'!$E$306:$H$306</c:f>
              <c:strCache>
                <c:ptCount val="4"/>
                <c:pt idx="0">
                  <c:v>1 bed</c:v>
                </c:pt>
                <c:pt idx="1">
                  <c:v>2 bed</c:v>
                </c:pt>
                <c:pt idx="2">
                  <c:v>3 bed</c:v>
                </c:pt>
                <c:pt idx="3">
                  <c:v>4 + bed</c:v>
                </c:pt>
              </c:strCache>
            </c:strRef>
          </c:cat>
          <c:val>
            <c:numRef>
              <c:f>'Summary Tables'!$E$311:$H$311</c:f>
              <c:numCache>
                <c:formatCode>#,##0</c:formatCode>
                <c:ptCount val="4"/>
                <c:pt idx="0">
                  <c:v>25</c:v>
                </c:pt>
                <c:pt idx="1">
                  <c:v>0</c:v>
                </c:pt>
                <c:pt idx="2">
                  <c:v>0</c:v>
                </c:pt>
                <c:pt idx="3">
                  <c:v>2</c:v>
                </c:pt>
              </c:numCache>
            </c:numRef>
          </c:val>
          <c:extLst>
            <c:ext xmlns:c16="http://schemas.microsoft.com/office/drawing/2014/chart" uri="{C3380CC4-5D6E-409C-BE32-E72D297353CC}">
              <c16:uniqueId val="{00000010-A6C8-45CA-9FB8-FF22091104E2}"/>
            </c:ext>
          </c:extLst>
        </c:ser>
        <c:ser>
          <c:idx val="5"/>
          <c:order val="5"/>
          <c:tx>
            <c:strRef>
              <c:f>'Summary Tables'!$C$312:$D$312</c:f>
              <c:strCache>
                <c:ptCount val="2"/>
                <c:pt idx="0">
                  <c:v>Affordable Rented</c:v>
                </c:pt>
              </c:strCache>
            </c:strRef>
          </c:tx>
          <c:cat>
            <c:strRef>
              <c:f>'Summary Tables'!$E$306:$H$306</c:f>
              <c:strCache>
                <c:ptCount val="4"/>
                <c:pt idx="0">
                  <c:v>1 bed</c:v>
                </c:pt>
                <c:pt idx="1">
                  <c:v>2 bed</c:v>
                </c:pt>
                <c:pt idx="2">
                  <c:v>3 bed</c:v>
                </c:pt>
                <c:pt idx="3">
                  <c:v>4 + bed</c:v>
                </c:pt>
              </c:strCache>
            </c:strRef>
          </c:cat>
          <c:val>
            <c:numRef>
              <c:f>'Summary Tables'!$E$312:$H$312</c:f>
              <c:numCache>
                <c:formatCode>0%</c:formatCode>
                <c:ptCount val="4"/>
                <c:pt idx="0">
                  <c:v>0.30864197530864196</c:v>
                </c:pt>
                <c:pt idx="1">
                  <c:v>0</c:v>
                </c:pt>
                <c:pt idx="2">
                  <c:v>0</c:v>
                </c:pt>
                <c:pt idx="3">
                  <c:v>2.4691358024691357E-2</c:v>
                </c:pt>
              </c:numCache>
            </c:numRef>
          </c:val>
          <c:extLst>
            <c:ext xmlns:c16="http://schemas.microsoft.com/office/drawing/2014/chart" uri="{C3380CC4-5D6E-409C-BE32-E72D297353CC}">
              <c16:uniqueId val="{00000011-A6C8-45CA-9FB8-FF22091104E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874345549738221"/>
          <c:y val="0.15686343128677543"/>
          <c:w val="0.23790150246967159"/>
          <c:h val="0.5559748168733810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chemeClr val="bg1">
          <a:lumMod val="50000"/>
        </a:schemeClr>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33727034122E-2"/>
          <c:y val="3.7866913694611704E-2"/>
          <c:w val="0.62285474081364833"/>
          <c:h val="0.93794596263702334"/>
        </c:manualLayout>
      </c:layout>
      <c:pieChart>
        <c:varyColors val="1"/>
        <c:ser>
          <c:idx val="0"/>
          <c:order val="0"/>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8ECE-44F6-A3A6-CC423A8406A4}"/>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8ECE-44F6-A3A6-CC423A8406A4}"/>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8ECE-44F6-A3A6-CC423A8406A4}"/>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8ECE-44F6-A3A6-CC423A8406A4}"/>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8ECE-44F6-A3A6-CC423A8406A4}"/>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8ECE-44F6-A3A6-CC423A8406A4}"/>
              </c:ext>
            </c:extLst>
          </c:dPt>
          <c:cat>
            <c:strRef>
              <c:f>'Summary Tables'!$E$320:$H$320</c:f>
              <c:strCache>
                <c:ptCount val="4"/>
                <c:pt idx="0">
                  <c:v>1 bed</c:v>
                </c:pt>
                <c:pt idx="1">
                  <c:v>2 bed</c:v>
                </c:pt>
                <c:pt idx="2">
                  <c:v>3 bed</c:v>
                </c:pt>
                <c:pt idx="3">
                  <c:v>4 + bed</c:v>
                </c:pt>
              </c:strCache>
            </c:strRef>
          </c:cat>
          <c:val>
            <c:numRef>
              <c:f>'Summary Tables'!$E$329:$H$329</c:f>
              <c:numCache>
                <c:formatCode>#,##0</c:formatCode>
                <c:ptCount val="4"/>
                <c:pt idx="0">
                  <c:v>179</c:v>
                </c:pt>
                <c:pt idx="1">
                  <c:v>233</c:v>
                </c:pt>
                <c:pt idx="2">
                  <c:v>70</c:v>
                </c:pt>
                <c:pt idx="3">
                  <c:v>24</c:v>
                </c:pt>
              </c:numCache>
            </c:numRef>
          </c:val>
          <c:extLst>
            <c:ext xmlns:c16="http://schemas.microsoft.com/office/drawing/2014/chart" uri="{C3380CC4-5D6E-409C-BE32-E72D297353CC}">
              <c16:uniqueId val="{0000000C-8ECE-44F6-A3A6-CC423A8406A4}"/>
            </c:ext>
          </c:extLst>
        </c:ser>
        <c:ser>
          <c:idx val="1"/>
          <c:order val="1"/>
          <c:cat>
            <c:strRef>
              <c:f>'Summary Tables'!$E$320:$H$320</c:f>
              <c:strCache>
                <c:ptCount val="4"/>
                <c:pt idx="0">
                  <c:v>1 bed</c:v>
                </c:pt>
                <c:pt idx="1">
                  <c:v>2 bed</c:v>
                </c:pt>
                <c:pt idx="2">
                  <c:v>3 bed</c:v>
                </c:pt>
                <c:pt idx="3">
                  <c:v>4 + bed</c:v>
                </c:pt>
              </c:strCache>
            </c:strRef>
          </c:cat>
          <c:val>
            <c:numRef>
              <c:f>'Summary Tables'!$E$322:$H$322</c:f>
              <c:numCache>
                <c:formatCode>0%</c:formatCode>
                <c:ptCount val="4"/>
                <c:pt idx="0">
                  <c:v>0.17984189723320157</c:v>
                </c:pt>
                <c:pt idx="1">
                  <c:v>0.30039525691699603</c:v>
                </c:pt>
                <c:pt idx="2">
                  <c:v>8.4980237154150193E-2</c:v>
                </c:pt>
                <c:pt idx="3">
                  <c:v>4.7430830039525688E-2</c:v>
                </c:pt>
              </c:numCache>
            </c:numRef>
          </c:val>
          <c:extLst>
            <c:ext xmlns:c16="http://schemas.microsoft.com/office/drawing/2014/chart" uri="{C3380CC4-5D6E-409C-BE32-E72D297353CC}">
              <c16:uniqueId val="{0000000D-8ECE-44F6-A3A6-CC423A8406A4}"/>
            </c:ext>
          </c:extLst>
        </c:ser>
        <c:ser>
          <c:idx val="2"/>
          <c:order val="2"/>
          <c:cat>
            <c:strRef>
              <c:f>'Summary Tables'!$E$320:$H$320</c:f>
              <c:strCache>
                <c:ptCount val="4"/>
                <c:pt idx="0">
                  <c:v>1 bed</c:v>
                </c:pt>
                <c:pt idx="1">
                  <c:v>2 bed</c:v>
                </c:pt>
                <c:pt idx="2">
                  <c:v>3 bed</c:v>
                </c:pt>
                <c:pt idx="3">
                  <c:v>4 + bed</c:v>
                </c:pt>
              </c:strCache>
            </c:strRef>
          </c:cat>
          <c:val>
            <c:numRef>
              <c:f>'Summary Tables'!$E$323:$H$323</c:f>
              <c:numCache>
                <c:formatCode>#,##0</c:formatCode>
                <c:ptCount val="4"/>
                <c:pt idx="0">
                  <c:v>37</c:v>
                </c:pt>
                <c:pt idx="1">
                  <c:v>51</c:v>
                </c:pt>
                <c:pt idx="2">
                  <c:v>13</c:v>
                </c:pt>
                <c:pt idx="3">
                  <c:v>0</c:v>
                </c:pt>
              </c:numCache>
            </c:numRef>
          </c:val>
          <c:extLst>
            <c:ext xmlns:c16="http://schemas.microsoft.com/office/drawing/2014/chart" uri="{C3380CC4-5D6E-409C-BE32-E72D297353CC}">
              <c16:uniqueId val="{0000000E-8ECE-44F6-A3A6-CC423A8406A4}"/>
            </c:ext>
          </c:extLst>
        </c:ser>
        <c:ser>
          <c:idx val="3"/>
          <c:order val="3"/>
          <c:cat>
            <c:strRef>
              <c:f>'Summary Tables'!$E$320:$H$320</c:f>
              <c:strCache>
                <c:ptCount val="4"/>
                <c:pt idx="0">
                  <c:v>1 bed</c:v>
                </c:pt>
                <c:pt idx="1">
                  <c:v>2 bed</c:v>
                </c:pt>
                <c:pt idx="2">
                  <c:v>3 bed</c:v>
                </c:pt>
                <c:pt idx="3">
                  <c:v>4 + bed</c:v>
                </c:pt>
              </c:strCache>
            </c:strRef>
          </c:cat>
          <c:val>
            <c:numRef>
              <c:f>'Summary Tables'!$E$324:$H$324</c:f>
              <c:numCache>
                <c:formatCode>0%</c:formatCode>
                <c:ptCount val="4"/>
                <c:pt idx="0">
                  <c:v>7.3122529644268769E-2</c:v>
                </c:pt>
                <c:pt idx="1">
                  <c:v>0.1007905138339921</c:v>
                </c:pt>
                <c:pt idx="2">
                  <c:v>2.5691699604743084E-2</c:v>
                </c:pt>
                <c:pt idx="3">
                  <c:v>0</c:v>
                </c:pt>
              </c:numCache>
            </c:numRef>
          </c:val>
          <c:extLst>
            <c:ext xmlns:c16="http://schemas.microsoft.com/office/drawing/2014/chart" uri="{C3380CC4-5D6E-409C-BE32-E72D297353CC}">
              <c16:uniqueId val="{0000000F-8ECE-44F6-A3A6-CC423A8406A4}"/>
            </c:ext>
          </c:extLst>
        </c:ser>
        <c:ser>
          <c:idx val="4"/>
          <c:order val="4"/>
          <c:cat>
            <c:strRef>
              <c:f>'Summary Tables'!$E$320:$H$320</c:f>
              <c:strCache>
                <c:ptCount val="4"/>
                <c:pt idx="0">
                  <c:v>1 bed</c:v>
                </c:pt>
                <c:pt idx="1">
                  <c:v>2 bed</c:v>
                </c:pt>
                <c:pt idx="2">
                  <c:v>3 bed</c:v>
                </c:pt>
                <c:pt idx="3">
                  <c:v>4 + bed</c:v>
                </c:pt>
              </c:strCache>
            </c:strRef>
          </c:cat>
          <c:val>
            <c:numRef>
              <c:f>'Summary Tables'!$E$325:$H$325</c:f>
              <c:numCache>
                <c:formatCode>#,##0</c:formatCode>
                <c:ptCount val="4"/>
                <c:pt idx="0">
                  <c:v>51</c:v>
                </c:pt>
                <c:pt idx="1">
                  <c:v>30</c:v>
                </c:pt>
                <c:pt idx="2">
                  <c:v>14</c:v>
                </c:pt>
                <c:pt idx="3">
                  <c:v>0</c:v>
                </c:pt>
              </c:numCache>
            </c:numRef>
          </c:val>
          <c:extLst>
            <c:ext xmlns:c16="http://schemas.microsoft.com/office/drawing/2014/chart" uri="{C3380CC4-5D6E-409C-BE32-E72D297353CC}">
              <c16:uniqueId val="{00000010-8ECE-44F6-A3A6-CC423A8406A4}"/>
            </c:ext>
          </c:extLst>
        </c:ser>
        <c:ser>
          <c:idx val="5"/>
          <c:order val="5"/>
          <c:cat>
            <c:strRef>
              <c:f>'Summary Tables'!$E$320:$H$320</c:f>
              <c:strCache>
                <c:ptCount val="4"/>
                <c:pt idx="0">
                  <c:v>1 bed</c:v>
                </c:pt>
                <c:pt idx="1">
                  <c:v>2 bed</c:v>
                </c:pt>
                <c:pt idx="2">
                  <c:v>3 bed</c:v>
                </c:pt>
                <c:pt idx="3">
                  <c:v>4 + bed</c:v>
                </c:pt>
              </c:strCache>
            </c:strRef>
          </c:cat>
          <c:val>
            <c:numRef>
              <c:f>'Summary Tables'!$E$326:$H$326</c:f>
              <c:numCache>
                <c:formatCode>0%</c:formatCode>
                <c:ptCount val="4"/>
                <c:pt idx="0">
                  <c:v>0.1007905138339921</c:v>
                </c:pt>
                <c:pt idx="1">
                  <c:v>5.9288537549407112E-2</c:v>
                </c:pt>
                <c:pt idx="2">
                  <c:v>2.766798418972332E-2</c:v>
                </c:pt>
                <c:pt idx="3">
                  <c:v>0</c:v>
                </c:pt>
              </c:numCache>
            </c:numRef>
          </c:val>
          <c:extLst>
            <c:ext xmlns:c16="http://schemas.microsoft.com/office/drawing/2014/chart" uri="{C3380CC4-5D6E-409C-BE32-E72D297353CC}">
              <c16:uniqueId val="{00000011-8ECE-44F6-A3A6-CC423A8406A4}"/>
            </c:ext>
          </c:extLst>
        </c:ser>
        <c:ser>
          <c:idx val="6"/>
          <c:order val="6"/>
          <c:cat>
            <c:strRef>
              <c:f>'Summary Tables'!$E$320:$H$320</c:f>
              <c:strCache>
                <c:ptCount val="4"/>
                <c:pt idx="0">
                  <c:v>1 bed</c:v>
                </c:pt>
                <c:pt idx="1">
                  <c:v>2 bed</c:v>
                </c:pt>
                <c:pt idx="2">
                  <c:v>3 bed</c:v>
                </c:pt>
                <c:pt idx="3">
                  <c:v>4 + bed</c:v>
                </c:pt>
              </c:strCache>
            </c:strRef>
          </c:cat>
          <c:val>
            <c:numRef>
              <c:f>'Summary Tables'!$E$327:$H$327</c:f>
              <c:numCache>
                <c:formatCode>#,##0</c:formatCode>
                <c:ptCount val="4"/>
                <c:pt idx="0">
                  <c:v>0</c:v>
                </c:pt>
                <c:pt idx="1">
                  <c:v>0</c:v>
                </c:pt>
                <c:pt idx="2">
                  <c:v>0</c:v>
                </c:pt>
                <c:pt idx="3">
                  <c:v>0</c:v>
                </c:pt>
              </c:numCache>
            </c:numRef>
          </c:val>
          <c:extLst>
            <c:ext xmlns:c16="http://schemas.microsoft.com/office/drawing/2014/chart" uri="{C3380CC4-5D6E-409C-BE32-E72D297353CC}">
              <c16:uniqueId val="{00000012-8ECE-44F6-A3A6-CC423A8406A4}"/>
            </c:ext>
          </c:extLst>
        </c:ser>
        <c:ser>
          <c:idx val="7"/>
          <c:order val="7"/>
          <c:cat>
            <c:strRef>
              <c:f>'Summary Tables'!$E$320:$H$320</c:f>
              <c:strCache>
                <c:ptCount val="4"/>
                <c:pt idx="0">
                  <c:v>1 bed</c:v>
                </c:pt>
                <c:pt idx="1">
                  <c:v>2 bed</c:v>
                </c:pt>
                <c:pt idx="2">
                  <c:v>3 bed</c:v>
                </c:pt>
                <c:pt idx="3">
                  <c:v>4 + bed</c:v>
                </c:pt>
              </c:strCache>
            </c:strRef>
          </c:cat>
          <c:val>
            <c:numRef>
              <c:f>'Summary Tables'!$E$328:$H$328</c:f>
              <c:numCache>
                <c:formatCode>0%</c:formatCode>
                <c:ptCount val="4"/>
                <c:pt idx="0">
                  <c:v>0</c:v>
                </c:pt>
                <c:pt idx="1">
                  <c:v>0</c:v>
                </c:pt>
                <c:pt idx="2">
                  <c:v>0</c:v>
                </c:pt>
                <c:pt idx="3">
                  <c:v>0</c:v>
                </c:pt>
              </c:numCache>
            </c:numRef>
          </c:val>
          <c:extLst>
            <c:ext xmlns:c16="http://schemas.microsoft.com/office/drawing/2014/chart" uri="{C3380CC4-5D6E-409C-BE32-E72D297353CC}">
              <c16:uniqueId val="{00000013-8ECE-44F6-A3A6-CC423A8406A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23543615452958339"/>
          <c:h val="0.4524688669235494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Net units with planning permission by Ward 2023/24</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40203382947539906"/>
          <c:y val="7.2401732915915631E-2"/>
          <c:w val="0.56490969759946374"/>
          <c:h val="0.84446573696360239"/>
        </c:manualLayout>
      </c:layout>
      <c:barChart>
        <c:barDir val="bar"/>
        <c:grouping val="clustered"/>
        <c:varyColors val="0"/>
        <c:ser>
          <c:idx val="1"/>
          <c:order val="0"/>
          <c:tx>
            <c:strRef>
              <c:f>'Summary Tables'!$F$204</c:f>
              <c:strCache>
                <c:ptCount val="1"/>
                <c:pt idx="0">
                  <c:v>Not Started</c:v>
                </c:pt>
              </c:strCache>
            </c:strRef>
          </c:tx>
          <c:spPr>
            <a:solidFill>
              <a:srgbClr val="0070C0"/>
            </a:solidFill>
            <a:ln w="12700">
              <a:solidFill>
                <a:srgbClr val="002060"/>
              </a:solidFill>
            </a:ln>
          </c:spPr>
          <c:invertIfNegative val="0"/>
          <c:dLbls>
            <c:delete val="1"/>
          </c:dLbls>
          <c:cat>
            <c:strRef>
              <c:f>'Summary Tables'!$C$205:$C$222</c:f>
              <c:strCache>
                <c:ptCount val="18"/>
                <c:pt idx="0">
                  <c:v>Barnes</c:v>
                </c:pt>
                <c:pt idx="1">
                  <c:v>East Sheen</c:v>
                </c:pt>
                <c:pt idx="2">
                  <c:v>Fulwell &amp; Hampton Hill</c:v>
                </c:pt>
                <c:pt idx="3">
                  <c:v>Ham, Petersham &amp; Richmond Riverside</c:v>
                </c:pt>
                <c:pt idx="4">
                  <c:v>Hampton</c:v>
                </c:pt>
                <c:pt idx="5">
                  <c:v>Hampton North</c:v>
                </c:pt>
                <c:pt idx="6">
                  <c:v>Hampton Wick &amp; South Teddington</c:v>
                </c:pt>
                <c:pt idx="7">
                  <c:v>Heathfield</c:v>
                </c:pt>
                <c:pt idx="8">
                  <c:v>Kew</c:v>
                </c:pt>
                <c:pt idx="9">
                  <c:v>Mortlake &amp; Barnes Common</c:v>
                </c:pt>
                <c:pt idx="10">
                  <c:v>North Richmond</c:v>
                </c:pt>
                <c:pt idx="11">
                  <c:v>South Richmond</c:v>
                </c:pt>
                <c:pt idx="12">
                  <c:v>South Twickenham</c:v>
                </c:pt>
                <c:pt idx="13">
                  <c:v>St. Margarets &amp; North Twickenham</c:v>
                </c:pt>
                <c:pt idx="14">
                  <c:v>Teddington</c:v>
                </c:pt>
                <c:pt idx="15">
                  <c:v>Twickenham Riverside</c:v>
                </c:pt>
                <c:pt idx="16">
                  <c:v>West Twickenham</c:v>
                </c:pt>
                <c:pt idx="17">
                  <c:v>Whitton</c:v>
                </c:pt>
              </c:strCache>
            </c:strRef>
          </c:cat>
          <c:val>
            <c:numRef>
              <c:f>'Summary Tables'!$F$205:$F$222</c:f>
              <c:numCache>
                <c:formatCode>#,##0</c:formatCode>
                <c:ptCount val="18"/>
                <c:pt idx="0">
                  <c:v>1</c:v>
                </c:pt>
                <c:pt idx="1">
                  <c:v>12</c:v>
                </c:pt>
                <c:pt idx="2">
                  <c:v>31</c:v>
                </c:pt>
                <c:pt idx="3">
                  <c:v>263</c:v>
                </c:pt>
                <c:pt idx="4">
                  <c:v>11</c:v>
                </c:pt>
                <c:pt idx="5">
                  <c:v>1</c:v>
                </c:pt>
                <c:pt idx="6">
                  <c:v>19</c:v>
                </c:pt>
                <c:pt idx="7">
                  <c:v>5</c:v>
                </c:pt>
                <c:pt idx="8">
                  <c:v>4</c:v>
                </c:pt>
                <c:pt idx="9">
                  <c:v>9</c:v>
                </c:pt>
                <c:pt idx="10">
                  <c:v>1</c:v>
                </c:pt>
                <c:pt idx="11">
                  <c:v>24</c:v>
                </c:pt>
                <c:pt idx="12">
                  <c:v>19</c:v>
                </c:pt>
                <c:pt idx="13">
                  <c:v>9</c:v>
                </c:pt>
                <c:pt idx="14">
                  <c:v>39</c:v>
                </c:pt>
                <c:pt idx="15">
                  <c:v>61</c:v>
                </c:pt>
                <c:pt idx="16">
                  <c:v>-2</c:v>
                </c:pt>
                <c:pt idx="17">
                  <c:v>4</c:v>
                </c:pt>
              </c:numCache>
            </c:numRef>
          </c:val>
          <c:extLst>
            <c:ext xmlns:c16="http://schemas.microsoft.com/office/drawing/2014/chart" uri="{C3380CC4-5D6E-409C-BE32-E72D297353CC}">
              <c16:uniqueId val="{00000000-170C-4781-9AE4-B3CC6D6FF260}"/>
            </c:ext>
          </c:extLst>
        </c:ser>
        <c:dLbls>
          <c:showLegendKey val="0"/>
          <c:showVal val="1"/>
          <c:showCatName val="0"/>
          <c:showSerName val="0"/>
          <c:showPercent val="0"/>
          <c:showBubbleSize val="0"/>
        </c:dLbls>
        <c:gapWidth val="0"/>
        <c:overlap val="100"/>
        <c:axId val="325048192"/>
        <c:axId val="325049728"/>
      </c:barChart>
      <c:catAx>
        <c:axId val="325048192"/>
        <c:scaling>
          <c:orientation val="maxMin"/>
        </c:scaling>
        <c:delete val="0"/>
        <c:axPos val="l"/>
        <c:numFmt formatCode="General" sourceLinked="1"/>
        <c:majorTickMark val="out"/>
        <c:minorTickMark val="none"/>
        <c:tickLblPos val="nextTo"/>
        <c:txPr>
          <a:bodyPr rot="0" vert="horz"/>
          <a:lstStyle/>
          <a:p>
            <a:pPr>
              <a:defRPr/>
            </a:pPr>
            <a:endParaRPr lang="en-US"/>
          </a:p>
        </c:txPr>
        <c:crossAx val="325049728"/>
        <c:crosses val="autoZero"/>
        <c:auto val="1"/>
        <c:lblAlgn val="ctr"/>
        <c:lblOffset val="10"/>
        <c:tickLblSkip val="1"/>
        <c:noMultiLvlLbl val="0"/>
      </c:catAx>
      <c:valAx>
        <c:axId val="325049728"/>
        <c:scaling>
          <c:orientation val="minMax"/>
          <c:max val="300"/>
          <c:min val="0"/>
        </c:scaling>
        <c:delete val="0"/>
        <c:axPos val="b"/>
        <c:majorGridlines>
          <c:spPr>
            <a:ln w="3175">
              <a:solidFill>
                <a:srgbClr val="BEBEBE"/>
              </a:solidFill>
              <a:prstDash val="solid"/>
            </a:ln>
          </c:spPr>
        </c:majorGridlines>
        <c:minorGridlines/>
        <c:numFmt formatCode="General" sourceLinked="0"/>
        <c:majorTickMark val="out"/>
        <c:minorTickMark val="none"/>
        <c:tickLblPos val="high"/>
        <c:spPr>
          <a:ln>
            <a:solidFill>
              <a:schemeClr val="bg1">
                <a:lumMod val="75000"/>
              </a:schemeClr>
            </a:solidFill>
          </a:ln>
        </c:spPr>
        <c:txPr>
          <a:bodyPr rot="0" vert="horz"/>
          <a:lstStyle/>
          <a:p>
            <a:pPr>
              <a:defRPr/>
            </a:pPr>
            <a:endParaRPr lang="en-US"/>
          </a:p>
        </c:txPr>
        <c:crossAx val="325048192"/>
        <c:crosses val="max"/>
        <c:crossBetween val="between"/>
        <c:majorUnit val="50"/>
        <c:minorUnit val="50"/>
      </c:valAx>
    </c:plotArea>
    <c:plotVisOnly val="1"/>
    <c:dispBlanksAs val="gap"/>
    <c:showDLblsOverMax val="0"/>
  </c:chart>
  <c:spPr>
    <a:solidFill>
      <a:srgbClr val="FFFFFF"/>
    </a:solidFill>
    <a:ln w="3175">
      <a:solidFill>
        <a:schemeClr val="bg1">
          <a:lumMod val="50000"/>
        </a:schemeClr>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33727034122E-2"/>
          <c:y val="2.4980700941794044E-2"/>
          <c:w val="0.61764640748031496"/>
          <c:h val="0.9301028253821213"/>
        </c:manualLayout>
      </c:layout>
      <c:pieChart>
        <c:varyColors val="1"/>
        <c:ser>
          <c:idx val="0"/>
          <c:order val="0"/>
          <c:tx>
            <c:strRef>
              <c:f>'Summary Tables'!$C$336:$D$336</c:f>
              <c:strCache>
                <c:ptCount val="2"/>
                <c:pt idx="0">
                  <c:v>Market</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4A2D-4A86-B80F-03768116A7BB}"/>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4A2D-4A86-B80F-03768116A7BB}"/>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4A2D-4A86-B80F-03768116A7BB}"/>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4A2D-4A86-B80F-03768116A7BB}"/>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4A2D-4A86-B80F-03768116A7BB}"/>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4A2D-4A86-B80F-03768116A7BB}"/>
              </c:ext>
            </c:extLst>
          </c:dPt>
          <c:cat>
            <c:strRef>
              <c:f>'Summary Tables'!$E$335:$H$335</c:f>
              <c:strCache>
                <c:ptCount val="4"/>
                <c:pt idx="0">
                  <c:v>1 bed</c:v>
                </c:pt>
                <c:pt idx="1">
                  <c:v>2 bed</c:v>
                </c:pt>
                <c:pt idx="2">
                  <c:v>3 bed</c:v>
                </c:pt>
                <c:pt idx="3">
                  <c:v>4 + bed</c:v>
                </c:pt>
              </c:strCache>
            </c:strRef>
          </c:cat>
          <c:val>
            <c:numRef>
              <c:f>'Summary Tables'!$E$344:$H$344</c:f>
              <c:numCache>
                <c:formatCode>#,##0</c:formatCode>
                <c:ptCount val="4"/>
                <c:pt idx="0">
                  <c:v>195</c:v>
                </c:pt>
                <c:pt idx="1">
                  <c:v>153</c:v>
                </c:pt>
                <c:pt idx="2">
                  <c:v>18</c:v>
                </c:pt>
                <c:pt idx="3">
                  <c:v>55</c:v>
                </c:pt>
              </c:numCache>
            </c:numRef>
          </c:val>
          <c:extLst>
            <c:ext xmlns:c16="http://schemas.microsoft.com/office/drawing/2014/chart" uri="{C3380CC4-5D6E-409C-BE32-E72D297353CC}">
              <c16:uniqueId val="{0000000C-4A2D-4A86-B80F-03768116A7BB}"/>
            </c:ext>
          </c:extLst>
        </c:ser>
        <c:ser>
          <c:idx val="1"/>
          <c:order val="1"/>
          <c:tx>
            <c:strRef>
              <c:f>'Summary Tables'!$C$337:$D$337</c:f>
              <c:strCache>
                <c:ptCount val="2"/>
                <c:pt idx="0">
                  <c:v>Market</c:v>
                </c:pt>
              </c:strCache>
            </c:strRef>
          </c:tx>
          <c:cat>
            <c:strRef>
              <c:f>'Summary Tables'!$E$335:$H$335</c:f>
              <c:strCache>
                <c:ptCount val="4"/>
                <c:pt idx="0">
                  <c:v>1 bed</c:v>
                </c:pt>
                <c:pt idx="1">
                  <c:v>2 bed</c:v>
                </c:pt>
                <c:pt idx="2">
                  <c:v>3 bed</c:v>
                </c:pt>
                <c:pt idx="3">
                  <c:v>4 + bed</c:v>
                </c:pt>
              </c:strCache>
            </c:strRef>
          </c:cat>
          <c:val>
            <c:numRef>
              <c:f>'Summary Tables'!$E$337:$H$337</c:f>
              <c:numCache>
                <c:formatCode>0%</c:formatCode>
                <c:ptCount val="4"/>
                <c:pt idx="0">
                  <c:v>0.28028503562945367</c:v>
                </c:pt>
                <c:pt idx="1">
                  <c:v>0.24465558194774348</c:v>
                </c:pt>
                <c:pt idx="2">
                  <c:v>2.6128266033254157E-2</c:v>
                </c:pt>
                <c:pt idx="3">
                  <c:v>0.12351543942992874</c:v>
                </c:pt>
              </c:numCache>
            </c:numRef>
          </c:val>
          <c:extLst>
            <c:ext xmlns:c16="http://schemas.microsoft.com/office/drawing/2014/chart" uri="{C3380CC4-5D6E-409C-BE32-E72D297353CC}">
              <c16:uniqueId val="{0000000D-4A2D-4A86-B80F-03768116A7BB}"/>
            </c:ext>
          </c:extLst>
        </c:ser>
        <c:ser>
          <c:idx val="2"/>
          <c:order val="2"/>
          <c:tx>
            <c:strRef>
              <c:f>'Summary Tables'!$C$338:$D$338</c:f>
              <c:strCache>
                <c:ptCount val="2"/>
                <c:pt idx="0">
                  <c:v>Intermediate (&amp;SO)</c:v>
                </c:pt>
              </c:strCache>
            </c:strRef>
          </c:tx>
          <c:cat>
            <c:strRef>
              <c:f>'Summary Tables'!$E$335:$H$335</c:f>
              <c:strCache>
                <c:ptCount val="4"/>
                <c:pt idx="0">
                  <c:v>1 bed</c:v>
                </c:pt>
                <c:pt idx="1">
                  <c:v>2 bed</c:v>
                </c:pt>
                <c:pt idx="2">
                  <c:v>3 bed</c:v>
                </c:pt>
                <c:pt idx="3">
                  <c:v>4 + bed</c:v>
                </c:pt>
              </c:strCache>
            </c:strRef>
          </c:cat>
          <c:val>
            <c:numRef>
              <c:f>'Summary Tables'!$E$338:$H$338</c:f>
              <c:numCache>
                <c:formatCode>#,##0</c:formatCode>
                <c:ptCount val="4"/>
                <c:pt idx="0">
                  <c:v>38</c:v>
                </c:pt>
                <c:pt idx="1">
                  <c:v>28</c:v>
                </c:pt>
                <c:pt idx="2">
                  <c:v>1</c:v>
                </c:pt>
                <c:pt idx="3">
                  <c:v>0</c:v>
                </c:pt>
              </c:numCache>
            </c:numRef>
          </c:val>
          <c:extLst>
            <c:ext xmlns:c16="http://schemas.microsoft.com/office/drawing/2014/chart" uri="{C3380CC4-5D6E-409C-BE32-E72D297353CC}">
              <c16:uniqueId val="{0000000E-4A2D-4A86-B80F-03768116A7BB}"/>
            </c:ext>
          </c:extLst>
        </c:ser>
        <c:ser>
          <c:idx val="3"/>
          <c:order val="3"/>
          <c:tx>
            <c:strRef>
              <c:f>'Summary Tables'!$C$339:$D$339</c:f>
              <c:strCache>
                <c:ptCount val="2"/>
                <c:pt idx="0">
                  <c:v>Intermediate (&amp;SO)</c:v>
                </c:pt>
              </c:strCache>
            </c:strRef>
          </c:tx>
          <c:cat>
            <c:strRef>
              <c:f>'Summary Tables'!$E$335:$H$335</c:f>
              <c:strCache>
                <c:ptCount val="4"/>
                <c:pt idx="0">
                  <c:v>1 bed</c:v>
                </c:pt>
                <c:pt idx="1">
                  <c:v>2 bed</c:v>
                </c:pt>
                <c:pt idx="2">
                  <c:v>3 bed</c:v>
                </c:pt>
                <c:pt idx="3">
                  <c:v>4 + bed</c:v>
                </c:pt>
              </c:strCache>
            </c:strRef>
          </c:cat>
          <c:val>
            <c:numRef>
              <c:f>'Summary Tables'!$E$339:$H$339</c:f>
              <c:numCache>
                <c:formatCode>0%</c:formatCode>
                <c:ptCount val="4"/>
                <c:pt idx="0">
                  <c:v>9.0261282660332537E-2</c:v>
                </c:pt>
                <c:pt idx="1">
                  <c:v>6.6508313539192399E-2</c:v>
                </c:pt>
                <c:pt idx="2">
                  <c:v>2.3752969121140144E-3</c:v>
                </c:pt>
                <c:pt idx="3">
                  <c:v>0</c:v>
                </c:pt>
              </c:numCache>
            </c:numRef>
          </c:val>
          <c:extLst>
            <c:ext xmlns:c16="http://schemas.microsoft.com/office/drawing/2014/chart" uri="{C3380CC4-5D6E-409C-BE32-E72D297353CC}">
              <c16:uniqueId val="{0000000F-4A2D-4A86-B80F-03768116A7BB}"/>
            </c:ext>
          </c:extLst>
        </c:ser>
        <c:ser>
          <c:idx val="4"/>
          <c:order val="4"/>
          <c:tx>
            <c:strRef>
              <c:f>'Summary Tables'!$C$340:$D$340</c:f>
              <c:strCache>
                <c:ptCount val="2"/>
                <c:pt idx="0">
                  <c:v>Affordable Rented</c:v>
                </c:pt>
              </c:strCache>
            </c:strRef>
          </c:tx>
          <c:cat>
            <c:strRef>
              <c:f>'Summary Tables'!$E$335:$H$335</c:f>
              <c:strCache>
                <c:ptCount val="4"/>
                <c:pt idx="0">
                  <c:v>1 bed</c:v>
                </c:pt>
                <c:pt idx="1">
                  <c:v>2 bed</c:v>
                </c:pt>
                <c:pt idx="2">
                  <c:v>3 bed</c:v>
                </c:pt>
                <c:pt idx="3">
                  <c:v>4 + bed</c:v>
                </c:pt>
              </c:strCache>
            </c:strRef>
          </c:cat>
          <c:val>
            <c:numRef>
              <c:f>'Summary Tables'!$E$340:$H$340</c:f>
              <c:numCache>
                <c:formatCode>#,##0</c:formatCode>
                <c:ptCount val="4"/>
                <c:pt idx="0">
                  <c:v>-64</c:v>
                </c:pt>
                <c:pt idx="1">
                  <c:v>-16</c:v>
                </c:pt>
                <c:pt idx="2">
                  <c:v>-10</c:v>
                </c:pt>
                <c:pt idx="3">
                  <c:v>0</c:v>
                </c:pt>
              </c:numCache>
            </c:numRef>
          </c:val>
          <c:extLst>
            <c:ext xmlns:c16="http://schemas.microsoft.com/office/drawing/2014/chart" uri="{C3380CC4-5D6E-409C-BE32-E72D297353CC}">
              <c16:uniqueId val="{00000010-4A2D-4A86-B80F-03768116A7BB}"/>
            </c:ext>
          </c:extLst>
        </c:ser>
        <c:ser>
          <c:idx val="5"/>
          <c:order val="5"/>
          <c:tx>
            <c:strRef>
              <c:f>'Summary Tables'!$C$341:$D$341</c:f>
              <c:strCache>
                <c:ptCount val="2"/>
                <c:pt idx="0">
                  <c:v>Affordable Rented</c:v>
                </c:pt>
              </c:strCache>
            </c:strRef>
          </c:tx>
          <c:cat>
            <c:strRef>
              <c:f>'Summary Tables'!$E$335:$H$335</c:f>
              <c:strCache>
                <c:ptCount val="4"/>
                <c:pt idx="0">
                  <c:v>1 bed</c:v>
                </c:pt>
                <c:pt idx="1">
                  <c:v>2 bed</c:v>
                </c:pt>
                <c:pt idx="2">
                  <c:v>3 bed</c:v>
                </c:pt>
                <c:pt idx="3">
                  <c:v>4 + bed</c:v>
                </c:pt>
              </c:strCache>
            </c:strRef>
          </c:cat>
          <c:val>
            <c:numRef>
              <c:f>'Summary Tables'!$E$341:$H$341</c:f>
              <c:numCache>
                <c:formatCode>0%</c:formatCode>
                <c:ptCount val="4"/>
                <c:pt idx="0">
                  <c:v>-0.15201900237529692</c:v>
                </c:pt>
                <c:pt idx="1">
                  <c:v>-3.800475059382423E-2</c:v>
                </c:pt>
                <c:pt idx="2">
                  <c:v>-2.3752969121140142E-2</c:v>
                </c:pt>
                <c:pt idx="3">
                  <c:v>0</c:v>
                </c:pt>
              </c:numCache>
            </c:numRef>
          </c:val>
          <c:extLst>
            <c:ext xmlns:c16="http://schemas.microsoft.com/office/drawing/2014/chart" uri="{C3380CC4-5D6E-409C-BE32-E72D297353CC}">
              <c16:uniqueId val="{00000011-4A2D-4A86-B80F-03768116A7B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23543615452958339"/>
          <c:h val="0.5523645907897876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a:pPr>
            <a:r>
              <a:rPr lang="en-GB" sz="900" b="1"/>
              <a:t>Dwelling </a:t>
            </a:r>
            <a:r>
              <a:rPr lang="en-GB" sz="900" b="1" baseline="0"/>
              <a:t>Size of Net Completions in 2023/24 (All tenures)</a:t>
            </a:r>
            <a:endParaRPr lang="en-GB" sz="900" b="1"/>
          </a:p>
        </c:rich>
      </c:tx>
      <c:layout>
        <c:manualLayout>
          <c:xMode val="edge"/>
          <c:yMode val="edge"/>
          <c:x val="0.19000976612860349"/>
          <c:y val="2.8492298191232879E-2"/>
        </c:manualLayout>
      </c:layout>
      <c:overlay val="0"/>
    </c:title>
    <c:autoTitleDeleted val="0"/>
    <c:plotArea>
      <c:layout>
        <c:manualLayout>
          <c:layoutTarget val="inner"/>
          <c:xMode val="edge"/>
          <c:yMode val="edge"/>
          <c:x val="0.10406571332698999"/>
          <c:y val="0.11901703731972575"/>
          <c:w val="0.86596894923846879"/>
          <c:h val="0.7715330980126005"/>
        </c:manualLayout>
      </c:layout>
      <c:barChart>
        <c:barDir val="col"/>
        <c:grouping val="stacked"/>
        <c:varyColors val="0"/>
        <c:ser>
          <c:idx val="1"/>
          <c:order val="0"/>
          <c:tx>
            <c:strRef>
              <c:f>'Summary Tables'!$G$115</c:f>
              <c:strCache>
                <c:ptCount val="1"/>
                <c:pt idx="0">
                  <c:v>Prior Approvals</c:v>
                </c:pt>
              </c:strCache>
            </c:strRef>
          </c:tx>
          <c:invertIfNegative val="0"/>
          <c:cat>
            <c:strRef>
              <c:f>'Summary Tables'!$C$116:$D$119</c:f>
              <c:strCache>
                <c:ptCount val="4"/>
                <c:pt idx="0">
                  <c:v>1 bed </c:v>
                </c:pt>
                <c:pt idx="1">
                  <c:v>2 bed </c:v>
                </c:pt>
                <c:pt idx="2">
                  <c:v>3 bed </c:v>
                </c:pt>
                <c:pt idx="3">
                  <c:v>4+ bed </c:v>
                </c:pt>
              </c:strCache>
            </c:strRef>
          </c:cat>
          <c:val>
            <c:numRef>
              <c:f>'Summary Tables'!$G$116:$G$119</c:f>
              <c:numCache>
                <c:formatCode>General</c:formatCode>
                <c:ptCount val="4"/>
                <c:pt idx="0">
                  <c:v>17</c:v>
                </c:pt>
                <c:pt idx="1">
                  <c:v>5</c:v>
                </c:pt>
                <c:pt idx="2">
                  <c:v>1</c:v>
                </c:pt>
                <c:pt idx="3">
                  <c:v>2</c:v>
                </c:pt>
              </c:numCache>
            </c:numRef>
          </c:val>
          <c:extLst>
            <c:ext xmlns:c16="http://schemas.microsoft.com/office/drawing/2014/chart" uri="{C3380CC4-5D6E-409C-BE32-E72D297353CC}">
              <c16:uniqueId val="{00000000-96E0-4108-85E1-F99418FACBE3}"/>
            </c:ext>
          </c:extLst>
        </c:ser>
        <c:ser>
          <c:idx val="0"/>
          <c:order val="1"/>
          <c:tx>
            <c:strRef>
              <c:f>'Summary Tables'!$E$115</c:f>
              <c:strCache>
                <c:ptCount val="1"/>
                <c:pt idx="0">
                  <c:v>Permissions</c:v>
                </c:pt>
              </c:strCache>
            </c:strRef>
          </c:tx>
          <c:invertIfNegative val="0"/>
          <c:cat>
            <c:strRef>
              <c:f>'Summary Tables'!$C$116:$D$119</c:f>
              <c:strCache>
                <c:ptCount val="4"/>
                <c:pt idx="0">
                  <c:v>1 bed </c:v>
                </c:pt>
                <c:pt idx="1">
                  <c:v>2 bed </c:v>
                </c:pt>
                <c:pt idx="2">
                  <c:v>3 bed </c:v>
                </c:pt>
                <c:pt idx="3">
                  <c:v>4+ bed </c:v>
                </c:pt>
              </c:strCache>
            </c:strRef>
          </c:cat>
          <c:val>
            <c:numRef>
              <c:f>'Summary Tables'!$E$116:$E$119</c:f>
              <c:numCache>
                <c:formatCode>General</c:formatCode>
                <c:ptCount val="4"/>
                <c:pt idx="0">
                  <c:v>40</c:v>
                </c:pt>
                <c:pt idx="1">
                  <c:v>27</c:v>
                </c:pt>
                <c:pt idx="2">
                  <c:v>-3</c:v>
                </c:pt>
                <c:pt idx="3">
                  <c:v>11</c:v>
                </c:pt>
              </c:numCache>
            </c:numRef>
          </c:val>
          <c:extLst>
            <c:ext xmlns:c16="http://schemas.microsoft.com/office/drawing/2014/chart" uri="{C3380CC4-5D6E-409C-BE32-E72D297353CC}">
              <c16:uniqueId val="{00000001-96E0-4108-85E1-F99418FACBE3}"/>
            </c:ext>
          </c:extLst>
        </c:ser>
        <c:dLbls>
          <c:showLegendKey val="0"/>
          <c:showVal val="0"/>
          <c:showCatName val="0"/>
          <c:showSerName val="0"/>
          <c:showPercent val="0"/>
          <c:showBubbleSize val="0"/>
        </c:dLbls>
        <c:gapWidth val="113"/>
        <c:overlap val="100"/>
        <c:axId val="324678400"/>
        <c:axId val="324679936"/>
      </c:barChart>
      <c:catAx>
        <c:axId val="324678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rtl="0">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9936"/>
        <c:crosses val="autoZero"/>
        <c:auto val="1"/>
        <c:lblAlgn val="ctr"/>
        <c:lblOffset val="100"/>
        <c:noMultiLvlLbl val="0"/>
      </c:catAx>
      <c:valAx>
        <c:axId val="324679936"/>
        <c:scaling>
          <c:orientation val="minMax"/>
          <c:min val="-10"/>
        </c:scaling>
        <c:delete val="0"/>
        <c:axPos val="l"/>
        <c:majorGridlines>
          <c:spPr>
            <a:ln w="3175">
              <a:solidFill>
                <a:srgbClr val="969696"/>
              </a:solidFill>
              <a:prstDash val="solid"/>
            </a:ln>
          </c:spPr>
        </c:majorGridlines>
        <c:title>
          <c:tx>
            <c:rich>
              <a:bodyPr rot="-5400000" vert="horz"/>
              <a:lstStyle/>
              <a:p>
                <a:pPr>
                  <a:defRPr/>
                </a:pPr>
                <a:r>
                  <a:rPr lang="en-GB" b="1"/>
                  <a:t>Number of units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8400"/>
        <c:crosses val="autoZero"/>
        <c:crossBetween val="between"/>
        <c:majorUnit val="10"/>
      </c:valAx>
      <c:spPr>
        <a:noFill/>
        <a:ln w="12700">
          <a:solidFill>
            <a:srgbClr val="969696"/>
          </a:solidFill>
          <a:prstDash val="solid"/>
        </a:ln>
      </c:spPr>
    </c:plotArea>
    <c:legend>
      <c:legendPos val="t"/>
      <c:layout>
        <c:manualLayout>
          <c:xMode val="edge"/>
          <c:yMode val="edge"/>
          <c:x val="0.76772064616433"/>
          <c:y val="0.12919556422574219"/>
          <c:w val="0.19927232559796706"/>
          <c:h val="0.16059247481859873"/>
        </c:manualLayout>
      </c:layout>
      <c:overlay val="0"/>
      <c:spPr>
        <a:solidFill>
          <a:schemeClr val="bg1"/>
        </a:solidFill>
      </c:spPr>
    </c:legend>
    <c:plotVisOnly val="1"/>
    <c:dispBlanksAs val="gap"/>
    <c:showDLblsOverMax val="0"/>
  </c:chart>
  <c:spPr>
    <a:solidFill>
      <a:srgbClr val="FFFFFF"/>
    </a:solidFill>
    <a:ln w="3175">
      <a:solidFill>
        <a:schemeClr val="bg1">
          <a:lumMod val="50000"/>
        </a:schemeClr>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31758530183728"/>
          <c:y val="0.15859591875339904"/>
          <c:w val="0.51536482939632544"/>
          <c:h val="0.7428682225532619"/>
        </c:manualLayout>
      </c:layout>
      <c:pieChart>
        <c:varyColors val="1"/>
        <c:ser>
          <c:idx val="0"/>
          <c:order val="0"/>
          <c:tx>
            <c:strRef>
              <c:f>'Summary Tables'!$L$381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17-4502-81B6-9E5C1AA46E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17-4502-81B6-9E5C1AA46E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0A33-4243-995D-F1C18CC17F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417-4502-81B6-9E5C1AA46E8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8-0A33-4243-995D-F1C18CC17F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417-4502-81B6-9E5C1AA46E86}"/>
              </c:ext>
            </c:extLst>
          </c:dPt>
          <c:dLbls>
            <c:dLbl>
              <c:idx val="0"/>
              <c:layout>
                <c:manualLayout>
                  <c:x val="1.2500164041994751E-2"/>
                  <c:y val="-5.405405405405405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289599737532806"/>
                      <c:h val="0.31123123123123125"/>
                    </c:manualLayout>
                  </c15:layout>
                </c:ext>
                <c:ext xmlns:c16="http://schemas.microsoft.com/office/drawing/2014/chart" uri="{C3380CC4-5D6E-409C-BE32-E72D297353CC}">
                  <c16:uniqueId val="{00000001-F417-4502-81B6-9E5C1AA46E86}"/>
                </c:ext>
              </c:extLst>
            </c:dLbl>
            <c:dLbl>
              <c:idx val="1"/>
              <c:layout>
                <c:manualLayout>
                  <c:x val="6.2500164041994599E-2"/>
                  <c:y val="-1.1010883812341616E-1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460400262467188"/>
                      <c:h val="0.31123123123123125"/>
                    </c:manualLayout>
                  </c15:layout>
                </c:ext>
                <c:ext xmlns:c16="http://schemas.microsoft.com/office/drawing/2014/chart" uri="{C3380CC4-5D6E-409C-BE32-E72D297353CC}">
                  <c16:uniqueId val="{00000003-F417-4502-81B6-9E5C1AA46E86}"/>
                </c:ext>
              </c:extLst>
            </c:dLbl>
            <c:dLbl>
              <c:idx val="2"/>
              <c:layout>
                <c:manualLayout>
                  <c:x val="-5.0000000000000017E-2"/>
                  <c:y val="-5.40540540540540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A33-4243-995D-F1C18CC17F69}"/>
                </c:ext>
              </c:extLst>
            </c:dLbl>
            <c:dLbl>
              <c:idx val="3"/>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ln>
                        <a:noFill/>
                      </a:ln>
                      <a:solidFill>
                        <a:sysClr val="windowText" lastClr="000000"/>
                      </a:solidFill>
                      <a:effectLst>
                        <a:glow>
                          <a:schemeClr val="accent1">
                            <a:alpha val="40000"/>
                          </a:schemeClr>
                        </a:glow>
                      </a:effectLst>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0.2693959973753281"/>
                      <c:h val="0.34198198198198199"/>
                    </c:manualLayout>
                  </c15:layout>
                </c:ext>
                <c:ext xmlns:c16="http://schemas.microsoft.com/office/drawing/2014/chart" uri="{C3380CC4-5D6E-409C-BE32-E72D297353CC}">
                  <c16:uniqueId val="{00000007-F417-4502-81B6-9E5C1AA46E86}"/>
                </c:ext>
              </c:extLst>
            </c:dLbl>
            <c:dLbl>
              <c:idx val="4"/>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ln>
                        <a:noFill/>
                      </a:ln>
                      <a:solidFill>
                        <a:sysClr val="windowText" lastClr="000000"/>
                      </a:solidFill>
                      <a:effectLst>
                        <a:glow>
                          <a:schemeClr val="accent1">
                            <a:alpha val="40000"/>
                          </a:schemeClr>
                        </a:glow>
                      </a:effectLst>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0.29179166666666667"/>
                      <c:h val="0.24006006006006003"/>
                    </c:manualLayout>
                  </c15:layout>
                </c:ext>
                <c:ext xmlns:c16="http://schemas.microsoft.com/office/drawing/2014/chart" uri="{C3380CC4-5D6E-409C-BE32-E72D297353CC}">
                  <c16:uniqueId val="{00000008-0A33-4243-995D-F1C18CC17F69}"/>
                </c:ext>
              </c:extLst>
            </c:dLbl>
            <c:dLbl>
              <c:idx val="5"/>
              <c:layout>
                <c:manualLayout>
                  <c:x val="5.833349737532801E-2"/>
                  <c:y val="-1.801801801801801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6531266404199472"/>
                      <c:h val="0.16462462462462463"/>
                    </c:manualLayout>
                  </c15:layout>
                </c:ext>
                <c:ext xmlns:c16="http://schemas.microsoft.com/office/drawing/2014/chart" uri="{C3380CC4-5D6E-409C-BE32-E72D297353CC}">
                  <c16:uniqueId val="{0000000B-F417-4502-81B6-9E5C1AA46E8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ysClr val="windowText" lastClr="000000"/>
                    </a:solidFill>
                    <a:effectLst>
                      <a:glow>
                        <a:schemeClr val="accent1">
                          <a:alpha val="40000"/>
                        </a:schemeClr>
                      </a:glow>
                    </a:effectLst>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Tables'!$C$382:$C$387</c:f>
              <c:strCache>
                <c:ptCount val="6"/>
                <c:pt idx="0">
                  <c:v>Barnes and East Sheen</c:v>
                </c:pt>
                <c:pt idx="1">
                  <c:v>Ham &amp; Petersham</c:v>
                </c:pt>
                <c:pt idx="2">
                  <c:v>Richmond</c:v>
                </c:pt>
                <c:pt idx="3">
                  <c:v>Teddington and the Hamptons</c:v>
                </c:pt>
                <c:pt idx="4">
                  <c:v>Twickenham</c:v>
                </c:pt>
                <c:pt idx="5">
                  <c:v>Whitton</c:v>
                </c:pt>
              </c:strCache>
            </c:strRef>
          </c:cat>
          <c:val>
            <c:numRef>
              <c:f>'Summary Tables'!$L$382:$L$387</c:f>
              <c:numCache>
                <c:formatCode>#,##0_ ;\-#,##0\ </c:formatCode>
                <c:ptCount val="6"/>
                <c:pt idx="0">
                  <c:v>1223</c:v>
                </c:pt>
                <c:pt idx="1">
                  <c:v>265</c:v>
                </c:pt>
                <c:pt idx="2">
                  <c:v>949</c:v>
                </c:pt>
                <c:pt idx="3">
                  <c:v>400</c:v>
                </c:pt>
                <c:pt idx="4">
                  <c:v>515</c:v>
                </c:pt>
                <c:pt idx="5">
                  <c:v>49</c:v>
                </c:pt>
              </c:numCache>
            </c:numRef>
          </c:val>
          <c:extLst>
            <c:ext xmlns:c16="http://schemas.microsoft.com/office/drawing/2014/chart" uri="{C3380CC4-5D6E-409C-BE32-E72D297353CC}">
              <c16:uniqueId val="{00000000-0A33-4243-995D-F1C18CC17F6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Tables'!$D$415</c:f>
              <c:strCache>
                <c:ptCount val="1"/>
                <c:pt idx="0">
                  <c:v>Net units - Expired Permissions</c:v>
                </c:pt>
              </c:strCache>
            </c:strRef>
          </c:tx>
          <c:spPr>
            <a:solidFill>
              <a:schemeClr val="accent1"/>
            </a:solidFill>
            <a:ln>
              <a:noFill/>
            </a:ln>
            <a:effectLst/>
          </c:spPr>
          <c:invertIfNegative val="0"/>
          <c:cat>
            <c:strRef>
              <c:f>'Summary Tables'!$C$416:$C$431</c:f>
              <c:strCache>
                <c:ptCount val="16"/>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strCache>
            </c:strRef>
          </c:cat>
          <c:val>
            <c:numRef>
              <c:f>'Summary Tables'!$D$416:$D$431</c:f>
              <c:numCache>
                <c:formatCode>General</c:formatCode>
                <c:ptCount val="16"/>
                <c:pt idx="0">
                  <c:v>20</c:v>
                </c:pt>
                <c:pt idx="1">
                  <c:v>27</c:v>
                </c:pt>
                <c:pt idx="2">
                  <c:v>36</c:v>
                </c:pt>
                <c:pt idx="3">
                  <c:v>41</c:v>
                </c:pt>
                <c:pt idx="4">
                  <c:v>21</c:v>
                </c:pt>
                <c:pt idx="5">
                  <c:v>132</c:v>
                </c:pt>
                <c:pt idx="6">
                  <c:v>23</c:v>
                </c:pt>
                <c:pt idx="7">
                  <c:v>-4</c:v>
                </c:pt>
                <c:pt idx="8">
                  <c:v>5</c:v>
                </c:pt>
                <c:pt idx="9">
                  <c:v>72</c:v>
                </c:pt>
                <c:pt idx="10">
                  <c:v>14</c:v>
                </c:pt>
                <c:pt idx="11">
                  <c:v>25</c:v>
                </c:pt>
                <c:pt idx="12">
                  <c:v>25</c:v>
                </c:pt>
                <c:pt idx="13">
                  <c:v>78</c:v>
                </c:pt>
                <c:pt idx="14">
                  <c:v>16</c:v>
                </c:pt>
                <c:pt idx="15">
                  <c:v>129</c:v>
                </c:pt>
              </c:numCache>
            </c:numRef>
          </c:val>
          <c:extLst>
            <c:ext xmlns:c16="http://schemas.microsoft.com/office/drawing/2014/chart" uri="{C3380CC4-5D6E-409C-BE32-E72D297353CC}">
              <c16:uniqueId val="{00000000-1473-41C0-B8BF-CA205DB071A2}"/>
            </c:ext>
          </c:extLst>
        </c:ser>
        <c:ser>
          <c:idx val="1"/>
          <c:order val="1"/>
          <c:tx>
            <c:strRef>
              <c:f>'Summary Tables'!$E$415</c:f>
              <c:strCache>
                <c:ptCount val="1"/>
                <c:pt idx="0">
                  <c:v>Net units - Residential Permissions</c:v>
                </c:pt>
              </c:strCache>
            </c:strRef>
          </c:tx>
          <c:spPr>
            <a:solidFill>
              <a:schemeClr val="accent2"/>
            </a:solidFill>
            <a:ln>
              <a:noFill/>
            </a:ln>
            <a:effectLst/>
          </c:spPr>
          <c:invertIfNegative val="0"/>
          <c:cat>
            <c:strRef>
              <c:f>'Summary Tables'!$C$416:$C$431</c:f>
              <c:strCache>
                <c:ptCount val="16"/>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strCache>
            </c:strRef>
          </c:cat>
          <c:val>
            <c:numRef>
              <c:f>'Summary Tables'!$E$416:$E$431</c:f>
              <c:numCache>
                <c:formatCode>General</c:formatCode>
                <c:ptCount val="16"/>
                <c:pt idx="0">
                  <c:v>457</c:v>
                </c:pt>
                <c:pt idx="1">
                  <c:v>286</c:v>
                </c:pt>
                <c:pt idx="2">
                  <c:v>593</c:v>
                </c:pt>
                <c:pt idx="3">
                  <c:v>570</c:v>
                </c:pt>
                <c:pt idx="4">
                  <c:v>140</c:v>
                </c:pt>
                <c:pt idx="5">
                  <c:v>777</c:v>
                </c:pt>
                <c:pt idx="6">
                  <c:v>991</c:v>
                </c:pt>
                <c:pt idx="7">
                  <c:v>567</c:v>
                </c:pt>
                <c:pt idx="8">
                  <c:v>648</c:v>
                </c:pt>
                <c:pt idx="9">
                  <c:v>570</c:v>
                </c:pt>
                <c:pt idx="10">
                  <c:v>221</c:v>
                </c:pt>
                <c:pt idx="11">
                  <c:v>244</c:v>
                </c:pt>
                <c:pt idx="12">
                  <c:v>434</c:v>
                </c:pt>
                <c:pt idx="13">
                  <c:v>169</c:v>
                </c:pt>
                <c:pt idx="14">
                  <c:v>749</c:v>
                </c:pt>
                <c:pt idx="15">
                  <c:v>128</c:v>
                </c:pt>
              </c:numCache>
            </c:numRef>
          </c:val>
          <c:extLst>
            <c:ext xmlns:c16="http://schemas.microsoft.com/office/drawing/2014/chart" uri="{C3380CC4-5D6E-409C-BE32-E72D297353CC}">
              <c16:uniqueId val="{00000001-1473-41C0-B8BF-CA205DB071A2}"/>
            </c:ext>
          </c:extLst>
        </c:ser>
        <c:dLbls>
          <c:showLegendKey val="0"/>
          <c:showVal val="0"/>
          <c:showCatName val="0"/>
          <c:showSerName val="0"/>
          <c:showPercent val="0"/>
          <c:showBubbleSize val="0"/>
        </c:dLbls>
        <c:gapWidth val="50"/>
        <c:axId val="1131050536"/>
        <c:axId val="1131045496"/>
      </c:barChart>
      <c:catAx>
        <c:axId val="113105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045496"/>
        <c:crosses val="autoZero"/>
        <c:auto val="1"/>
        <c:lblAlgn val="ctr"/>
        <c:lblOffset val="100"/>
        <c:noMultiLvlLbl val="0"/>
      </c:catAx>
      <c:valAx>
        <c:axId val="1131045496"/>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050536"/>
        <c:crosses val="autoZero"/>
        <c:crossBetween val="between"/>
      </c:valAx>
      <c:spPr>
        <a:noFill/>
        <a:ln>
          <a:noFill/>
        </a:ln>
        <a:effectLst/>
      </c:spPr>
    </c:plotArea>
    <c:legend>
      <c:legendPos val="tr"/>
      <c:layout>
        <c:manualLayout>
          <c:xMode val="edge"/>
          <c:yMode val="edge"/>
          <c:x val="0.59913508858267717"/>
          <c:y val="2.6229508196721311E-2"/>
          <c:w val="0.38523991141732289"/>
          <c:h val="0.15519332214620712"/>
        </c:manualLayout>
      </c:layout>
      <c:overlay val="1"/>
      <c:spPr>
        <a:solidFill>
          <a:schemeClr val="bg1"/>
        </a:solidFill>
        <a:ln>
          <a:noFill/>
        </a:ln>
        <a:effectLst/>
      </c:spPr>
      <c:txPr>
        <a:bodyPr rot="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15091863517059"/>
          <c:y val="0.1766139367714171"/>
          <c:w val="0.51536482939632544"/>
          <c:h val="0.7428682225532619"/>
        </c:manualLayout>
      </c:layout>
      <c:pieChart>
        <c:varyColors val="1"/>
        <c:ser>
          <c:idx val="0"/>
          <c:order val="0"/>
          <c:tx>
            <c:strRef>
              <c:f>'Summary Tables'!$H$254</c:f>
              <c:strCache>
                <c:ptCount val="1"/>
                <c:pt idx="0">
                  <c:v>Net Gain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BE-4D80-B86B-6BF5106F2D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BE-4D80-B86B-6BF5106F2D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BE-4D80-B86B-6BF5106F2D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BE-4D80-B86B-6BF5106F2D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BE-4D80-B86B-6BF5106F2D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7BE-4D80-B86B-6BF5106F2D4E}"/>
              </c:ext>
            </c:extLst>
          </c:dPt>
          <c:dLbls>
            <c:dLbl>
              <c:idx val="0"/>
              <c:layout>
                <c:manualLayout>
                  <c:x val="-8.7500000000000078E-2"/>
                  <c:y val="-3.6036036036036036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34789599737532806"/>
                      <c:h val="0.18387411033080325"/>
                    </c:manualLayout>
                  </c15:layout>
                </c:ext>
                <c:ext xmlns:c16="http://schemas.microsoft.com/office/drawing/2014/chart" uri="{C3380CC4-5D6E-409C-BE32-E72D297353CC}">
                  <c16:uniqueId val="{00000001-97BE-4D80-B86B-6BF5106F2D4E}"/>
                </c:ext>
              </c:extLst>
            </c:dLbl>
            <c:dLbl>
              <c:idx val="1"/>
              <c:layout>
                <c:manualLayout>
                  <c:x val="0.05"/>
                  <c:y val="3.9039039039039027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6627066929133858"/>
                      <c:h val="0.19588612234281524"/>
                    </c:manualLayout>
                  </c15:layout>
                </c:ext>
                <c:ext xmlns:c16="http://schemas.microsoft.com/office/drawing/2014/chart" uri="{C3380CC4-5D6E-409C-BE32-E72D297353CC}">
                  <c16:uniqueId val="{00000003-97BE-4D80-B86B-6BF5106F2D4E}"/>
                </c:ext>
              </c:extLst>
            </c:dLbl>
            <c:dLbl>
              <c:idx val="2"/>
              <c:layout>
                <c:manualLayout>
                  <c:x val="2.9166666666666667E-2"/>
                  <c:y val="1.201201201201201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BE-4D80-B86B-6BF5106F2D4E}"/>
                </c:ext>
              </c:extLst>
            </c:dLbl>
            <c:dLbl>
              <c:idx val="3"/>
              <c:layout>
                <c:manualLayout>
                  <c:x val="0.24810531496062993"/>
                  <c:y val="-1.1010883812341616E-16"/>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8433333333333333"/>
                      <c:h val="0.25117117117117116"/>
                    </c:manualLayout>
                  </c15:layout>
                </c:ext>
                <c:ext xmlns:c16="http://schemas.microsoft.com/office/drawing/2014/chart" uri="{C3380CC4-5D6E-409C-BE32-E72D297353CC}">
                  <c16:uniqueId val="{00000007-97BE-4D80-B86B-6BF5106F2D4E}"/>
                </c:ext>
              </c:extLst>
            </c:dLbl>
            <c:dLbl>
              <c:idx val="4"/>
              <c:layout>
                <c:manualLayout>
                  <c:x val="1.6404199475065617E-7"/>
                  <c:y val="-0.12012012012012017"/>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30241666666666661"/>
                      <c:h val="0.16462462462462463"/>
                    </c:manualLayout>
                  </c15:layout>
                </c:ext>
                <c:ext xmlns:c16="http://schemas.microsoft.com/office/drawing/2014/chart" uri="{C3380CC4-5D6E-409C-BE32-E72D297353CC}">
                  <c16:uniqueId val="{00000009-97BE-4D80-B86B-6BF5106F2D4E}"/>
                </c:ext>
              </c:extLst>
            </c:dLbl>
            <c:dLbl>
              <c:idx val="5"/>
              <c:layout>
                <c:manualLayout>
                  <c:x val="-5.8333333333333334E-2"/>
                  <c:y val="-6.006006006006019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BE-4D80-B86B-6BF5106F2D4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Tables'!$C$255:$C$260</c:f>
              <c:strCache>
                <c:ptCount val="6"/>
                <c:pt idx="0">
                  <c:v>Barnes and East Sheen</c:v>
                </c:pt>
                <c:pt idx="1">
                  <c:v>Ham &amp; Petersham</c:v>
                </c:pt>
                <c:pt idx="2">
                  <c:v>Richmond</c:v>
                </c:pt>
                <c:pt idx="3">
                  <c:v>Teddington and the Hamptons</c:v>
                </c:pt>
                <c:pt idx="4">
                  <c:v>Twickenham</c:v>
                </c:pt>
                <c:pt idx="5">
                  <c:v>Whitton</c:v>
                </c:pt>
              </c:strCache>
            </c:strRef>
          </c:cat>
          <c:val>
            <c:numRef>
              <c:f>'Summary Tables'!$H$255:$H$260</c:f>
              <c:numCache>
                <c:formatCode>#,##0_ ;\-#,##0\ </c:formatCode>
                <c:ptCount val="6"/>
                <c:pt idx="0">
                  <c:v>6</c:v>
                </c:pt>
                <c:pt idx="1">
                  <c:v>2</c:v>
                </c:pt>
                <c:pt idx="2">
                  <c:v>24</c:v>
                </c:pt>
                <c:pt idx="3">
                  <c:v>32</c:v>
                </c:pt>
                <c:pt idx="4">
                  <c:v>26</c:v>
                </c:pt>
                <c:pt idx="5">
                  <c:v>10</c:v>
                </c:pt>
              </c:numCache>
            </c:numRef>
          </c:val>
          <c:extLst>
            <c:ext xmlns:c16="http://schemas.microsoft.com/office/drawing/2014/chart" uri="{C3380CC4-5D6E-409C-BE32-E72D297353CC}">
              <c16:uniqueId val="{0000000C-97BE-4D80-B86B-6BF5106F2D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31758530183728"/>
          <c:y val="0.15859591875339904"/>
          <c:w val="0.51536482939632544"/>
          <c:h val="0.7428682225532619"/>
        </c:manualLayout>
      </c:layout>
      <c:pieChart>
        <c:varyColors val="1"/>
        <c:ser>
          <c:idx val="0"/>
          <c:order val="0"/>
          <c:tx>
            <c:strRef>
              <c:f>'Summary Tables'!$L$381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FB6-4A58-9406-3FD11A4A038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FB6-4A58-9406-3FD11A4A038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FB6-4A58-9406-3FD11A4A03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FB6-4A58-9406-3FD11A4A03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FB6-4A58-9406-3FD11A4A038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FB6-4A58-9406-3FD11A4A038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FB6-4A58-9406-3FD11A4A038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CFB6-4A58-9406-3FD11A4A038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CFB6-4A58-9406-3FD11A4A038D}"/>
              </c:ext>
            </c:extLst>
          </c:dPt>
          <c:dLbls>
            <c:dLbl>
              <c:idx val="0"/>
              <c:layout>
                <c:manualLayout>
                  <c:x val="0.10416666666666667"/>
                  <c:y val="-8.85416666666666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FB6-4A58-9406-3FD11A4A038D}"/>
                </c:ext>
              </c:extLst>
            </c:dLbl>
            <c:dLbl>
              <c:idx val="1"/>
              <c:layout>
                <c:manualLayout>
                  <c:x val="0.125"/>
                  <c:y val="2.083353838582676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0631266404199481"/>
                      <c:h val="0.2183595800524934"/>
                    </c:manualLayout>
                  </c15:layout>
                </c:ext>
                <c:ext xmlns:c16="http://schemas.microsoft.com/office/drawing/2014/chart" uri="{C3380CC4-5D6E-409C-BE32-E72D297353CC}">
                  <c16:uniqueId val="{00000003-CFB6-4A58-9406-3FD11A4A038D}"/>
                </c:ext>
              </c:extLst>
            </c:dLbl>
            <c:dLbl>
              <c:idx val="2"/>
              <c:layout>
                <c:manualLayout>
                  <c:x val="5.1160925196850393E-2"/>
                  <c:y val="0.15885437171916009"/>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7719980314960624"/>
                      <c:h val="0.22885416666666661"/>
                    </c:manualLayout>
                  </c15:layout>
                </c:ext>
                <c:ext xmlns:c16="http://schemas.microsoft.com/office/drawing/2014/chart" uri="{C3380CC4-5D6E-409C-BE32-E72D297353CC}">
                  <c16:uniqueId val="{00000005-CFB6-4A58-9406-3FD11A4A038D}"/>
                </c:ext>
              </c:extLst>
            </c:dLbl>
            <c:dLbl>
              <c:idx val="3"/>
              <c:layout>
                <c:manualLayout>
                  <c:x val="9.583333333333334E-2"/>
                  <c:y val="0.2343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FB6-4A58-9406-3FD11A4A038D}"/>
                </c:ext>
              </c:extLst>
            </c:dLbl>
            <c:dLbl>
              <c:idx val="4"/>
              <c:layout>
                <c:manualLayout>
                  <c:x val="3.7499999999999846E-2"/>
                  <c:y val="4.68749999999999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FB6-4A58-9406-3FD11A4A038D}"/>
                </c:ext>
              </c:extLst>
            </c:dLbl>
            <c:dLbl>
              <c:idx val="5"/>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0.29116666666666668"/>
                      <c:h val="0.25489583333333332"/>
                    </c:manualLayout>
                  </c15:layout>
                </c:ext>
                <c:ext xmlns:c16="http://schemas.microsoft.com/office/drawing/2014/chart" uri="{C3380CC4-5D6E-409C-BE32-E72D297353CC}">
                  <c16:uniqueId val="{0000000B-CFB6-4A58-9406-3FD11A4A038D}"/>
                </c:ext>
              </c:extLst>
            </c:dLbl>
            <c:dLbl>
              <c:idx val="6"/>
              <c:layout>
                <c:manualLayout>
                  <c:x val="-3.7499999999999999E-2"/>
                  <c:y val="7.81249999999999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FB6-4A58-9406-3FD11A4A038D}"/>
                </c:ext>
              </c:extLst>
            </c:dLbl>
            <c:dLbl>
              <c:idx val="7"/>
              <c:layout>
                <c:manualLayout>
                  <c:x val="1.6404199475065617E-7"/>
                  <c:y val="1.822916666666666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5249999999999992"/>
                      <c:h val="0.29127624671916008"/>
                    </c:manualLayout>
                  </c15:layout>
                </c:ext>
                <c:ext xmlns:c16="http://schemas.microsoft.com/office/drawing/2014/chart" uri="{C3380CC4-5D6E-409C-BE32-E72D297353CC}">
                  <c16:uniqueId val="{0000000E-CFB6-4A58-9406-3FD11A4A038D}"/>
                </c:ext>
              </c:extLst>
            </c:dLbl>
            <c:dLbl>
              <c:idx val="8"/>
              <c:layout>
                <c:manualLayout>
                  <c:x val="-6.6666666666666666E-2"/>
                  <c:y val="-5.2083333333333348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6760400262467193"/>
                      <c:h val="0.18726583005249345"/>
                    </c:manualLayout>
                  </c15:layout>
                </c:ext>
                <c:ext xmlns:c16="http://schemas.microsoft.com/office/drawing/2014/chart" uri="{C3380CC4-5D6E-409C-BE32-E72D297353CC}">
                  <c16:uniqueId val="{0000000F-CFB6-4A58-9406-3FD11A4A03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Tables'!$C$398:$C$406</c:f>
              <c:strCache>
                <c:ptCount val="9"/>
                <c:pt idx="0">
                  <c:v>Barnes</c:v>
                </c:pt>
                <c:pt idx="1">
                  <c:v>Ham, Petersham &amp; Richmond Park</c:v>
                </c:pt>
                <c:pt idx="2">
                  <c:v>Hampton &amp; Hampton Hill</c:v>
                </c:pt>
                <c:pt idx="3">
                  <c:v>Kew</c:v>
                </c:pt>
                <c:pt idx="4">
                  <c:v>Mortlake and East Sheen</c:v>
                </c:pt>
                <c:pt idx="5">
                  <c:v>Richmond and Richmond Hill</c:v>
                </c:pt>
                <c:pt idx="6">
                  <c:v>Teddington &amp; Hampton Wick</c:v>
                </c:pt>
                <c:pt idx="7">
                  <c:v>Twickenham, Strawberry Hill &amp; St Margarets</c:v>
                </c:pt>
                <c:pt idx="8">
                  <c:v>Whitton and Heathfield</c:v>
                </c:pt>
              </c:strCache>
            </c:strRef>
          </c:cat>
          <c:val>
            <c:numRef>
              <c:f>'Summary Tables'!$L$398:$L$406</c:f>
              <c:numCache>
                <c:formatCode>#,##0_ ;\-#,##0\ </c:formatCode>
                <c:ptCount val="9"/>
                <c:pt idx="0">
                  <c:v>20</c:v>
                </c:pt>
                <c:pt idx="1">
                  <c:v>265</c:v>
                </c:pt>
                <c:pt idx="2">
                  <c:v>159</c:v>
                </c:pt>
                <c:pt idx="3">
                  <c:v>91</c:v>
                </c:pt>
                <c:pt idx="4">
                  <c:v>1207</c:v>
                </c:pt>
                <c:pt idx="5">
                  <c:v>854</c:v>
                </c:pt>
                <c:pt idx="6">
                  <c:v>241</c:v>
                </c:pt>
                <c:pt idx="7">
                  <c:v>515</c:v>
                </c:pt>
                <c:pt idx="8">
                  <c:v>49</c:v>
                </c:pt>
              </c:numCache>
            </c:numRef>
          </c:val>
          <c:extLst>
            <c:ext xmlns:c16="http://schemas.microsoft.com/office/drawing/2014/chart" uri="{C3380CC4-5D6E-409C-BE32-E72D297353CC}">
              <c16:uniqueId val="{0000000C-CFB6-4A58-9406-3FD11A4A03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15091863517059"/>
          <c:y val="0.1766139367714171"/>
          <c:w val="0.51536482939632544"/>
          <c:h val="0.7428682225532619"/>
        </c:manualLayout>
      </c:layout>
      <c:pieChart>
        <c:varyColors val="1"/>
        <c:ser>
          <c:idx val="0"/>
          <c:order val="0"/>
          <c:tx>
            <c:strRef>
              <c:f>'Summary Tables'!$H$254</c:f>
              <c:strCache>
                <c:ptCount val="1"/>
                <c:pt idx="0">
                  <c:v>Net Gain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A0-4F0E-AD2D-8202618590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A0-4F0E-AD2D-8202618590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A0-4F0E-AD2D-8202618590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A0-4F0E-AD2D-8202618590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A0-4F0E-AD2D-8202618590C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A0-4F0E-AD2D-8202618590C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0-26A0-4F0E-AD2D-8202618590C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26A0-4F0E-AD2D-8202618590C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26A0-4F0E-AD2D-8202618590C5}"/>
              </c:ext>
            </c:extLst>
          </c:dPt>
          <c:dLbls>
            <c:dLbl>
              <c:idx val="0"/>
              <c:layout>
                <c:manualLayout>
                  <c:x val="-0.13750000000000004"/>
                  <c:y val="-0.1059972105997210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A0-4F0E-AD2D-8202618590C5}"/>
                </c:ext>
              </c:extLst>
            </c:dLbl>
            <c:dLbl>
              <c:idx val="1"/>
              <c:layout>
                <c:manualLayout>
                  <c:x val="0.11041666666666675"/>
                  <c:y val="-3.626220362622034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8547933070866144"/>
                      <c:h val="0.25062783470057876"/>
                    </c:manualLayout>
                  </c15:layout>
                </c:ext>
                <c:ext xmlns:c16="http://schemas.microsoft.com/office/drawing/2014/chart" uri="{C3380CC4-5D6E-409C-BE32-E72D297353CC}">
                  <c16:uniqueId val="{00000003-26A0-4F0E-AD2D-8202618590C5}"/>
                </c:ext>
              </c:extLst>
            </c:dLbl>
            <c:dLbl>
              <c:idx val="2"/>
              <c:layout>
                <c:manualLayout>
                  <c:x val="7.4219488188976376E-2"/>
                  <c:y val="0.1143654114365411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4604002624671917"/>
                      <c:h val="0.15587168758716877"/>
                    </c:manualLayout>
                  </c15:layout>
                </c:ext>
                <c:ext xmlns:c16="http://schemas.microsoft.com/office/drawing/2014/chart" uri="{C3380CC4-5D6E-409C-BE32-E72D297353CC}">
                  <c16:uniqueId val="{00000005-26A0-4F0E-AD2D-8202618590C5}"/>
                </c:ext>
              </c:extLst>
            </c:dLbl>
            <c:dLbl>
              <c:idx val="3"/>
              <c:layout>
                <c:manualLayout>
                  <c:x val="0.1125"/>
                  <c:y val="1.673640167364021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A0-4F0E-AD2D-8202618590C5}"/>
                </c:ext>
              </c:extLst>
            </c:dLbl>
            <c:dLbl>
              <c:idx val="4"/>
              <c:layout>
                <c:manualLayout>
                  <c:x val="4.1666666666666664E-2"/>
                  <c:y val="8.368200836820083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6A0-4F0E-AD2D-8202618590C5}"/>
                </c:ext>
              </c:extLst>
            </c:dLbl>
            <c:dLbl>
              <c:idx val="5"/>
              <c:layout>
                <c:manualLayout>
                  <c:x val="4.1666830708661416E-2"/>
                  <c:y val="-2.1963781723937227E-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4949999999999997"/>
                      <c:h val="0.20608089260808923"/>
                    </c:manualLayout>
                  </c15:layout>
                </c:ext>
                <c:ext xmlns:c16="http://schemas.microsoft.com/office/drawing/2014/chart" uri="{C3380CC4-5D6E-409C-BE32-E72D297353CC}">
                  <c16:uniqueId val="{0000000B-26A0-4F0E-AD2D-8202618590C5}"/>
                </c:ext>
              </c:extLst>
            </c:dLbl>
            <c:dLbl>
              <c:idx val="6"/>
              <c:layout>
                <c:manualLayout>
                  <c:x val="-0.17083333333333336"/>
                  <c:y val="-2.510460251046024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5768733595800519"/>
                      <c:h val="0.2116596931659693"/>
                    </c:manualLayout>
                  </c15:layout>
                </c:ext>
                <c:ext xmlns:c16="http://schemas.microsoft.com/office/drawing/2014/chart" uri="{C3380CC4-5D6E-409C-BE32-E72D297353CC}">
                  <c16:uniqueId val="{00000010-26A0-4F0E-AD2D-8202618590C5}"/>
                </c:ext>
              </c:extLst>
            </c:dLbl>
            <c:dLbl>
              <c:idx val="7"/>
              <c:dLblPos val="outEnd"/>
              <c:showLegendKey val="0"/>
              <c:showVal val="0"/>
              <c:showCatName val="1"/>
              <c:showSerName val="0"/>
              <c:showPercent val="0"/>
              <c:showBubbleSize val="0"/>
              <c:extLst>
                <c:ext xmlns:c15="http://schemas.microsoft.com/office/drawing/2012/chart" uri="{CE6537A1-D6FC-4f65-9D91-7224C49458BB}">
                  <c15:layout>
                    <c:manualLayout>
                      <c:w val="0.24833333333333332"/>
                      <c:h val="0.32315224195301945"/>
                    </c:manualLayout>
                  </c15:layout>
                </c:ext>
                <c:ext xmlns:c16="http://schemas.microsoft.com/office/drawing/2014/chart" uri="{C3380CC4-5D6E-409C-BE32-E72D297353CC}">
                  <c16:uniqueId val="{0000000E-26A0-4F0E-AD2D-8202618590C5}"/>
                </c:ext>
              </c:extLst>
            </c:dLbl>
            <c:dLbl>
              <c:idx val="8"/>
              <c:layout>
                <c:manualLayout>
                  <c:x val="-0.20416666666666666"/>
                  <c:y val="0"/>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6A0-4F0E-AD2D-8202618590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Tables'!$C$271:$C$279</c:f>
              <c:strCache>
                <c:ptCount val="9"/>
                <c:pt idx="0">
                  <c:v>Barnes</c:v>
                </c:pt>
                <c:pt idx="1">
                  <c:v>Ham, Petersham &amp; Richmond Park</c:v>
                </c:pt>
                <c:pt idx="2">
                  <c:v>Hampton &amp; Hampton Hill</c:v>
                </c:pt>
                <c:pt idx="3">
                  <c:v>Kew</c:v>
                </c:pt>
                <c:pt idx="4">
                  <c:v>Mortlake and East Sheen</c:v>
                </c:pt>
                <c:pt idx="5">
                  <c:v>Richmond and Richmond Hill</c:v>
                </c:pt>
                <c:pt idx="6">
                  <c:v>Teddington &amp; Hampton Wick</c:v>
                </c:pt>
                <c:pt idx="7">
                  <c:v>Twickenham, Strawberry Hill &amp; St Margarets</c:v>
                </c:pt>
                <c:pt idx="8">
                  <c:v>Whitton and Heathfield</c:v>
                </c:pt>
              </c:strCache>
            </c:strRef>
          </c:cat>
          <c:val>
            <c:numRef>
              <c:f>'Summary Tables'!$H$271:$H$279</c:f>
              <c:numCache>
                <c:formatCode>#,##0_ ;\-#,##0\ </c:formatCode>
                <c:ptCount val="9"/>
                <c:pt idx="0">
                  <c:v>-1</c:v>
                </c:pt>
                <c:pt idx="1">
                  <c:v>2</c:v>
                </c:pt>
                <c:pt idx="2">
                  <c:v>14</c:v>
                </c:pt>
                <c:pt idx="3">
                  <c:v>4</c:v>
                </c:pt>
                <c:pt idx="4">
                  <c:v>9</c:v>
                </c:pt>
                <c:pt idx="5">
                  <c:v>18</c:v>
                </c:pt>
                <c:pt idx="6">
                  <c:v>18</c:v>
                </c:pt>
                <c:pt idx="7">
                  <c:v>26</c:v>
                </c:pt>
                <c:pt idx="8">
                  <c:v>10</c:v>
                </c:pt>
              </c:numCache>
            </c:numRef>
          </c:val>
          <c:extLst>
            <c:ext xmlns:c16="http://schemas.microsoft.com/office/drawing/2014/chart" uri="{C3380CC4-5D6E-409C-BE32-E72D297353CC}">
              <c16:uniqueId val="{0000000C-26A0-4F0E-AD2D-8202618590C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900" b="1" i="0" u="none" strike="noStrike" kern="1200" baseline="0">
                <a:solidFill>
                  <a:sysClr val="windowText" lastClr="000000"/>
                </a:solidFill>
                <a:latin typeface="Arial" panose="020B0604020202020204" pitchFamily="34" charset="0"/>
                <a:ea typeface="+mn-ea"/>
                <a:cs typeface="Arial" panose="020B0604020202020204" pitchFamily="34" charset="0"/>
              </a:rPr>
              <a:t>Net completions on small / large sites</a:t>
            </a:r>
          </a:p>
        </c:rich>
      </c:tx>
      <c:overlay val="0"/>
      <c:spPr>
        <a:noFill/>
        <a:ln>
          <a:noFill/>
        </a:ln>
        <a:effectLst/>
      </c:spPr>
      <c:txPr>
        <a:bodyPr rot="0" spcFirstLastPara="1" vertOverflow="ellipsis" vert="horz" wrap="square" anchor="ctr" anchorCtr="1"/>
        <a:lstStyle/>
        <a:p>
          <a:pPr algn="ctr" rtl="0">
            <a:defRPr lang="en-GB"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353455818022752E-2"/>
          <c:y val="0.14048629337999416"/>
          <c:w val="0.8461874453193351"/>
          <c:h val="0.62759037473257018"/>
        </c:manualLayout>
      </c:layout>
      <c:barChart>
        <c:barDir val="col"/>
        <c:grouping val="stacked"/>
        <c:varyColors val="0"/>
        <c:ser>
          <c:idx val="0"/>
          <c:order val="0"/>
          <c:tx>
            <c:strRef>
              <c:f>'Summary Tables'!$D$146</c:f>
              <c:strCache>
                <c:ptCount val="1"/>
                <c:pt idx="0">
                  <c:v>Small</c:v>
                </c:pt>
              </c:strCache>
            </c:strRef>
          </c:tx>
          <c:spPr>
            <a:solidFill>
              <a:schemeClr val="accent1"/>
            </a:solidFill>
            <a:ln>
              <a:noFill/>
            </a:ln>
            <a:effectLst/>
          </c:spPr>
          <c:invertIfNegative val="0"/>
          <c:cat>
            <c:strRef>
              <c:f>'Summary Tables'!$C$147:$C$157</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'Summary Tables'!$D$147:$D$157</c:f>
              <c:numCache>
                <c:formatCode>#,##0_ ;\-#,##0\ </c:formatCode>
                <c:ptCount val="11"/>
                <c:pt idx="0">
                  <c:v>63</c:v>
                </c:pt>
                <c:pt idx="1">
                  <c:v>238</c:v>
                </c:pt>
                <c:pt idx="2">
                  <c:v>304</c:v>
                </c:pt>
                <c:pt idx="3">
                  <c:v>242</c:v>
                </c:pt>
                <c:pt idx="4">
                  <c:v>165</c:v>
                </c:pt>
                <c:pt idx="5">
                  <c:v>125</c:v>
                </c:pt>
                <c:pt idx="6">
                  <c:v>98</c:v>
                </c:pt>
                <c:pt idx="7">
                  <c:v>107</c:v>
                </c:pt>
                <c:pt idx="8">
                  <c:v>63</c:v>
                </c:pt>
                <c:pt idx="9">
                  <c:v>121</c:v>
                </c:pt>
                <c:pt idx="10">
                  <c:v>77</c:v>
                </c:pt>
              </c:numCache>
            </c:numRef>
          </c:val>
          <c:extLst>
            <c:ext xmlns:c16="http://schemas.microsoft.com/office/drawing/2014/chart" uri="{C3380CC4-5D6E-409C-BE32-E72D297353CC}">
              <c16:uniqueId val="{00000000-3CC3-4767-80AF-B1DB404A4C96}"/>
            </c:ext>
          </c:extLst>
        </c:ser>
        <c:ser>
          <c:idx val="1"/>
          <c:order val="1"/>
          <c:tx>
            <c:strRef>
              <c:f>'Summary Tables'!$E$146</c:f>
              <c:strCache>
                <c:ptCount val="1"/>
                <c:pt idx="0">
                  <c:v>Large</c:v>
                </c:pt>
              </c:strCache>
            </c:strRef>
          </c:tx>
          <c:spPr>
            <a:solidFill>
              <a:schemeClr val="accent2"/>
            </a:solidFill>
            <a:ln>
              <a:noFill/>
            </a:ln>
            <a:effectLst/>
          </c:spPr>
          <c:invertIfNegative val="0"/>
          <c:cat>
            <c:strRef>
              <c:f>'Summary Tables'!$C$147:$C$157</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'Summary Tables'!$E$147:$E$157</c:f>
              <c:numCache>
                <c:formatCode>#,##0_ ;\-#,##0\ </c:formatCode>
                <c:ptCount val="11"/>
                <c:pt idx="0">
                  <c:v>172</c:v>
                </c:pt>
                <c:pt idx="1">
                  <c:v>66</c:v>
                </c:pt>
                <c:pt idx="2">
                  <c:v>187</c:v>
                </c:pt>
                <c:pt idx="3">
                  <c:v>218</c:v>
                </c:pt>
                <c:pt idx="4">
                  <c:v>217</c:v>
                </c:pt>
                <c:pt idx="5">
                  <c:v>294</c:v>
                </c:pt>
                <c:pt idx="6">
                  <c:v>233</c:v>
                </c:pt>
                <c:pt idx="7">
                  <c:v>99</c:v>
                </c:pt>
                <c:pt idx="8">
                  <c:v>101</c:v>
                </c:pt>
                <c:pt idx="9">
                  <c:v>20</c:v>
                </c:pt>
                <c:pt idx="10">
                  <c:v>23</c:v>
                </c:pt>
              </c:numCache>
            </c:numRef>
          </c:val>
          <c:extLst>
            <c:ext xmlns:c16="http://schemas.microsoft.com/office/drawing/2014/chart" uri="{C3380CC4-5D6E-409C-BE32-E72D297353CC}">
              <c16:uniqueId val="{00000001-3CC3-4767-80AF-B1DB404A4C96}"/>
            </c:ext>
          </c:extLst>
        </c:ser>
        <c:dLbls>
          <c:showLegendKey val="0"/>
          <c:showVal val="0"/>
          <c:showCatName val="0"/>
          <c:showSerName val="0"/>
          <c:showPercent val="0"/>
          <c:showBubbleSize val="0"/>
        </c:dLbls>
        <c:gapWidth val="150"/>
        <c:overlap val="100"/>
        <c:axId val="794977080"/>
        <c:axId val="794977440"/>
      </c:barChart>
      <c:catAx>
        <c:axId val="79497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lgn="ct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94977440"/>
        <c:crosses val="autoZero"/>
        <c:auto val="1"/>
        <c:lblAlgn val="ctr"/>
        <c:lblOffset val="100"/>
        <c:noMultiLvlLbl val="0"/>
      </c:catAx>
      <c:valAx>
        <c:axId val="794977440"/>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977080"/>
        <c:crosses val="autoZero"/>
        <c:crossBetween val="between"/>
      </c:valAx>
      <c:spPr>
        <a:noFill/>
        <a:ln>
          <a:noFill/>
        </a:ln>
        <a:effectLst/>
      </c:spPr>
    </c:plotArea>
    <c:legend>
      <c:legendPos val="b"/>
      <c:layout>
        <c:manualLayout>
          <c:xMode val="edge"/>
          <c:yMode val="edge"/>
          <c:x val="0.82029724409448834"/>
          <c:y val="3.7615193934091531E-2"/>
          <c:w val="0.15384973753280837"/>
          <c:h val="0.212579456979642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15091863517059"/>
          <c:y val="0.1766139367714171"/>
          <c:w val="0.51536482939632544"/>
          <c:h val="0.7428682225532619"/>
        </c:manualLayout>
      </c:layout>
      <c:pieChart>
        <c:varyColors val="1"/>
        <c:ser>
          <c:idx val="0"/>
          <c:order val="0"/>
          <c:tx>
            <c:strRef>
              <c:f>'Summary Tables'!$H$254</c:f>
              <c:strCache>
                <c:ptCount val="1"/>
                <c:pt idx="0">
                  <c:v>Net Gain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0D-431A-B27F-464F93468F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0D-431A-B27F-464F93468F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0D-431A-B27F-464F93468FD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0D-431A-B27F-464F93468F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0D-431A-B27F-464F93468FD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A0D-431A-B27F-464F93468FD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A0D-431A-B27F-464F93468FD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A0D-431A-B27F-464F93468FD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A0D-431A-B27F-464F93468FDD}"/>
              </c:ext>
            </c:extLst>
          </c:dPt>
          <c:dLbls>
            <c:dLbl>
              <c:idx val="0"/>
              <c:layout>
                <c:manualLayout>
                  <c:x val="-9.1527887139107617E-2"/>
                  <c:y val="-5.8193918228840645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0D-431A-B27F-464F93468FDD}"/>
                </c:ext>
              </c:extLst>
            </c:dLbl>
            <c:dLbl>
              <c:idx val="1"/>
              <c:layout>
                <c:manualLayout>
                  <c:x val="-1.2499835958005173E-2"/>
                  <c:y val="-8.5676319748734329E-3"/>
                </c:manualLayout>
              </c:layout>
              <c:showLegendKey val="0"/>
              <c:showVal val="0"/>
              <c:showCatName val="1"/>
              <c:showSerName val="0"/>
              <c:showPercent val="0"/>
              <c:showBubbleSize val="0"/>
              <c:extLst>
                <c:ext xmlns:c15="http://schemas.microsoft.com/office/drawing/2012/chart" uri="{CE6537A1-D6FC-4f65-9D91-7224C49458BB}">
                  <c15:layout>
                    <c:manualLayout>
                      <c:w val="0.31874999999999998"/>
                      <c:h val="0.26359832635983266"/>
                    </c:manualLayout>
                  </c15:layout>
                </c:ext>
                <c:ext xmlns:c16="http://schemas.microsoft.com/office/drawing/2014/chart" uri="{C3380CC4-5D6E-409C-BE32-E72D297353CC}">
                  <c16:uniqueId val="{00000003-CA0D-431A-B27F-464F93468FDD}"/>
                </c:ext>
              </c:extLst>
            </c:dLbl>
            <c:dLbl>
              <c:idx val="2"/>
              <c:layout>
                <c:manualLayout>
                  <c:x val="-3.1250000000000002E-3"/>
                  <c:y val="3.0982110499785855E-3"/>
                </c:manualLayout>
              </c:layout>
              <c:showLegendKey val="0"/>
              <c:showVal val="0"/>
              <c:showCatName val="1"/>
              <c:showSerName val="0"/>
              <c:showPercent val="0"/>
              <c:showBubbleSize val="0"/>
              <c:extLst>
                <c:ext xmlns:c15="http://schemas.microsoft.com/office/drawing/2012/chart" uri="{CE6537A1-D6FC-4f65-9D91-7224C49458BB}">
                  <c15:layout>
                    <c:manualLayout>
                      <c:w val="0.25"/>
                      <c:h val="0.20083682008368201"/>
                    </c:manualLayout>
                  </c15:layout>
                </c:ext>
                <c:ext xmlns:c16="http://schemas.microsoft.com/office/drawing/2014/chart" uri="{C3380CC4-5D6E-409C-BE32-E72D297353CC}">
                  <c16:uniqueId val="{00000005-CA0D-431A-B27F-464F93468FDD}"/>
                </c:ext>
              </c:extLst>
            </c:dLbl>
            <c:dLbl>
              <c:idx val="5"/>
              <c:layout>
                <c:manualLayout>
                  <c:x val="-2.9166666666666667E-2"/>
                  <c:y val="7.711308053020579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15:layout>
                    <c:manualLayout>
                      <c:w val="0.30729166666666669"/>
                      <c:h val="0.14783821478382148"/>
                    </c:manualLayout>
                  </c15:layout>
                </c:ext>
                <c:ext xmlns:c16="http://schemas.microsoft.com/office/drawing/2014/chart" uri="{C3380CC4-5D6E-409C-BE32-E72D297353CC}">
                  <c16:uniqueId val="{0000000B-CA0D-431A-B27F-464F93468FDD}"/>
                </c:ext>
              </c:extLst>
            </c:dLbl>
            <c:dLbl>
              <c:idx val="6"/>
              <c:layout>
                <c:manualLayout>
                  <c:x val="-0.16508530183727035"/>
                  <c:y val="-8.7029288702928868E-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0D-431A-B27F-464F93468FDD}"/>
                </c:ext>
              </c:extLst>
            </c:dLbl>
            <c:dLbl>
              <c:idx val="7"/>
              <c:layout>
                <c:manualLayout>
                  <c:x val="-2.9166666666666667E-2"/>
                  <c:y val="9.0697679526460864E-2"/>
                </c:manualLayout>
              </c:layout>
              <c:showLegendKey val="0"/>
              <c:showVal val="0"/>
              <c:showCatName val="1"/>
              <c:showSerName val="0"/>
              <c:showPercent val="0"/>
              <c:showBubbleSize val="0"/>
              <c:extLst>
                <c:ext xmlns:c15="http://schemas.microsoft.com/office/drawing/2012/chart" uri="{CE6537A1-D6FC-4f65-9D91-7224C49458BB}">
                  <c15:layout>
                    <c:manualLayout>
                      <c:w val="0.31458333333333333"/>
                      <c:h val="0.26359832635983266"/>
                    </c:manualLayout>
                  </c15:layout>
                </c:ext>
                <c:ext xmlns:c16="http://schemas.microsoft.com/office/drawing/2014/chart" uri="{C3380CC4-5D6E-409C-BE32-E72D297353CC}">
                  <c16:uniqueId val="{0000000F-CA0D-431A-B27F-464F93468FDD}"/>
                </c:ext>
              </c:extLst>
            </c:dLbl>
            <c:dLbl>
              <c:idx val="8"/>
              <c:layout>
                <c:manualLayout>
                  <c:x val="1.430232939632543E-2"/>
                  <c:y val="-1.952558231476295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15:layout>
                    <c:manualLayout>
                      <c:w val="0.27177066929133853"/>
                      <c:h val="0.1559555892333542"/>
                    </c:manualLayout>
                  </c15:layout>
                </c:ext>
                <c:ext xmlns:c16="http://schemas.microsoft.com/office/drawing/2014/chart" uri="{C3380CC4-5D6E-409C-BE32-E72D297353CC}">
                  <c16:uniqueId val="{00000011-CA0D-431A-B27F-464F93468F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Tables'!$C$287:$C$295</c:f>
              <c:strCache>
                <c:ptCount val="9"/>
                <c:pt idx="0">
                  <c:v>Barnes</c:v>
                </c:pt>
                <c:pt idx="1">
                  <c:v>Ham, Petersham &amp; Richmond Park</c:v>
                </c:pt>
                <c:pt idx="2">
                  <c:v>Hampton &amp; Hampton Hill</c:v>
                </c:pt>
                <c:pt idx="3">
                  <c:v>Kew</c:v>
                </c:pt>
                <c:pt idx="4">
                  <c:v>Mortlake and East Sheen</c:v>
                </c:pt>
                <c:pt idx="5">
                  <c:v>Richmond and Richmond Hill</c:v>
                </c:pt>
                <c:pt idx="6">
                  <c:v>Teddington &amp; Hampton Wick</c:v>
                </c:pt>
                <c:pt idx="7">
                  <c:v>Twickenham, Strawberry Hill &amp; St Margarets</c:v>
                </c:pt>
                <c:pt idx="8">
                  <c:v>Whitton and Heathfield</c:v>
                </c:pt>
              </c:strCache>
            </c:strRef>
          </c:cat>
          <c:val>
            <c:numRef>
              <c:f>'Summary Tables'!$H$287:$H$295</c:f>
              <c:numCache>
                <c:formatCode>#,##0_ ;\-#,##0\ </c:formatCode>
                <c:ptCount val="9"/>
                <c:pt idx="0">
                  <c:v>13</c:v>
                </c:pt>
                <c:pt idx="1">
                  <c:v>3</c:v>
                </c:pt>
                <c:pt idx="2">
                  <c:v>15</c:v>
                </c:pt>
                <c:pt idx="3">
                  <c:v>1</c:v>
                </c:pt>
                <c:pt idx="4">
                  <c:v>5</c:v>
                </c:pt>
                <c:pt idx="5">
                  <c:v>19</c:v>
                </c:pt>
                <c:pt idx="6">
                  <c:v>40</c:v>
                </c:pt>
                <c:pt idx="7">
                  <c:v>23</c:v>
                </c:pt>
                <c:pt idx="8">
                  <c:v>9</c:v>
                </c:pt>
              </c:numCache>
            </c:numRef>
          </c:val>
          <c:extLst>
            <c:ext xmlns:c16="http://schemas.microsoft.com/office/drawing/2014/chart" uri="{C3380CC4-5D6E-409C-BE32-E72D297353CC}">
              <c16:uniqueId val="{00000012-CA0D-431A-B27F-464F93468FD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GB" sz="1100">
                <a:latin typeface="Arial" panose="020B0604020202020204" pitchFamily="34" charset="0"/>
                <a:cs typeface="Arial" panose="020B0604020202020204" pitchFamily="34" charset="0"/>
              </a:rPr>
              <a:t>Housing Delivery</a:t>
            </a:r>
            <a:r>
              <a:rPr lang="en-GB" sz="1100" baseline="0">
                <a:latin typeface="Arial" panose="020B0604020202020204" pitchFamily="34" charset="0"/>
                <a:cs typeface="Arial" panose="020B0604020202020204" pitchFamily="34" charset="0"/>
              </a:rPr>
              <a:t> Trajectory and Managed Target</a:t>
            </a:r>
            <a:endParaRPr lang="en-GB" sz="11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0"/>
          <c:order val="0"/>
          <c:tx>
            <c:strRef>
              <c:f>Trajectory!$C$12</c:f>
              <c:strCache>
                <c:ptCount val="1"/>
                <c:pt idx="0">
                  <c:v>Past Completions</c:v>
                </c:pt>
              </c:strCache>
            </c:strRef>
          </c:tx>
          <c:spPr>
            <a:solidFill>
              <a:schemeClr val="tx2"/>
            </a:solidFill>
          </c:spPr>
          <c:invertIfNegative val="0"/>
          <c:dPt>
            <c:idx val="7"/>
            <c:invertIfNegative val="0"/>
            <c:bubble3D val="0"/>
            <c:extLst>
              <c:ext xmlns:c16="http://schemas.microsoft.com/office/drawing/2014/chart" uri="{C3380CC4-5D6E-409C-BE32-E72D297353CC}">
                <c16:uniqueId val="{00000000-D17F-4F2B-B88A-4FFB674763BC}"/>
              </c:ext>
            </c:extLst>
          </c:dPt>
          <c:dPt>
            <c:idx val="8"/>
            <c:invertIfNegative val="0"/>
            <c:bubble3D val="0"/>
            <c:extLst>
              <c:ext xmlns:c16="http://schemas.microsoft.com/office/drawing/2014/chart" uri="{C3380CC4-5D6E-409C-BE32-E72D297353CC}">
                <c16:uniqueId val="{00000001-D17F-4F2B-B88A-4FFB674763BC}"/>
              </c:ext>
            </c:extLst>
          </c:dPt>
          <c:dPt>
            <c:idx val="9"/>
            <c:invertIfNegative val="0"/>
            <c:bubble3D val="0"/>
            <c:extLst>
              <c:ext xmlns:c16="http://schemas.microsoft.com/office/drawing/2014/chart" uri="{C3380CC4-5D6E-409C-BE32-E72D297353CC}">
                <c16:uniqueId val="{00000002-D17F-4F2B-B88A-4FFB674763BC}"/>
              </c:ext>
            </c:extLst>
          </c:dPt>
          <c:dPt>
            <c:idx val="10"/>
            <c:invertIfNegative val="0"/>
            <c:bubble3D val="0"/>
            <c:spPr>
              <a:solidFill>
                <a:schemeClr val="accent5"/>
              </a:solidFill>
            </c:spPr>
            <c:extLst>
              <c:ext xmlns:c16="http://schemas.microsoft.com/office/drawing/2014/chart" uri="{C3380CC4-5D6E-409C-BE32-E72D297353CC}">
                <c16:uniqueId val="{00000004-D17F-4F2B-B88A-4FFB674763BC}"/>
              </c:ext>
            </c:extLst>
          </c:dPt>
          <c:dLbls>
            <c:dLbl>
              <c:idx val="9"/>
              <c:spPr>
                <a:solidFill>
                  <a:schemeClr val="bg1"/>
                </a:solid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2-D17F-4F2B-B88A-4FFB674763BC}"/>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Trajectory!$D$11:$Z$11</c:f>
              <c:strCache>
                <c:ptCount val="2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pt idx="22">
                  <c:v>2038/39</c:v>
                </c:pt>
              </c:strCache>
            </c:strRef>
          </c:cat>
          <c:val>
            <c:numRef>
              <c:f>Trajectory!$D$12:$R$12</c:f>
              <c:numCache>
                <c:formatCode>General</c:formatCode>
                <c:ptCount val="15"/>
                <c:pt idx="0">
                  <c:v>460</c:v>
                </c:pt>
                <c:pt idx="1">
                  <c:v>382</c:v>
                </c:pt>
                <c:pt idx="2">
                  <c:v>419</c:v>
                </c:pt>
                <c:pt idx="3">
                  <c:v>331</c:v>
                </c:pt>
                <c:pt idx="4" formatCode="#,##0">
                  <c:v>206</c:v>
                </c:pt>
                <c:pt idx="5" formatCode="#,##0">
                  <c:v>164</c:v>
                </c:pt>
                <c:pt idx="6" formatCode="#,##0">
                  <c:v>141</c:v>
                </c:pt>
                <c:pt idx="7" formatCode="#,##0">
                  <c:v>100</c:v>
                </c:pt>
              </c:numCache>
            </c:numRef>
          </c:val>
          <c:extLst>
            <c:ext xmlns:c16="http://schemas.microsoft.com/office/drawing/2014/chart" uri="{C3380CC4-5D6E-409C-BE32-E72D297353CC}">
              <c16:uniqueId val="{00000005-D17F-4F2B-B88A-4FFB674763BC}"/>
            </c:ext>
          </c:extLst>
        </c:ser>
        <c:ser>
          <c:idx val="1"/>
          <c:order val="1"/>
          <c:tx>
            <c:strRef>
              <c:f>Trajectory!$C$13</c:f>
              <c:strCache>
                <c:ptCount val="1"/>
                <c:pt idx="0">
                  <c:v>Projected Completions</c:v>
                </c:pt>
              </c:strCache>
            </c:strRef>
          </c:tx>
          <c:spPr>
            <a:solidFill>
              <a:schemeClr val="accent1"/>
            </a:solidFill>
          </c:spPr>
          <c:invertIfNegative val="0"/>
          <c:dLbls>
            <c:numFmt formatCode="#,##0" sourceLinked="0"/>
            <c:spPr>
              <a:noFill/>
              <a:effectLst/>
            </c:spPr>
            <c:txPr>
              <a:bodyPr wrap="square" lIns="38100" tIns="19050" rIns="38100" bIns="19050" anchor="ctr">
                <a:spAutoFit/>
              </a:bodyPr>
              <a:lstStyle/>
              <a:p>
                <a:pPr>
                  <a:defRPr>
                    <a:solidFill>
                      <a:schemeClr val="tx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Trajectory!$D$11:$Z$11</c:f>
              <c:strCache>
                <c:ptCount val="2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pt idx="22">
                  <c:v>2038/39</c:v>
                </c:pt>
              </c:strCache>
            </c:strRef>
          </c:cat>
          <c:val>
            <c:numRef>
              <c:f>Trajectory!$D$13:$Z$13</c:f>
              <c:numCache>
                <c:formatCode>#,##0</c:formatCode>
                <c:ptCount val="23"/>
                <c:pt idx="8" formatCode="0">
                  <c:v>239</c:v>
                </c:pt>
                <c:pt idx="9" formatCode="0">
                  <c:v>408.75</c:v>
                </c:pt>
                <c:pt idx="10" formatCode="0">
                  <c:v>551.35000000000014</c:v>
                </c:pt>
                <c:pt idx="11" formatCode="0">
                  <c:v>737.75000000000011</c:v>
                </c:pt>
                <c:pt idx="12" formatCode="0">
                  <c:v>1191.7499999999998</c:v>
                </c:pt>
                <c:pt idx="13" formatCode="0">
                  <c:v>845</c:v>
                </c:pt>
                <c:pt idx="14" formatCode="0">
                  <c:v>324</c:v>
                </c:pt>
                <c:pt idx="15" formatCode="0">
                  <c:v>461</c:v>
                </c:pt>
                <c:pt idx="16" formatCode="0">
                  <c:v>399</c:v>
                </c:pt>
                <c:pt idx="17">
                  <c:v>361</c:v>
                </c:pt>
                <c:pt idx="18">
                  <c:v>306</c:v>
                </c:pt>
                <c:pt idx="19" formatCode="General">
                  <c:v>306</c:v>
                </c:pt>
                <c:pt idx="20" formatCode="General">
                  <c:v>306</c:v>
                </c:pt>
                <c:pt idx="21" formatCode="General">
                  <c:v>306</c:v>
                </c:pt>
                <c:pt idx="22" formatCode="General">
                  <c:v>306</c:v>
                </c:pt>
              </c:numCache>
            </c:numRef>
          </c:val>
          <c:extLst>
            <c:ext xmlns:c16="http://schemas.microsoft.com/office/drawing/2014/chart" uri="{C3380CC4-5D6E-409C-BE32-E72D297353CC}">
              <c16:uniqueId val="{00000006-D17F-4F2B-B88A-4FFB674763BC}"/>
            </c:ext>
          </c:extLst>
        </c:ser>
        <c:dLbls>
          <c:showLegendKey val="0"/>
          <c:showVal val="0"/>
          <c:showCatName val="0"/>
          <c:showSerName val="0"/>
          <c:showPercent val="0"/>
          <c:showBubbleSize val="0"/>
        </c:dLbls>
        <c:gapWidth val="100"/>
        <c:overlap val="100"/>
        <c:axId val="320841984"/>
        <c:axId val="320852352"/>
      </c:barChart>
      <c:lineChart>
        <c:grouping val="standard"/>
        <c:varyColors val="0"/>
        <c:ser>
          <c:idx val="2"/>
          <c:order val="2"/>
          <c:tx>
            <c:strRef>
              <c:f>Trajectory!$C$15</c:f>
              <c:strCache>
                <c:ptCount val="1"/>
                <c:pt idx="0">
                  <c:v>Annual Target</c:v>
                </c:pt>
              </c:strCache>
            </c:strRef>
          </c:tx>
          <c:spPr>
            <a:ln>
              <a:solidFill>
                <a:schemeClr val="accent6">
                  <a:lumMod val="50000"/>
                </a:schemeClr>
              </a:solidFill>
            </a:ln>
          </c:spPr>
          <c:marker>
            <c:symbol val="none"/>
          </c:marker>
          <c:cat>
            <c:strRef>
              <c:f>Trajectory!$D$11:$Z$11</c:f>
              <c:strCache>
                <c:ptCount val="2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pt idx="22">
                  <c:v>2038/39</c:v>
                </c:pt>
              </c:strCache>
            </c:strRef>
          </c:cat>
          <c:val>
            <c:numRef>
              <c:f>Trajectory!$D$15:$Z$15</c:f>
              <c:numCache>
                <c:formatCode>#,##0</c:formatCode>
                <c:ptCount val="23"/>
                <c:pt idx="0">
                  <c:v>315</c:v>
                </c:pt>
                <c:pt idx="1">
                  <c:v>315</c:v>
                </c:pt>
                <c:pt idx="2">
                  <c:v>315</c:v>
                </c:pt>
                <c:pt idx="3">
                  <c:v>315</c:v>
                </c:pt>
                <c:pt idx="4">
                  <c:v>315</c:v>
                </c:pt>
                <c:pt idx="5">
                  <c:v>411</c:v>
                </c:pt>
                <c:pt idx="6">
                  <c:v>411</c:v>
                </c:pt>
                <c:pt idx="7">
                  <c:v>411</c:v>
                </c:pt>
                <c:pt idx="8">
                  <c:v>411</c:v>
                </c:pt>
                <c:pt idx="9">
                  <c:v>411</c:v>
                </c:pt>
                <c:pt idx="10">
                  <c:v>411</c:v>
                </c:pt>
                <c:pt idx="11">
                  <c:v>411</c:v>
                </c:pt>
                <c:pt idx="12">
                  <c:v>411</c:v>
                </c:pt>
                <c:pt idx="13">
                  <c:v>411</c:v>
                </c:pt>
                <c:pt idx="14">
                  <c:v>411</c:v>
                </c:pt>
                <c:pt idx="15">
                  <c:v>306</c:v>
                </c:pt>
                <c:pt idx="16">
                  <c:v>306</c:v>
                </c:pt>
                <c:pt idx="17">
                  <c:v>306</c:v>
                </c:pt>
                <c:pt idx="18">
                  <c:v>306</c:v>
                </c:pt>
                <c:pt idx="19">
                  <c:v>306</c:v>
                </c:pt>
                <c:pt idx="20">
                  <c:v>306</c:v>
                </c:pt>
                <c:pt idx="21">
                  <c:v>306</c:v>
                </c:pt>
                <c:pt idx="22">
                  <c:v>306</c:v>
                </c:pt>
              </c:numCache>
            </c:numRef>
          </c:val>
          <c:smooth val="0"/>
          <c:extLst>
            <c:ext xmlns:c16="http://schemas.microsoft.com/office/drawing/2014/chart" uri="{C3380CC4-5D6E-409C-BE32-E72D297353CC}">
              <c16:uniqueId val="{00000007-D17F-4F2B-B88A-4FFB674763BC}"/>
            </c:ext>
          </c:extLst>
        </c:ser>
        <c:ser>
          <c:idx val="4"/>
          <c:order val="3"/>
          <c:tx>
            <c:strRef>
              <c:f>Trajectory!$B$18</c:f>
              <c:strCache>
                <c:ptCount val="1"/>
                <c:pt idx="0">
                  <c:v>Stepped Trajectory (London Plan)</c:v>
                </c:pt>
              </c:strCache>
            </c:strRef>
          </c:tx>
          <c:spPr>
            <a:ln w="22225">
              <a:solidFill>
                <a:srgbClr val="FF0000"/>
              </a:solidFill>
              <a:prstDash val="dash"/>
            </a:ln>
          </c:spPr>
          <c:marker>
            <c:symbol val="none"/>
          </c:marker>
          <c:cat>
            <c:strRef>
              <c:f>Trajectory!$D$11:$Z$11</c:f>
              <c:strCache>
                <c:ptCount val="2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pt idx="22">
                  <c:v>2038/39</c:v>
                </c:pt>
              </c:strCache>
            </c:strRef>
          </c:cat>
          <c:val>
            <c:numRef>
              <c:f>Trajectory!$D$18:$R$18</c:f>
              <c:numCache>
                <c:formatCode>General</c:formatCode>
                <c:ptCount val="15"/>
                <c:pt idx="5">
                  <c:v>210</c:v>
                </c:pt>
                <c:pt idx="6">
                  <c:v>210</c:v>
                </c:pt>
                <c:pt idx="7">
                  <c:v>210</c:v>
                </c:pt>
                <c:pt idx="8">
                  <c:v>210</c:v>
                </c:pt>
                <c:pt idx="9">
                  <c:v>420</c:v>
                </c:pt>
                <c:pt idx="10">
                  <c:v>420</c:v>
                </c:pt>
                <c:pt idx="11">
                  <c:v>420</c:v>
                </c:pt>
                <c:pt idx="12">
                  <c:v>670</c:v>
                </c:pt>
                <c:pt idx="13">
                  <c:v>670</c:v>
                </c:pt>
                <c:pt idx="14">
                  <c:v>670</c:v>
                </c:pt>
              </c:numCache>
            </c:numRef>
          </c:val>
          <c:smooth val="0"/>
          <c:extLst>
            <c:ext xmlns:c16="http://schemas.microsoft.com/office/drawing/2014/chart" uri="{C3380CC4-5D6E-409C-BE32-E72D297353CC}">
              <c16:uniqueId val="{00000008-D17F-4F2B-B88A-4FFB674763BC}"/>
            </c:ext>
          </c:extLst>
        </c:ser>
        <c:dLbls>
          <c:showLegendKey val="0"/>
          <c:showVal val="0"/>
          <c:showCatName val="0"/>
          <c:showSerName val="0"/>
          <c:showPercent val="0"/>
          <c:showBubbleSize val="0"/>
        </c:dLbls>
        <c:marker val="1"/>
        <c:smooth val="0"/>
        <c:axId val="320841984"/>
        <c:axId val="320852352"/>
      </c:lineChart>
      <c:catAx>
        <c:axId val="32084198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20852352"/>
        <c:crosses val="autoZero"/>
        <c:auto val="1"/>
        <c:lblAlgn val="ctr"/>
        <c:lblOffset val="100"/>
        <c:noMultiLvlLbl val="0"/>
      </c:catAx>
      <c:valAx>
        <c:axId val="320852352"/>
        <c:scaling>
          <c:orientation val="minMax"/>
          <c:max val="1200"/>
        </c:scaling>
        <c:delete val="0"/>
        <c:axPos val="l"/>
        <c:majorGridlines>
          <c:spPr>
            <a:ln>
              <a:noFill/>
            </a:ln>
          </c:spPr>
        </c:majorGridlines>
        <c:title>
          <c:tx>
            <c:rich>
              <a:bodyPr rot="-5400000" vert="horz"/>
              <a:lstStyle/>
              <a:p>
                <a:pPr>
                  <a:defRPr/>
                </a:pPr>
                <a:r>
                  <a:rPr lang="en-GB"/>
                  <a:t>Dwellings</a:t>
                </a:r>
              </a:p>
            </c:rich>
          </c:tx>
          <c:overlay val="0"/>
        </c:title>
        <c:numFmt formatCode="General" sourceLinked="1"/>
        <c:majorTickMark val="out"/>
        <c:minorTickMark val="none"/>
        <c:tickLblPos val="nextTo"/>
        <c:crossAx val="320841984"/>
        <c:crosses val="autoZero"/>
        <c:crossBetween val="between"/>
        <c:majorUnit val="100"/>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tx1"/>
      </a:solidFill>
    </a:ln>
  </c:spPr>
  <c:txPr>
    <a:bodyPr/>
    <a:lstStyle/>
    <a:p>
      <a:pPr>
        <a:defRPr sz="9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b="1" i="0" u="none" strike="noStrike" kern="1200" baseline="0">
                <a:solidFill>
                  <a:sysClr val="windowText" lastClr="000000"/>
                </a:solidFill>
                <a:latin typeface="Arial" panose="020B0604020202020204" pitchFamily="34" charset="0"/>
                <a:cs typeface="Arial" panose="020B0604020202020204" pitchFamily="34" charset="0"/>
              </a:rPr>
              <a:t>Housing Delivery above or below the Target over Time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8"/>
          <c:order val="0"/>
          <c:tx>
            <c:strRef>
              <c:f>Trajectory!$C$17</c:f>
              <c:strCache>
                <c:ptCount val="1"/>
                <c:pt idx="0">
                  <c:v>Cumulative Completions against Cumulative Target</c:v>
                </c:pt>
              </c:strCache>
            </c:strRef>
          </c:tx>
          <c:spPr>
            <a:ln w="28575" cap="rnd">
              <a:solidFill>
                <a:schemeClr val="accent1"/>
              </a:solidFill>
              <a:round/>
            </a:ln>
            <a:effectLst/>
          </c:spPr>
          <c:marker>
            <c:symbol val="none"/>
          </c:marker>
          <c:cat>
            <c:strRef>
              <c:f>Trajectory!$D$11:$Z$11</c:f>
              <c:strCache>
                <c:ptCount val="2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pt idx="22">
                  <c:v>2038/39</c:v>
                </c:pt>
              </c:strCache>
            </c:strRef>
          </c:cat>
          <c:val>
            <c:numRef>
              <c:f>Trajectory!$D$17:$Z$17</c:f>
              <c:numCache>
                <c:formatCode>#,##0</c:formatCode>
                <c:ptCount val="23"/>
                <c:pt idx="0">
                  <c:v>145</c:v>
                </c:pt>
                <c:pt idx="1">
                  <c:v>212</c:v>
                </c:pt>
                <c:pt idx="2">
                  <c:v>316</c:v>
                </c:pt>
                <c:pt idx="3">
                  <c:v>332</c:v>
                </c:pt>
                <c:pt idx="4">
                  <c:v>223</c:v>
                </c:pt>
                <c:pt idx="5">
                  <c:v>-247</c:v>
                </c:pt>
                <c:pt idx="6">
                  <c:v>-517</c:v>
                </c:pt>
                <c:pt idx="7">
                  <c:v>-828</c:v>
                </c:pt>
                <c:pt idx="8">
                  <c:v>-1000</c:v>
                </c:pt>
                <c:pt idx="9">
                  <c:v>-1002.25</c:v>
                </c:pt>
                <c:pt idx="10">
                  <c:v>-861.89999999999986</c:v>
                </c:pt>
                <c:pt idx="11">
                  <c:v>-535.14999999999964</c:v>
                </c:pt>
                <c:pt idx="12">
                  <c:v>245.60000000000036</c:v>
                </c:pt>
                <c:pt idx="13">
                  <c:v>679.60000000000036</c:v>
                </c:pt>
                <c:pt idx="14">
                  <c:v>592.60000000000036</c:v>
                </c:pt>
                <c:pt idx="15">
                  <c:v>747.60000000000036</c:v>
                </c:pt>
                <c:pt idx="16">
                  <c:v>840.60000000000036</c:v>
                </c:pt>
                <c:pt idx="17">
                  <c:v>895.60000000000036</c:v>
                </c:pt>
                <c:pt idx="18">
                  <c:v>895.60000000000036</c:v>
                </c:pt>
                <c:pt idx="19">
                  <c:v>895.60000000000036</c:v>
                </c:pt>
                <c:pt idx="20">
                  <c:v>895.60000000000036</c:v>
                </c:pt>
                <c:pt idx="21">
                  <c:v>895.60000000000036</c:v>
                </c:pt>
                <c:pt idx="22">
                  <c:v>895.60000000000036</c:v>
                </c:pt>
              </c:numCache>
            </c:numRef>
          </c:val>
          <c:smooth val="0"/>
          <c:extLst>
            <c:ext xmlns:c16="http://schemas.microsoft.com/office/drawing/2014/chart" uri="{C3380CC4-5D6E-409C-BE32-E72D297353CC}">
              <c16:uniqueId val="{00000000-5A70-4EA3-8F46-72DA139E2A4F}"/>
            </c:ext>
          </c:extLst>
        </c:ser>
        <c:dLbls>
          <c:showLegendKey val="0"/>
          <c:showVal val="0"/>
          <c:showCatName val="0"/>
          <c:showSerName val="0"/>
          <c:showPercent val="0"/>
          <c:showBubbleSize val="0"/>
        </c:dLbls>
        <c:smooth val="0"/>
        <c:axId val="1396368408"/>
        <c:axId val="1396372368"/>
      </c:lineChart>
      <c:catAx>
        <c:axId val="1396368408"/>
        <c:scaling>
          <c:orientation val="minMax"/>
        </c:scaling>
        <c:delete val="0"/>
        <c:axPos val="b"/>
        <c:numFmt formatCode="General" sourceLinked="1"/>
        <c:majorTickMark val="none"/>
        <c:minorTickMark val="none"/>
        <c:tickLblPos val="low"/>
        <c:spPr>
          <a:noFill/>
          <a:ln w="19050" cap="flat" cmpd="sng" algn="ctr">
            <a:solidFill>
              <a:schemeClr val="accent6">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6372368"/>
        <c:crosses val="autoZero"/>
        <c:auto val="0"/>
        <c:lblAlgn val="ctr"/>
        <c:lblOffset val="100"/>
        <c:noMultiLvlLbl val="0"/>
      </c:catAx>
      <c:valAx>
        <c:axId val="1396372368"/>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6368408"/>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image" Target="../media/image1.png"/><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1.png"/><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0</xdr:colOff>
      <xdr:row>59</xdr:row>
      <xdr:rowOff>1</xdr:rowOff>
    </xdr:from>
    <xdr:to>
      <xdr:col>17</xdr:col>
      <xdr:colOff>552450</xdr:colOff>
      <xdr:row>82</xdr:row>
      <xdr:rowOff>0</xdr:rowOff>
    </xdr:to>
    <xdr:graphicFrame macro="">
      <xdr:nvGraphicFramePr>
        <xdr:cNvPr id="2" name="Chart 12">
          <a:extLst>
            <a:ext uri="{FF2B5EF4-FFF2-40B4-BE49-F238E27FC236}">
              <a16:creationId xmlns:a16="http://schemas.microsoft.com/office/drawing/2014/main" id="{49AC7C36-4A2D-45D3-A997-E52BB9B99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257175</xdr:colOff>
      <xdr:row>87</xdr:row>
      <xdr:rowOff>161924</xdr:rowOff>
    </xdr:from>
    <xdr:to>
      <xdr:col>18</xdr:col>
      <xdr:colOff>323850</xdr:colOff>
      <xdr:row>110</xdr:row>
      <xdr:rowOff>0</xdr:rowOff>
    </xdr:to>
    <xdr:graphicFrame macro="">
      <xdr:nvGraphicFramePr>
        <xdr:cNvPr id="3" name="Chart 62">
          <a:extLst>
            <a:ext uri="{FF2B5EF4-FFF2-40B4-BE49-F238E27FC236}">
              <a16:creationId xmlns:a16="http://schemas.microsoft.com/office/drawing/2014/main" id="{85A2AF41-5B85-4655-8FAA-6AB9CA82C5C3}"/>
            </a:ext>
            <a:ext uri="{147F2762-F138-4A5C-976F-8EAC2B608ADB}">
              <a16:predDERef xmlns:a16="http://schemas.microsoft.com/office/drawing/2014/main" pred="{13FC5F98-2726-4200-A0A4-A4C2CC896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118109</xdr:colOff>
      <xdr:row>1</xdr:row>
      <xdr:rowOff>265845</xdr:rowOff>
    </xdr:from>
    <xdr:to>
      <xdr:col>4</xdr:col>
      <xdr:colOff>0</xdr:colOff>
      <xdr:row>2</xdr:row>
      <xdr:rowOff>34290</xdr:rowOff>
    </xdr:to>
    <xdr:pic>
      <xdr:nvPicPr>
        <xdr:cNvPr id="4" name="Picture 3">
          <a:extLst>
            <a:ext uri="{FF2B5EF4-FFF2-40B4-BE49-F238E27FC236}">
              <a16:creationId xmlns:a16="http://schemas.microsoft.com/office/drawing/2014/main" id="{C3A3BA2A-E46C-464E-9C93-3046A4EA85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9109" y="561120"/>
          <a:ext cx="1786891" cy="397095"/>
        </a:xfrm>
        <a:prstGeom prst="rect">
          <a:avLst/>
        </a:prstGeom>
      </xdr:spPr>
    </xdr:pic>
    <xdr:clientData/>
  </xdr:twoCellAnchor>
  <xdr:twoCellAnchor>
    <xdr:from>
      <xdr:col>5</xdr:col>
      <xdr:colOff>495300</xdr:colOff>
      <xdr:row>165</xdr:row>
      <xdr:rowOff>0</xdr:rowOff>
    </xdr:from>
    <xdr:to>
      <xdr:col>18</xdr:col>
      <xdr:colOff>0</xdr:colOff>
      <xdr:row>183</xdr:row>
      <xdr:rowOff>0</xdr:rowOff>
    </xdr:to>
    <xdr:graphicFrame macro="">
      <xdr:nvGraphicFramePr>
        <xdr:cNvPr id="5" name="Chart 4">
          <a:extLst>
            <a:ext uri="{FF2B5EF4-FFF2-40B4-BE49-F238E27FC236}">
              <a16:creationId xmlns:a16="http://schemas.microsoft.com/office/drawing/2014/main" id="{F937585A-0FB9-47CC-9AE1-2A2263866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xdr:colOff>
      <xdr:row>229</xdr:row>
      <xdr:rowOff>0</xdr:rowOff>
    </xdr:from>
    <xdr:to>
      <xdr:col>18</xdr:col>
      <xdr:colOff>1</xdr:colOff>
      <xdr:row>249</xdr:row>
      <xdr:rowOff>0</xdr:rowOff>
    </xdr:to>
    <xdr:graphicFrame macro="">
      <xdr:nvGraphicFramePr>
        <xdr:cNvPr id="6" name="Chart 55">
          <a:extLst>
            <a:ext uri="{FF2B5EF4-FFF2-40B4-BE49-F238E27FC236}">
              <a16:creationId xmlns:a16="http://schemas.microsoft.com/office/drawing/2014/main" id="{A9EFC6B7-2C06-4D54-9FAA-9133E5431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305</xdr:row>
      <xdr:rowOff>1</xdr:rowOff>
    </xdr:from>
    <xdr:to>
      <xdr:col>16</xdr:col>
      <xdr:colOff>1</xdr:colOff>
      <xdr:row>316</xdr:row>
      <xdr:rowOff>18826</xdr:rowOff>
    </xdr:to>
    <xdr:graphicFrame macro="">
      <xdr:nvGraphicFramePr>
        <xdr:cNvPr id="7" name="Chart 56">
          <a:extLst>
            <a:ext uri="{FF2B5EF4-FFF2-40B4-BE49-F238E27FC236}">
              <a16:creationId xmlns:a16="http://schemas.microsoft.com/office/drawing/2014/main" id="{ED1E6070-52A3-4B1D-B026-F6A5C44C6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319</xdr:row>
      <xdr:rowOff>0</xdr:rowOff>
    </xdr:from>
    <xdr:to>
      <xdr:col>16</xdr:col>
      <xdr:colOff>0</xdr:colOff>
      <xdr:row>330</xdr:row>
      <xdr:rowOff>18825</xdr:rowOff>
    </xdr:to>
    <xdr:graphicFrame macro="">
      <xdr:nvGraphicFramePr>
        <xdr:cNvPr id="8" name="Chart 57">
          <a:extLst>
            <a:ext uri="{FF2B5EF4-FFF2-40B4-BE49-F238E27FC236}">
              <a16:creationId xmlns:a16="http://schemas.microsoft.com/office/drawing/2014/main" id="{646F00AA-5AB5-4441-83C7-83F21C9361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xdr:colOff>
      <xdr:row>203</xdr:row>
      <xdr:rowOff>0</xdr:rowOff>
    </xdr:from>
    <xdr:to>
      <xdr:col>18</xdr:col>
      <xdr:colOff>0</xdr:colOff>
      <xdr:row>222</xdr:row>
      <xdr:rowOff>161924</xdr:rowOff>
    </xdr:to>
    <xdr:graphicFrame macro="">
      <xdr:nvGraphicFramePr>
        <xdr:cNvPr id="9" name="Chart 55">
          <a:extLst>
            <a:ext uri="{FF2B5EF4-FFF2-40B4-BE49-F238E27FC236}">
              <a16:creationId xmlns:a16="http://schemas.microsoft.com/office/drawing/2014/main" id="{416B940A-29B0-47D9-9090-E64D844B1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334</xdr:row>
      <xdr:rowOff>0</xdr:rowOff>
    </xdr:from>
    <xdr:to>
      <xdr:col>16</xdr:col>
      <xdr:colOff>0</xdr:colOff>
      <xdr:row>345</xdr:row>
      <xdr:rowOff>18825</xdr:rowOff>
    </xdr:to>
    <xdr:graphicFrame macro="">
      <xdr:nvGraphicFramePr>
        <xdr:cNvPr id="10" name="Chart 57">
          <a:extLst>
            <a:ext uri="{FF2B5EF4-FFF2-40B4-BE49-F238E27FC236}">
              <a16:creationId xmlns:a16="http://schemas.microsoft.com/office/drawing/2014/main" id="{066DDA82-64A9-41BB-B58F-82AAA8A9B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314325</xdr:colOff>
      <xdr:row>113</xdr:row>
      <xdr:rowOff>161924</xdr:rowOff>
    </xdr:from>
    <xdr:to>
      <xdr:col>18</xdr:col>
      <xdr:colOff>440531</xdr:colOff>
      <xdr:row>126</xdr:row>
      <xdr:rowOff>161924</xdr:rowOff>
    </xdr:to>
    <xdr:graphicFrame macro="">
      <xdr:nvGraphicFramePr>
        <xdr:cNvPr id="11" name="Chart 26">
          <a:extLst>
            <a:ext uri="{FF2B5EF4-FFF2-40B4-BE49-F238E27FC236}">
              <a16:creationId xmlns:a16="http://schemas.microsoft.com/office/drawing/2014/main" id="{20EBF340-A6B2-486D-883A-DEBCD1E48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0</xdr:colOff>
      <xdr:row>379</xdr:row>
      <xdr:rowOff>0</xdr:rowOff>
    </xdr:from>
    <xdr:to>
      <xdr:col>18</xdr:col>
      <xdr:colOff>0</xdr:colOff>
      <xdr:row>390</xdr:row>
      <xdr:rowOff>0</xdr:rowOff>
    </xdr:to>
    <xdr:graphicFrame macro="">
      <xdr:nvGraphicFramePr>
        <xdr:cNvPr id="12" name="Chart 11">
          <a:extLst>
            <a:ext uri="{FF2B5EF4-FFF2-40B4-BE49-F238E27FC236}">
              <a16:creationId xmlns:a16="http://schemas.microsoft.com/office/drawing/2014/main" id="{E0F125C5-EE8B-1449-632F-FA8B65E903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414</xdr:row>
      <xdr:rowOff>180974</xdr:rowOff>
    </xdr:from>
    <xdr:to>
      <xdr:col>15</xdr:col>
      <xdr:colOff>0</xdr:colOff>
      <xdr:row>430</xdr:row>
      <xdr:rowOff>161924</xdr:rowOff>
    </xdr:to>
    <xdr:graphicFrame macro="">
      <xdr:nvGraphicFramePr>
        <xdr:cNvPr id="13" name="Chart 12">
          <a:extLst>
            <a:ext uri="{FF2B5EF4-FFF2-40B4-BE49-F238E27FC236}">
              <a16:creationId xmlns:a16="http://schemas.microsoft.com/office/drawing/2014/main" id="{4EEB62C4-647A-73D2-6501-51CD375E29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251</xdr:row>
      <xdr:rowOff>152399</xdr:rowOff>
    </xdr:from>
    <xdr:to>
      <xdr:col>14</xdr:col>
      <xdr:colOff>0</xdr:colOff>
      <xdr:row>265</xdr:row>
      <xdr:rowOff>161924</xdr:rowOff>
    </xdr:to>
    <xdr:graphicFrame macro="">
      <xdr:nvGraphicFramePr>
        <xdr:cNvPr id="14" name="Chart 13">
          <a:extLst>
            <a:ext uri="{FF2B5EF4-FFF2-40B4-BE49-F238E27FC236}">
              <a16:creationId xmlns:a16="http://schemas.microsoft.com/office/drawing/2014/main" id="{20110189-F5FE-43E9-B2CD-314B6CD5D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395</xdr:row>
      <xdr:rowOff>0</xdr:rowOff>
    </xdr:from>
    <xdr:to>
      <xdr:col>18</xdr:col>
      <xdr:colOff>0</xdr:colOff>
      <xdr:row>408</xdr:row>
      <xdr:rowOff>0</xdr:rowOff>
    </xdr:to>
    <xdr:graphicFrame macro="">
      <xdr:nvGraphicFramePr>
        <xdr:cNvPr id="16" name="Chart 15">
          <a:extLst>
            <a:ext uri="{FF2B5EF4-FFF2-40B4-BE49-F238E27FC236}">
              <a16:creationId xmlns:a16="http://schemas.microsoft.com/office/drawing/2014/main" id="{608B3D92-B49F-4E59-A251-80D7862232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267</xdr:row>
      <xdr:rowOff>152399</xdr:rowOff>
    </xdr:from>
    <xdr:to>
      <xdr:col>14</xdr:col>
      <xdr:colOff>0</xdr:colOff>
      <xdr:row>281</xdr:row>
      <xdr:rowOff>161924</xdr:rowOff>
    </xdr:to>
    <xdr:graphicFrame macro="">
      <xdr:nvGraphicFramePr>
        <xdr:cNvPr id="17" name="Chart 16">
          <a:extLst>
            <a:ext uri="{FF2B5EF4-FFF2-40B4-BE49-F238E27FC236}">
              <a16:creationId xmlns:a16="http://schemas.microsoft.com/office/drawing/2014/main" id="{F0BE90DD-8D22-4E8A-ADE9-CFD05A359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304800</xdr:colOff>
      <xdr:row>145</xdr:row>
      <xdr:rowOff>0</xdr:rowOff>
    </xdr:from>
    <xdr:to>
      <xdr:col>17</xdr:col>
      <xdr:colOff>0</xdr:colOff>
      <xdr:row>159</xdr:row>
      <xdr:rowOff>0</xdr:rowOff>
    </xdr:to>
    <xdr:graphicFrame macro="">
      <xdr:nvGraphicFramePr>
        <xdr:cNvPr id="15" name="Chart 14">
          <a:extLst>
            <a:ext uri="{FF2B5EF4-FFF2-40B4-BE49-F238E27FC236}">
              <a16:creationId xmlns:a16="http://schemas.microsoft.com/office/drawing/2014/main" id="{2B409FD7-F789-2A9D-42F3-B12A14E7E4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0</xdr:colOff>
      <xdr:row>283</xdr:row>
      <xdr:rowOff>152399</xdr:rowOff>
    </xdr:from>
    <xdr:to>
      <xdr:col>14</xdr:col>
      <xdr:colOff>0</xdr:colOff>
      <xdr:row>297</xdr:row>
      <xdr:rowOff>161924</xdr:rowOff>
    </xdr:to>
    <xdr:graphicFrame macro="">
      <xdr:nvGraphicFramePr>
        <xdr:cNvPr id="18" name="Chart 17">
          <a:extLst>
            <a:ext uri="{FF2B5EF4-FFF2-40B4-BE49-F238E27FC236}">
              <a16:creationId xmlns:a16="http://schemas.microsoft.com/office/drawing/2014/main" id="{0E943EA2-9102-45EF-8B61-06E73F6C9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26</xdr:col>
      <xdr:colOff>0</xdr:colOff>
      <xdr:row>42</xdr:row>
      <xdr:rowOff>0</xdr:rowOff>
    </xdr:to>
    <xdr:graphicFrame macro="">
      <xdr:nvGraphicFramePr>
        <xdr:cNvPr id="5" name="Chart 1">
          <a:extLst>
            <a:ext uri="{FF2B5EF4-FFF2-40B4-BE49-F238E27FC236}">
              <a16:creationId xmlns:a16="http://schemas.microsoft.com/office/drawing/2014/main" id="{A077F6E9-75A0-4A2D-8D8D-FF28B002B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56030</xdr:colOff>
      <xdr:row>1</xdr:row>
      <xdr:rowOff>119527</xdr:rowOff>
    </xdr:from>
    <xdr:ext cx="1800499" cy="360084"/>
    <xdr:pic>
      <xdr:nvPicPr>
        <xdr:cNvPr id="3" name="Picture 2">
          <a:extLst>
            <a:ext uri="{FF2B5EF4-FFF2-40B4-BE49-F238E27FC236}">
              <a16:creationId xmlns:a16="http://schemas.microsoft.com/office/drawing/2014/main" id="{2736FE77-8D42-4FD9-BCF1-D79F197B6F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030" y="414802"/>
          <a:ext cx="1800499" cy="360084"/>
        </a:xfrm>
        <a:prstGeom prst="rect">
          <a:avLst/>
        </a:prstGeom>
      </xdr:spPr>
    </xdr:pic>
    <xdr:clientData/>
  </xdr:oneCellAnchor>
  <xdr:twoCellAnchor>
    <xdr:from>
      <xdr:col>1</xdr:col>
      <xdr:colOff>0</xdr:colOff>
      <xdr:row>42</xdr:row>
      <xdr:rowOff>0</xdr:rowOff>
    </xdr:from>
    <xdr:to>
      <xdr:col>26</xdr:col>
      <xdr:colOff>0</xdr:colOff>
      <xdr:row>60</xdr:row>
      <xdr:rowOff>0</xdr:rowOff>
    </xdr:to>
    <xdr:graphicFrame macro="">
      <xdr:nvGraphicFramePr>
        <xdr:cNvPr id="4" name="Chart 3">
          <a:extLst>
            <a:ext uri="{FF2B5EF4-FFF2-40B4-BE49-F238E27FC236}">
              <a16:creationId xmlns:a16="http://schemas.microsoft.com/office/drawing/2014/main" id="{90883CA6-C34E-44D4-B43B-3712B239A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99.611717361113" createdVersion="8" refreshedVersion="8" minRefreshableVersion="3" recordCount="318" xr:uid="{6CDFE965-36B0-4485-99B4-E8D0FD46751E}">
  <cacheSource type="worksheet">
    <worksheetSource name="Data"/>
  </cacheSource>
  <cacheFields count="84">
    <cacheField name="Planning Ref" numFmtId="0">
      <sharedItems/>
    </cacheField>
    <cacheField name="Development Category" numFmtId="0">
      <sharedItems count="5">
        <s v="NEW"/>
        <s v="CHU"/>
        <s v="CON"/>
        <s v="EXT"/>
        <s v="MIX"/>
      </sharedItems>
    </cacheField>
    <cacheField name="Application Type" numFmtId="0">
      <sharedItems containsBlank="1" count="2">
        <m/>
        <s v="PA"/>
      </sharedItems>
    </cacheField>
    <cacheField name="Decision Date" numFmtId="0">
      <sharedItems containsNonDate="0" containsDate="1" containsString="0" containsBlank="1" minDate="2004-07-26T00:00:00" maxDate="2024-06-15T00:00:00" count="244">
        <d v="2022-05-30T00:00:00"/>
        <d v="2020-07-31T00:00:00"/>
        <d v="2020-06-10T00:00:00"/>
        <d v="2022-04-01T00:00:00"/>
        <d v="2020-07-20T00:00:00"/>
        <d v="2020-09-29T00:00:00"/>
        <d v="2021-08-19T00:00:00"/>
        <d v="2022-11-24T00:00:00"/>
        <d v="2023-12-01T00:00:00"/>
        <d v="2021-09-20T00:00:00"/>
        <d v="2022-07-01T00:00:00"/>
        <d v="2015-09-18T00:00:00"/>
        <d v="2022-11-21T00:00:00"/>
        <d v="2023-09-07T00:00:00"/>
        <d v="2023-04-24T00:00:00"/>
        <d v="2022-09-09T00:00:00"/>
        <d v="2015-02-16T00:00:00"/>
        <d v="2019-08-13T00:00:00"/>
        <d v="2016-04-19T00:00:00"/>
        <d v="2018-10-11T00:00:00"/>
        <d v="2020-03-05T00:00:00"/>
        <d v="2018-10-03T00:00:00"/>
        <d v="2018-01-25T00:00:00"/>
        <d v="2020-05-15T00:00:00"/>
        <d v="2019-09-23T00:00:00"/>
        <d v="2020-09-30T00:00:00"/>
        <d v="2020-10-22T00:00:00"/>
        <d v="2021-05-04T00:00:00"/>
        <d v="2020-12-04T00:00:00"/>
        <d v="2020-11-06T00:00:00"/>
        <d v="2021-07-30T00:00:00"/>
        <d v="2021-01-06T00:00:00"/>
        <d v="2021-05-07T00:00:00"/>
        <d v="2022-06-15T00:00:00"/>
        <d v="2021-06-10T00:00:00"/>
        <d v="2022-08-26T00:00:00"/>
        <d v="2022-05-12T00:00:00"/>
        <d v="2021-12-07T00:00:00"/>
        <d v="2022-05-20T00:00:00"/>
        <d v="2021-11-24T00:00:00"/>
        <d v="2022-03-07T00:00:00"/>
        <d v="2021-12-10T00:00:00"/>
        <d v="2022-08-12T00:00:00"/>
        <d v="2022-07-20T00:00:00"/>
        <d v="2022-03-24T00:00:00"/>
        <d v="2022-04-28T00:00:00"/>
        <d v="2022-04-21T00:00:00"/>
        <d v="2022-09-16T00:00:00"/>
        <d v="2022-05-31T00:00:00"/>
        <d v="2022-08-22T00:00:00"/>
        <d v="2023-02-16T00:00:00"/>
        <d v="2022-08-19T00:00:00"/>
        <d v="2022-08-23T00:00:00"/>
        <d v="2023-04-06T00:00:00"/>
        <d v="2024-03-20T00:00:00"/>
        <d v="2023-01-26T00:00:00"/>
        <d v="2023-10-05T00:00:00"/>
        <d v="2023-05-23T00:00:00"/>
        <d v="2023-06-22T00:00:00"/>
        <d v="2023-07-17T00:00:00"/>
        <d v="2023-08-08T00:00:00"/>
        <d v="2024-01-22T00:00:00"/>
        <d v="2024-01-29T00:00:00"/>
        <d v="2021-08-10T00:00:00"/>
        <d v="2021-04-12T00:00:00"/>
        <d v="2018-04-25T00:00:00"/>
        <d v="2019-01-07T00:00:00"/>
        <d v="2018-11-29T00:00:00"/>
        <d v="2021-06-30T00:00:00"/>
        <d v="2020-10-02T00:00:00"/>
        <d v="2021-06-24T00:00:00"/>
        <d v="2022-02-02T00:00:00"/>
        <d v="2023-02-07T00:00:00"/>
        <d v="2022-08-09T00:00:00"/>
        <d v="2004-07-26T00:00:00"/>
        <d v="2011-03-07T00:00:00"/>
        <d v="2017-11-02T00:00:00"/>
        <d v="2020-09-18T00:00:00"/>
        <d v="2022-07-12T00:00:00"/>
        <d v="2021-02-12T00:00:00"/>
        <d v="2018-07-19T00:00:00"/>
        <d v="2013-07-31T00:00:00"/>
        <d v="2020-09-24T00:00:00"/>
        <d v="2013-09-03T00:00:00"/>
        <d v="2014-08-20T00:00:00"/>
        <d v="2016-07-14T00:00:00"/>
        <d v="2017-11-30T00:00:00"/>
        <d v="2017-03-07T00:00:00"/>
        <d v="2018-03-23T00:00:00"/>
        <d v="2018-01-08T00:00:00"/>
        <d v="2018-11-15T00:00:00"/>
        <d v="2018-07-26T00:00:00"/>
        <d v="2018-12-05T00:00:00"/>
        <d v="2018-12-21T00:00:00"/>
        <d v="2020-09-16T00:00:00"/>
        <d v="2019-03-26T00:00:00"/>
        <d v="2019-10-17T00:00:00"/>
        <d v="2019-07-15T00:00:00"/>
        <d v="2019-12-12T00:00:00"/>
        <d v="2019-05-09T00:00:00"/>
        <d v="2020-02-05T00:00:00"/>
        <d v="2019-10-16T00:00:00"/>
        <d v="2019-07-10T00:00:00"/>
        <d v="2020-03-20T00:00:00"/>
        <d v="2019-08-21T00:00:00"/>
        <d v="2020-06-08T00:00:00"/>
        <d v="2021-01-13T00:00:00"/>
        <d v="2020-05-06T00:00:00"/>
        <d v="2020-06-19T00:00:00"/>
        <d v="2021-03-03T00:00:00"/>
        <d v="2020-06-18T00:00:00"/>
        <d v="2020-10-05T00:00:00"/>
        <d v="2022-04-04T00:00:00"/>
        <d v="2020-07-08T00:00:00"/>
        <d v="2020-08-10T00:00:00"/>
        <d v="2021-08-02T00:00:00"/>
        <d v="2021-10-28T00:00:00"/>
        <d v="2021-03-08T00:00:00"/>
        <d v="2021-05-12T00:00:00"/>
        <d v="2021-02-16T00:00:00"/>
        <d v="2021-05-19T00:00:00"/>
        <d v="2023-05-24T00:00:00"/>
        <d v="2022-08-10T00:00:00"/>
        <d v="2023-04-05T00:00:00"/>
        <d v="2023-01-30T00:00:00"/>
        <d v="2022-04-08T00:00:00"/>
        <d v="2023-02-28T00:00:00"/>
        <d v="2022-08-05T00:00:00"/>
        <d v="2022-01-21T00:00:00"/>
        <d v="2022-11-07T00:00:00"/>
        <d v="2023-09-06T00:00:00"/>
        <d v="2023-04-20T00:00:00"/>
        <d v="2022-12-09T00:00:00"/>
        <d v="2023-01-19T00:00:00"/>
        <d v="2022-11-16T00:00:00"/>
        <d v="2022-11-28T00:00:00"/>
        <d v="2023-12-21T00:00:00"/>
        <d v="2023-03-13T00:00:00"/>
        <d v="2023-03-28T00:00:00"/>
        <d v="2023-06-23T00:00:00"/>
        <d v="2023-08-17T00:00:00"/>
        <d v="2024-01-30T00:00:00"/>
        <d v="2023-07-24T00:00:00"/>
        <d v="2023-08-29T00:00:00"/>
        <d v="2023-12-22T00:00:00"/>
        <d v="2020-11-02T00:00:00"/>
        <d v="2022-06-09T00:00:00"/>
        <d v="2022-06-20T00:00:00"/>
        <d v="2022-12-12T00:00:00"/>
        <d v="2023-10-27T00:00:00"/>
        <d v="2021-09-30T00:00:00"/>
        <d v="2023-09-28T00:00:00"/>
        <d v="2023-03-22T00:00:00"/>
        <d v="2023-09-20T00:00:00"/>
        <d v="2023-04-28T00:00:00"/>
        <d v="2022-10-12T00:00:00"/>
        <d v="2024-01-15T00:00:00"/>
        <d v="2023-01-05T00:00:00"/>
        <d v="2023-06-13T00:00:00"/>
        <d v="2023-08-03T00:00:00"/>
        <d v="2023-10-12T00:00:00"/>
        <d v="2024-03-26T00:00:00"/>
        <d v="2021-11-09T00:00:00"/>
        <d v="2023-08-07T00:00:00"/>
        <d v="2023-11-09T00:00:00"/>
        <d v="2024-03-01T00:00:00"/>
        <d v="2023-09-18T00:00:00"/>
        <d v="2021-08-03T00:00:00"/>
        <d v="2020-10-30T00:00:00"/>
        <d v="2023-07-14T00:00:00"/>
        <d v="2023-05-26T00:00:00"/>
        <d v="2023-08-31T00:00:00"/>
        <d v="2022-06-30T00:00:00"/>
        <d v="2021-08-27T00:00:00"/>
        <d v="2021-07-28T00:00:00"/>
        <d v="2022-02-15T00:00:00"/>
        <d v="2023-07-10T00:00:00"/>
        <d v="2022-11-10T00:00:00"/>
        <d v="2021-06-08T00:00:00"/>
        <d v="2022-01-26T00:00:00"/>
        <d v="2021-05-20T00:00:00"/>
        <d v="2022-10-20T00:00:00"/>
        <d v="2022-01-18T00:00:00"/>
        <d v="2022-03-04T00:00:00"/>
        <d v="2021-04-30T00:00:00"/>
        <d v="2021-07-09T00:00:00"/>
        <d v="2023-01-13T00:00:00"/>
        <d v="2024-01-11T00:00:00"/>
        <d v="2021-07-07T00:00:00"/>
        <d v="2022-09-13T00:00:00"/>
        <d v="2022-09-12T00:00:00"/>
        <d v="2021-09-01T00:00:00"/>
        <d v="2022-06-23T00:00:00"/>
        <d v="2021-10-20T00:00:00"/>
        <d v="2022-12-21T00:00:00"/>
        <d v="2022-06-28T00:00:00"/>
        <d v="2022-12-16T00:00:00"/>
        <d v="2022-03-02T00:00:00"/>
        <d v="2022-04-20T00:00:00"/>
        <d v="2022-10-21T00:00:00"/>
        <d v="2022-09-05T00:00:00"/>
        <d v="2022-03-22T00:00:00"/>
        <d v="2022-09-02T00:00:00"/>
        <d v="2022-09-14T00:00:00"/>
        <d v="2022-04-13T00:00:00"/>
        <d v="2022-07-18T00:00:00"/>
        <d v="2022-06-17T00:00:00"/>
        <d v="2023-05-02T00:00:00"/>
        <d v="2022-06-14T00:00:00"/>
        <d v="2023-02-10T00:00:00"/>
        <d v="2023-01-09T00:00:00"/>
        <d v="2023-05-17T00:00:00"/>
        <d v="2022-12-13T00:00:00"/>
        <d v="2023-07-11T00:00:00"/>
        <d v="2023-02-08T00:00:00"/>
        <d v="2022-11-29T00:00:00"/>
        <d v="2022-11-30T00:00:00"/>
        <d v="2023-11-14T00:00:00"/>
        <d v="2023-09-14T00:00:00"/>
        <d v="2022-12-19T00:00:00"/>
        <d v="2023-04-25T00:00:00"/>
        <d v="2022-12-15T00:00:00"/>
        <d v="2024-02-26T00:00:00"/>
        <d v="2023-11-07T00:00:00"/>
        <d v="2024-02-02T00:00:00"/>
        <d v="2023-06-14T00:00:00"/>
        <d v="2024-02-01T00:00:00"/>
        <d v="2023-08-15T00:00:00"/>
        <d v="2023-07-04T00:00:00"/>
        <d v="2024-01-24T00:00:00"/>
        <d v="2023-07-05T00:00:00"/>
        <d v="2024-01-26T00:00:00"/>
        <d v="2023-08-18T00:00:00"/>
        <d v="2023-08-14T00:00:00"/>
        <d v="2023-07-28T00:00:00"/>
        <d v="2024-01-16T00:00:00"/>
        <d v="2024-03-13T00:00:00"/>
        <d v="2023-12-14T00:00:00"/>
        <d v="2024-03-08T00:00:00"/>
        <d v="2024-03-25T00:00:00"/>
        <d v="2022-03-31T00:00:00"/>
        <m/>
        <d v="2024-05-23T00:00:00"/>
        <d v="2024-06-14T00:00:00"/>
      </sharedItems>
      <fieldGroup par="83"/>
    </cacheField>
    <cacheField name="Expiry Date" numFmtId="0">
      <sharedItems containsNonDate="0" containsDate="1" containsString="0" containsBlank="1" minDate="2009-07-23T00:00:00" maxDate="2027-06-15T00:00:00"/>
    </cacheField>
    <cacheField name="Start Date" numFmtId="0">
      <sharedItems containsNonDate="0" containsDate="1" containsString="0" containsBlank="1" minDate="2009-07-01T00:00:00" maxDate="2024-05-17T00:00:00"/>
    </cacheField>
    <cacheField name="Completion Date" numFmtId="0">
      <sharedItems containsNonDate="0" containsDate="1" containsString="0" containsBlank="1" minDate="2023-04-01T00:00:00" maxDate="2024-04-01T00:00:00"/>
    </cacheField>
    <cacheField name="Site Status" numFmtId="0">
      <sharedItems count="7">
        <s v="01. Completion"/>
        <s v="02. Under Construction"/>
        <s v="03. Not Started"/>
        <s v="04. Site Allocation"/>
        <s v="05. Deliverable Site (Application under consideration)"/>
        <s v="05. Deliverable Site (Site Allocation)"/>
        <s v="05. Deliverable Sites"/>
      </sharedItems>
    </cacheField>
    <cacheField name="Tenure" numFmtId="0">
      <sharedItems count="9">
        <s v="Open Market"/>
        <s v="London Affordable Rent"/>
        <s v="Social Rent"/>
        <s v="Shared Ownership"/>
        <s v="London Living Rent"/>
        <s v="Affordable rent"/>
        <s v="Intermediate"/>
        <s v="Co-living"/>
        <s v="Open Market / Affordable"/>
      </sharedItems>
    </cacheField>
    <cacheField name="5YHLS" numFmtId="0">
      <sharedItems containsBlank="1" count="15">
        <m/>
        <s v="N"/>
        <s v="Sainsbury’s, Manor Road"/>
        <s v="Teddington Telephone Exchange"/>
        <s v="Homebase, Manor Road, Richmond"/>
        <s v="Barnes Hospital, East Sheen"/>
        <s v="Stag Brewery"/>
        <s v="Kingston Bridge House"/>
        <s v="St Clare Business Park"/>
        <s v="Greggs, Gould Road, Twickenham"/>
        <s v="Teddington Police Station"/>
        <s v="Twickenham Telephone Exchange"/>
        <s v="Whitton Telephone Exchange"/>
        <s v="Large Sites Trend"/>
        <s v="Small Sites Trend"/>
      </sharedItems>
    </cacheField>
    <cacheField name="Approval to completion" numFmtId="0">
      <sharedItems containsString="0" containsBlank="1" containsNumber="1" minValue="0" maxValue="8.3506849315068497"/>
    </cacheField>
    <cacheField name="Site size" numFmtId="0">
      <sharedItems containsBlank="1" count="6">
        <s v="15 to 19"/>
        <s v="1 to 4"/>
        <s v="5 to 9"/>
        <m/>
        <s v="20 to 29"/>
        <s v="10 to 14"/>
      </sharedItems>
    </cacheField>
    <cacheField name="Proposal" numFmtId="0">
      <sharedItems containsBlank="1" longText="1"/>
    </cacheField>
    <cacheField name="Address_x000a_" numFmtId="0">
      <sharedItems/>
    </cacheField>
    <cacheField name="PostCode" numFmtId="0">
      <sharedItems containsBlank="1"/>
    </cacheField>
    <cacheField name="Plot Description" numFmtId="0">
      <sharedItems containsBlank="1"/>
    </cacheField>
    <cacheField name="1 BED EXISTING" numFmtId="0">
      <sharedItems containsString="0" containsBlank="1" containsNumber="1" containsInteger="1" minValue="1" maxValue="70"/>
    </cacheField>
    <cacheField name="2 BED EXISTING" numFmtId="0">
      <sharedItems containsString="0" containsBlank="1" containsNumber="1" containsInteger="1" minValue="1" maxValue="20"/>
    </cacheField>
    <cacheField name="3 BED EXISTING" numFmtId="0">
      <sharedItems containsString="0" containsBlank="1" containsNumber="1" containsInteger="1" minValue="1" maxValue="6"/>
    </cacheField>
    <cacheField name="4 BED EXISTING" numFmtId="0">
      <sharedItems containsString="0" containsBlank="1" containsNumber="1" containsInteger="1" minValue="1"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NonDate="0" containsString="0" containsBlank="1"/>
    </cacheField>
    <cacheField name="8 BED EXISTING" numFmtId="0">
      <sharedItems containsString="0" containsBlank="1" containsNumber="1" containsInteger="1" minValue="1" maxValue="1"/>
    </cacheField>
    <cacheField name="Units Existing" numFmtId="0">
      <sharedItems containsString="0" containsBlank="1" containsNumber="1" containsInteger="1" minValue="0" maxValue="95"/>
    </cacheField>
    <cacheField name="Affordable" numFmtId="0">
      <sharedItems containsBlank="1"/>
    </cacheField>
    <cacheField name="1 BED PROPOSED" numFmtId="0">
      <sharedItems containsString="0" containsBlank="1" containsNumber="1" containsInteger="1" minValue="1" maxValue="58"/>
    </cacheField>
    <cacheField name="2 BED PROPOSED" numFmtId="0">
      <sharedItems containsString="0" containsBlank="1" containsNumber="1" containsInteger="1" minValue="1" maxValue="75"/>
    </cacheField>
    <cacheField name="3 BED PROPOSED" numFmtId="0">
      <sharedItems containsString="0" containsBlank="1" containsNumber="1" containsInteger="1" minValue="1" maxValue="26"/>
    </cacheField>
    <cacheField name="4 BED PROPOSED" numFmtId="0">
      <sharedItems containsString="0" containsBlank="1" containsNumber="1" containsInteger="1" minValue="1" maxValue="34"/>
    </cacheField>
    <cacheField name="5 BED PROPOSED" numFmtId="0">
      <sharedItems containsString="0" containsBlank="1" containsNumber="1" containsInteger="1" minValue="1" maxValue="8"/>
    </cacheField>
    <cacheField name="6 BED PROPOSED" numFmtId="0">
      <sharedItems containsString="0" containsBlank="1" containsNumber="1" containsInteger="1" minValue="1" maxValue="1"/>
    </cacheField>
    <cacheField name="7 BED PROPOSED" numFmtId="0">
      <sharedItems containsString="0" containsBlank="1" containsNumber="1" containsInteger="1" minValue="1" maxValue="1"/>
    </cacheField>
    <cacheField name="8 BED PROPOSED" numFmtId="0">
      <sharedItems containsString="0" containsBlank="1" containsNumber="1" containsInteger="1" minValue="1" maxValue="1"/>
    </cacheField>
    <cacheField name="Units Proposed" numFmtId="0">
      <sharedItems containsString="0" containsBlank="1" containsNumber="1" containsInteger="1" minValue="0" maxValue="3316"/>
    </cacheField>
    <cacheField name="1 bed net" numFmtId="0">
      <sharedItems containsSemiMixedTypes="0" containsString="0" containsNumber="1" containsInteger="1" minValue="-70" maxValue="58"/>
    </cacheField>
    <cacheField name="2 bed net" numFmtId="0">
      <sharedItems containsSemiMixedTypes="0" containsString="0" containsNumber="1" containsInteger="1" minValue="-20" maxValue="75"/>
    </cacheField>
    <cacheField name="3 bed net" numFmtId="0">
      <sharedItems containsSemiMixedTypes="0" containsString="0" containsNumber="1" containsInteger="1" minValue="-6" maxValue="26"/>
    </cacheField>
    <cacheField name="4 bed net" numFmtId="0">
      <sharedItems containsSemiMixedTypes="0" containsString="0" containsNumber="1" containsInteger="1" minValue="-2" maxValue="34"/>
    </cacheField>
    <cacheField name="5 bed net" numFmtId="0">
      <sharedItems containsSemiMixedTypes="0" containsString="0" containsNumber="1" containsInteger="1" minValue="-1" maxValue="8"/>
    </cacheField>
    <cacheField name="6 bed net" numFmtId="0">
      <sharedItems containsSemiMixedTypes="0" containsString="0" containsNumber="1" containsInteger="1" minValue="-1" maxValue="1"/>
    </cacheField>
    <cacheField name="7 bed net" numFmtId="0">
      <sharedItems containsSemiMixedTypes="0" containsString="0" containsNumber="1" containsInteger="1" minValue="0" maxValue="1"/>
    </cacheField>
    <cacheField name="8 bed net" numFmtId="0">
      <sharedItems containsSemiMixedTypes="0" containsString="0" containsNumber="1" containsInteger="1" minValue="-1" maxValue="1"/>
    </cacheField>
    <cacheField name="Net Dwellings" numFmtId="0">
      <sharedItems containsSemiMixedTypes="0" containsString="0" containsNumber="1" containsInteger="1" minValue="-95" maxValue="1912"/>
    </cacheField>
    <cacheField name="Large Site" numFmtId="0">
      <sharedItems containsBlank="1" count="2">
        <s v="Y"/>
        <m/>
      </sharedItems>
    </cacheField>
    <cacheField name="2023/24 (R)" numFmtId="0">
      <sharedItems containsString="0" containsBlank="1" containsNumber="1" containsInteger="1" minValue="-30" maxValue="19"/>
    </cacheField>
    <cacheField name="2024/25 (1)" numFmtId="0">
      <sharedItems containsString="0" containsBlank="1" containsNumber="1" minValue="-11" maxValue="34.6"/>
    </cacheField>
    <cacheField name="2025/26 (2)" numFmtId="0">
      <sharedItems containsString="0" containsBlank="1" containsNumber="1" minValue="-1.25" maxValue="63"/>
    </cacheField>
    <cacheField name="2026/27 (3)" numFmtId="0">
      <sharedItems containsString="0" containsBlank="1" containsNumber="1" minValue="-37" maxValue="234"/>
    </cacheField>
    <cacheField name="2027/28 (4)" numFmtId="0">
      <sharedItems containsString="0" containsBlank="1" containsNumber="1" minValue="-1.25" maxValue="234"/>
    </cacheField>
    <cacheField name="2028/29 (5)" numFmtId="0">
      <sharedItems containsString="0" containsBlank="1" containsNumber="1" minValue="1" maxValue="355"/>
    </cacheField>
    <cacheField name="2029/30 (6)" numFmtId="0">
      <sharedItems containsString="0" containsBlank="1" containsNumber="1" containsInteger="1" minValue="-95" maxValue="693"/>
    </cacheField>
    <cacheField name="2030/31 (7)" numFmtId="0">
      <sharedItems containsString="0" containsBlank="1" containsNumber="1" containsInteger="1" minValue="5" maxValue="234"/>
    </cacheField>
    <cacheField name="2031/32 (8)" numFmtId="0">
      <sharedItems containsString="0" containsBlank="1" containsNumber="1" containsInteger="1" minValue="5" maxValue="234"/>
    </cacheField>
    <cacheField name="2032/33 (9)" numFmtId="0">
      <sharedItems containsString="0" containsBlank="1" containsNumber="1" containsInteger="1" minValue="5" maxValue="234"/>
    </cacheField>
    <cacheField name="2033/34 (10)" numFmtId="0">
      <sharedItems containsString="0" containsBlank="1" containsNumber="1" containsInteger="1" minValue="5" maxValue="234"/>
    </cacheField>
    <cacheField name="2034/35" numFmtId="0">
      <sharedItems containsString="0" containsBlank="1" containsNumber="1" containsInteger="1" minValue="72" maxValue="234"/>
    </cacheField>
    <cacheField name="2035/36" numFmtId="0">
      <sharedItems containsString="0" containsBlank="1" containsNumber="1" containsInteger="1" minValue="72" maxValue="234"/>
    </cacheField>
    <cacheField name="2036/37" numFmtId="0">
      <sharedItems containsString="0" containsBlank="1" containsNumber="1" containsInteger="1" minValue="72" maxValue="234"/>
    </cacheField>
    <cacheField name="2037/38" numFmtId="0">
      <sharedItems containsString="0" containsBlank="1" containsNumber="1" containsInteger="1" minValue="72" maxValue="234"/>
    </cacheField>
    <cacheField name="2038/39" numFmtId="0">
      <sharedItems containsString="0" containsBlank="1" containsNumber="1" containsInteger="1" minValue="72" maxValue="234"/>
    </cacheField>
    <cacheField name="2040/41" numFmtId="0">
      <sharedItems containsString="0" containsBlank="1" containsNumber="1" containsInteger="1" minValue="72" maxValue="234"/>
    </cacheField>
    <cacheField name="2024-2028 Total" numFmtId="0">
      <sharedItems containsSemiMixedTypes="0" containsString="0" containsNumber="1" minValue="-37" maxValue="742"/>
    </cacheField>
    <cacheField name="2024-2034 Total" numFmtId="0">
      <sharedItems containsSemiMixedTypes="0" containsString="0" containsNumber="1" minValue="-95" maxValue="1912"/>
    </cacheField>
    <cacheField name="OlderPeople" numFmtId="0">
      <sharedItems containsBlank="1"/>
    </cacheField>
    <cacheField name="ShelteredAccom" numFmtId="0">
      <sharedItems containsBlank="1"/>
    </cacheField>
    <cacheField name="MultipleOcc" numFmtId="0">
      <sharedItems containsBlank="1"/>
    </cacheField>
    <cacheField name="Easting" numFmtId="0">
      <sharedItems containsString="0" containsBlank="1" containsNumber="1" containsInteger="1" minValue="512514" maxValue="522822"/>
    </cacheField>
    <cacheField name="Northing" numFmtId="0">
      <sharedItems containsString="0" containsBlank="1" containsNumber="1" containsInteger="1" minValue="169337" maxValue="178000"/>
    </cacheField>
    <cacheField name="Area Name" numFmtId="0">
      <sharedItems count="7">
        <s v="Whitton"/>
        <s v="Teddington and the Hamptons"/>
        <s v="Ham &amp; Petersham"/>
        <s v="Barnes and East Sheen"/>
        <s v="Twickenham"/>
        <s v="Richmond"/>
        <s v="N/A"/>
      </sharedItems>
    </cacheField>
    <cacheField name="Ward_Name" numFmtId="0">
      <sharedItems count="19">
        <s v="Heathfield"/>
        <s v="Hampton North"/>
        <s v="Hampton"/>
        <s v="Ham, Petersham &amp; Richmond Riverside"/>
        <s v="Barnes"/>
        <s v="St. Margarets &amp; North Twickenham"/>
        <s v="Twickenham Riverside"/>
        <s v="South Twickenham"/>
        <s v="North Richmond"/>
        <s v="Mortlake &amp; Barnes Common"/>
        <s v="South Richmond"/>
        <s v="Hampton Wick &amp; South Teddington"/>
        <s v="East Sheen"/>
        <s v="Whitton"/>
        <s v="Fulwell &amp; Hampton Hill"/>
        <s v="Kew"/>
        <s v="Teddington"/>
        <s v="West Twickenham"/>
        <s v="N/A"/>
      </sharedItems>
    </cacheField>
    <cacheField name="Town_Centre" numFmtId="0">
      <sharedItems containsBlank="1" count="7">
        <m/>
        <s v="Richmond"/>
        <s v="East Sheen"/>
        <s v="Twickenham"/>
        <s v="Teddington"/>
        <s v="Whitton"/>
        <e v="#N/A"/>
      </sharedItems>
    </cacheField>
    <cacheField name="Thames_Policy_Area" numFmtId="0">
      <sharedItems containsBlank="1" count="3">
        <m/>
        <s v="Thames Policy Area"/>
        <e v="#N/A"/>
      </sharedItems>
    </cacheField>
    <cacheField name="Mixed Use Area Name" numFmtId="0">
      <sharedItems containsBlank="1"/>
    </cacheField>
    <cacheField name="Mixed Use Area" numFmtId="0">
      <sharedItems containsBlank="1" count="2">
        <s v="Y"/>
        <m/>
      </sharedItems>
    </cacheField>
    <cacheField name="Met_Open_Land" numFmtId="0">
      <sharedItems containsMixedTypes="1" containsNumber="1" containsInteger="1" minValue="0" maxValue="0" count="8">
        <n v="0"/>
        <s v="MOL - Radnor Gardens"/>
        <s v="MOL - Petersham Lodge"/>
        <s v="MOL - The Manor House Ham"/>
        <s v="MOL - Hampton Court"/>
        <s v="MOL - Townmead Kew"/>
        <e v="#N/A"/>
        <s v="MOL - Orleans School"/>
      </sharedItems>
    </cacheField>
    <cacheField name="Conservation Area Name" numFmtId="0">
      <sharedItems containsBlank="1"/>
    </cacheField>
    <cacheField name="Conservation_Area" numFmtId="0">
      <sharedItems containsBlank="1" count="2">
        <m/>
        <s v="Y"/>
      </sharedItems>
    </cacheField>
    <cacheField name="Areas for Intensification" numFmtId="0">
      <sharedItems containsBlank="1"/>
    </cacheField>
    <cacheField name="Place_Based_Strategies" numFmtId="0">
      <sharedItems containsBlank="1" count="10">
        <s v="Whitton and Heathfield"/>
        <s v="Hampton &amp; Hampton Hill"/>
        <s v="Ham, Petersham &amp; Richmond Park"/>
        <s v="Barnes"/>
        <s v="Twickenham, Strawberry Hill &amp; St Margarets"/>
        <s v="Richmond and Richmond Hill"/>
        <s v="Teddington &amp; Hampton Wick"/>
        <s v="Mortlake and East Sheen"/>
        <s v="Kew"/>
        <m/>
      </sharedItems>
    </cacheField>
    <cacheField name="Garden Land" numFmtId="0">
      <sharedItems containsBlank="1" count="3">
        <s v="N"/>
        <s v="Y"/>
        <m/>
      </sharedItems>
    </cacheField>
    <cacheField name="Months (Decision Date)" numFmtId="0" databaseField="0">
      <fieldGroup base="3">
        <rangePr groupBy="months" startDate="2004-07-26T00:00:00" endDate="2024-06-15T00:00:00"/>
        <groupItems count="14">
          <s v="&lt;26/07/2004"/>
          <s v="Jan"/>
          <s v="Feb"/>
          <s v="Mar"/>
          <s v="Apr"/>
          <s v="May"/>
          <s v="Jun"/>
          <s v="Jul"/>
          <s v="Aug"/>
          <s v="Sep"/>
          <s v="Oct"/>
          <s v="Nov"/>
          <s v="Dec"/>
          <s v="&gt;15/06/2024"/>
        </groupItems>
      </fieldGroup>
    </cacheField>
    <cacheField name="Quarters (Decision Date)" numFmtId="0" databaseField="0">
      <fieldGroup base="3">
        <rangePr groupBy="quarters" startDate="2004-07-26T00:00:00" endDate="2024-06-15T00:00:00"/>
        <groupItems count="6">
          <s v="&lt;26/07/2004"/>
          <s v="Qtr1"/>
          <s v="Qtr2"/>
          <s v="Qtr3"/>
          <s v="Qtr4"/>
          <s v="&gt;15/06/2024"/>
        </groupItems>
      </fieldGroup>
    </cacheField>
    <cacheField name="Years (Decision Date)" numFmtId="0" databaseField="0">
      <fieldGroup base="3">
        <rangePr groupBy="years" startDate="2004-07-26T00:00:00" endDate="2024-06-15T00:00:00"/>
        <groupItems count="23">
          <s v="&lt;26/07/2004"/>
          <s v="2004"/>
          <s v="2005"/>
          <s v="2006"/>
          <s v="2007"/>
          <s v="2008"/>
          <s v="2009"/>
          <s v="2010"/>
          <s v="2011"/>
          <s v="2012"/>
          <s v="2013"/>
          <s v="2014"/>
          <s v="2015"/>
          <s v="2016"/>
          <s v="2017"/>
          <s v="2018"/>
          <s v="2019"/>
          <s v="2020"/>
          <s v="2021"/>
          <s v="2022"/>
          <s v="2023"/>
          <s v="2024"/>
          <s v="&gt;15/06/2024"/>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99.611723958333" createdVersion="8" refreshedVersion="8" minRefreshableVersion="3" recordCount="7" xr:uid="{DFB44838-804F-4E3A-AF4F-F461B19BD81A}">
  <cacheSource type="worksheet">
    <worksheetSource ref="A1:AQ8" sheet="Non-Self-Contained"/>
  </cacheSource>
  <cacheFields count="43">
    <cacheField name="Planning Ref" numFmtId="0">
      <sharedItems/>
    </cacheField>
    <cacheField name="Development Category" numFmtId="0">
      <sharedItems/>
    </cacheField>
    <cacheField name="Application Type" numFmtId="0">
      <sharedItems/>
    </cacheField>
    <cacheField name="Decision Date" numFmtId="14">
      <sharedItems containsSemiMixedTypes="0" containsNonDate="0" containsDate="1" containsString="0" minDate="2019-12-12T00:00:00" maxDate="2024-04-27T00:00:00"/>
    </cacheField>
    <cacheField name="Expiry Date" numFmtId="14">
      <sharedItems containsNonDate="0" containsDate="1" containsString="0" containsBlank="1" minDate="2022-12-12T00:00:00" maxDate="2027-04-27T00:00:00"/>
    </cacheField>
    <cacheField name="Start Date" numFmtId="0">
      <sharedItems containsNonDate="0" containsDate="1" containsString="0" containsBlank="1" minDate="2020-03-30T00:00:00" maxDate="2024-03-22T00:00:00"/>
    </cacheField>
    <cacheField name="Completion Date" numFmtId="0">
      <sharedItems containsNonDate="0" containsDate="1" containsString="0" containsBlank="1" minDate="2023-08-08T00:00:00" maxDate="2023-08-09T00:00:00"/>
    </cacheField>
    <cacheField name="Site Status" numFmtId="0">
      <sharedItems count="4">
        <s v="01. Completion"/>
        <s v="02. Under Construction"/>
        <s v="03. Not Started"/>
        <s v="05. Deliverable Sites"/>
      </sharedItems>
    </cacheField>
    <cacheField name="Tenure" numFmtId="0">
      <sharedItems containsBlank="1"/>
    </cacheField>
    <cacheField name="Proposal" numFmtId="0">
      <sharedItems longText="1"/>
    </cacheField>
    <cacheField name="Address_x000a_" numFmtId="0">
      <sharedItems/>
    </cacheField>
    <cacheField name="PostCode" numFmtId="0">
      <sharedItems containsBlank="1"/>
    </cacheField>
    <cacheField name="Existing C3 Dwelling" numFmtId="0">
      <sharedItems containsNonDate="0" containsString="0" containsBlank="1"/>
    </cacheField>
    <cacheField name="Existing Home Rooms" numFmtId="0">
      <sharedItems containsNonDate="0" containsString="0" containsBlank="1"/>
    </cacheField>
    <cacheField name="Proposed Home Rooms" numFmtId="0">
      <sharedItems containsString="0" containsBlank="1" containsNumber="1" containsInteger="1" minValue="50" maxValue="88"/>
    </cacheField>
    <cacheField name="Net Home Rooms" numFmtId="0">
      <sharedItems containsString="0" containsBlank="1" containsNumber="1" containsInteger="1" minValue="50" maxValue="88"/>
    </cacheField>
    <cacheField name="Existing House in Multiple Occupation Rooms" numFmtId="0">
      <sharedItems containsString="0" containsBlank="1" containsNumber="1" containsInteger="1" minValue="0" maxValue="14"/>
    </cacheField>
    <cacheField name="Proposed House in Multiple Occupation Rooms" numFmtId="0">
      <sharedItems containsString="0" containsBlank="1" containsNumber="1" containsInteger="1" minValue="0" maxValue="17"/>
    </cacheField>
    <cacheField name="Net House in Multiple Occupation Rooms" numFmtId="0">
      <sharedItems containsString="0" containsBlank="1" containsNumber="1" containsInteger="1" minValue="-14" maxValue="17"/>
    </cacheField>
    <cacheField name="Existing Student Bedrooms" numFmtId="0">
      <sharedItems containsString="0" containsBlank="1" containsNumber="1" containsInteger="1" minValue="0" maxValue="216"/>
    </cacheField>
    <cacheField name="Proposed Student Bedrooms" numFmtId="0">
      <sharedItems containsString="0" containsBlank="1" containsNumber="1" containsInteger="1" minValue="0" maxValue="124"/>
    </cacheField>
    <cacheField name="Net Student Bedrooms" numFmtId="0">
      <sharedItems containsString="0" containsBlank="1" containsNumber="1" containsInteger="1" minValue="-216" maxValue="38"/>
    </cacheField>
    <cacheField name="Existing Staff Accomodation" numFmtId="0">
      <sharedItems containsNonDate="0" containsString="0" containsBlank="1"/>
    </cacheField>
    <cacheField name="Proposed Staff Accomodation" numFmtId="0">
      <sharedItems containsNonDate="0" containsString="0" containsBlank="1"/>
    </cacheField>
    <cacheField name="Net Staff Accomodation" numFmtId="0">
      <sharedItems containsNonDate="0" containsString="0" containsBlank="1"/>
    </cacheField>
    <cacheField name="1.8 : 1" numFmtId="0">
      <sharedItems containsString="0" containsBlank="1" containsNumber="1" minValue="-7.7777777777777777" maxValue="9.4444444444444446"/>
    </cacheField>
    <cacheField name="2.5:1" numFmtId="0">
      <sharedItems containsString="0" containsBlank="1" containsNumber="1" minValue="-86.4" maxValue="15.2"/>
    </cacheField>
    <cacheField name="C1" numFmtId="0">
      <sharedItems containsNonDate="0" containsString="0" containsBlank="1"/>
    </cacheField>
    <cacheField name="D1" numFmtId="0">
      <sharedItems containsNonDate="0" containsString="0" containsBlank="1"/>
    </cacheField>
    <cacheField name="Area Name" numFmtId="0">
      <sharedItems containsBlank="1"/>
    </cacheField>
    <cacheField name="Net Residential Units" numFmtId="1">
      <sharedItems containsSemiMixedTypes="0" containsString="0" containsNumber="1" minValue="-86.4" maxValue="88"/>
    </cacheField>
    <cacheField name="2023/24 (R)" numFmtId="0">
      <sharedItems containsString="0" containsBlank="1" containsNumber="1" containsInteger="1" minValue="9" maxValue="9"/>
    </cacheField>
    <cacheField name="2024/25 (1)" numFmtId="0">
      <sharedItems containsNonDate="0" containsString="0" containsBlank="1"/>
    </cacheField>
    <cacheField name="2025/26 (2)" numFmtId="0">
      <sharedItems containsString="0" containsBlank="1" containsNumber="1" minValue="-43.2" maxValue="50"/>
    </cacheField>
    <cacheField name="2026/27 (3)" numFmtId="0">
      <sharedItems containsString="0" containsBlank="1" containsNumber="1" minValue="-43.2" maxValue="29.333333333333332"/>
    </cacheField>
    <cacheField name="2027/28 (4)" numFmtId="0">
      <sharedItems containsString="0" containsBlank="1" containsNumber="1" minValue="5" maxValue="29.333333333333332"/>
    </cacheField>
    <cacheField name="2028/29 (5)" numFmtId="0">
      <sharedItems containsString="0" containsBlank="1" containsNumber="1" minValue="5" maxValue="29.333333333333332"/>
    </cacheField>
    <cacheField name="2029/30 (6)" numFmtId="0">
      <sharedItems containsNonDate="0" containsString="0" containsBlank="1"/>
    </cacheField>
    <cacheField name="2030/31 (7)" numFmtId="0">
      <sharedItems containsNonDate="0" containsString="0" containsBlank="1"/>
    </cacheField>
    <cacheField name="2031/32 (8)" numFmtId="0">
      <sharedItems containsNonDate="0" containsString="0" containsBlank="1"/>
    </cacheField>
    <cacheField name="2032/33 (9)" numFmtId="0">
      <sharedItems containsNonDate="0" containsString="0" containsBlank="1"/>
    </cacheField>
    <cacheField name="2033/34 (10)" numFmtId="0">
      <sharedItems containsNonDate="0" containsString="0" containsBlank="1"/>
    </cacheField>
    <cacheField name="2024-2028 Total" numFmtId="0">
      <sharedItems containsString="0" containsBlank="1" containsNumber="1" minValue="-86.4" maxValue="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8">
  <r>
    <s v="21/0156/FUL"/>
    <x v="0"/>
    <x v="0"/>
    <x v="0"/>
    <d v="2025-05-30T00:00:00"/>
    <d v="2022-11-01T00:00:00"/>
    <d v="2023-10-31T00:00:00"/>
    <x v="0"/>
    <x v="0"/>
    <x v="0"/>
    <n v="1.4219178082191781"/>
    <x v="0"/>
    <s v="Demolition of the existing structures and the erection on of two buildings, consisting of a retail unit and community centre at ground floor and 15 residential units above, parking and associated hard and soft landscaping"/>
    <s v="Milevale Properties Ltd, 672 Hanworth Road, Whitton TW4 5NP_x000a_"/>
    <s v="TW4 5NP"/>
    <m/>
    <m/>
    <m/>
    <m/>
    <m/>
    <m/>
    <m/>
    <m/>
    <m/>
    <n v="0"/>
    <m/>
    <n v="5"/>
    <n v="9"/>
    <n v="1"/>
    <m/>
    <m/>
    <m/>
    <m/>
    <m/>
    <n v="15"/>
    <n v="5"/>
    <n v="9"/>
    <n v="1"/>
    <n v="0"/>
    <n v="0"/>
    <n v="0"/>
    <n v="0"/>
    <n v="0"/>
    <n v="15"/>
    <x v="0"/>
    <n v="15"/>
    <m/>
    <m/>
    <m/>
    <m/>
    <m/>
    <m/>
    <m/>
    <m/>
    <m/>
    <m/>
    <m/>
    <m/>
    <m/>
    <m/>
    <m/>
    <m/>
    <n v="0"/>
    <n v="0"/>
    <s v="N"/>
    <s v="N"/>
    <s v="N"/>
    <n v="512716"/>
    <n v="173569"/>
    <x v="0"/>
    <x v="0"/>
    <x v="0"/>
    <x v="0"/>
    <s v="Hanworth Road"/>
    <x v="0"/>
    <x v="0"/>
    <m/>
    <x v="0"/>
    <m/>
    <x v="0"/>
    <x v="0"/>
  </r>
  <r>
    <s v="19/2235/FUL"/>
    <x v="0"/>
    <x v="0"/>
    <x v="1"/>
    <d v="2023-07-31T00:00:00"/>
    <d v="2022-09-05T00:00:00"/>
    <d v="2024-01-31T00:00:00"/>
    <x v="0"/>
    <x v="0"/>
    <x v="0"/>
    <n v="3.504109589041096"/>
    <x v="1"/>
    <s v="Demolition of existing dwelling and the erection of two 4-bedroom semi-detached dwellings with associated access and car parking."/>
    <s v="10 Broad Lane, Hampton TW12 3AW_x000a_"/>
    <s v="TW12 3AW"/>
    <m/>
    <m/>
    <m/>
    <n v="1"/>
    <m/>
    <m/>
    <m/>
    <m/>
    <m/>
    <n v="1"/>
    <m/>
    <m/>
    <m/>
    <m/>
    <n v="2"/>
    <m/>
    <m/>
    <m/>
    <m/>
    <n v="2"/>
    <n v="0"/>
    <n v="0"/>
    <n v="-1"/>
    <n v="2"/>
    <n v="0"/>
    <n v="0"/>
    <n v="0"/>
    <n v="0"/>
    <n v="1"/>
    <x v="1"/>
    <n v="1"/>
    <m/>
    <m/>
    <m/>
    <m/>
    <m/>
    <m/>
    <m/>
    <m/>
    <m/>
    <m/>
    <m/>
    <m/>
    <m/>
    <m/>
    <m/>
    <m/>
    <n v="0"/>
    <n v="0"/>
    <s v="N"/>
    <s v="N"/>
    <s v="N"/>
    <n v="513728"/>
    <n v="170628"/>
    <x v="1"/>
    <x v="1"/>
    <x v="0"/>
    <x v="0"/>
    <m/>
    <x v="1"/>
    <x v="0"/>
    <m/>
    <x v="0"/>
    <m/>
    <x v="1"/>
    <x v="0"/>
  </r>
  <r>
    <s v="19/3568/FUL"/>
    <x v="0"/>
    <x v="0"/>
    <x v="2"/>
    <d v="2023-06-10T00:00:00"/>
    <d v="2021-03-31T00:00:00"/>
    <d v="2023-11-14T00:00:00"/>
    <x v="0"/>
    <x v="0"/>
    <x v="0"/>
    <n v="3.43013698630137"/>
    <x v="1"/>
    <s v="Replacement of existing single-storey detached bungalow to provide a pair of two-storey semi-detached dwelling houses with habitable roofspace, each with 5-bedrooms; off-street parking provision for two vehicles per dwelling; the removal of the existing t"/>
    <s v="73A High Street, Hampton TW12 2SX"/>
    <s v="TW12 2SX"/>
    <m/>
    <m/>
    <n v="1"/>
    <m/>
    <m/>
    <m/>
    <m/>
    <m/>
    <m/>
    <n v="1"/>
    <m/>
    <m/>
    <m/>
    <m/>
    <m/>
    <n v="2"/>
    <m/>
    <m/>
    <m/>
    <n v="2"/>
    <n v="0"/>
    <n v="-1"/>
    <n v="0"/>
    <n v="0"/>
    <n v="2"/>
    <n v="0"/>
    <n v="0"/>
    <n v="0"/>
    <n v="1"/>
    <x v="1"/>
    <n v="1"/>
    <m/>
    <m/>
    <m/>
    <m/>
    <m/>
    <m/>
    <m/>
    <m/>
    <m/>
    <m/>
    <m/>
    <m/>
    <m/>
    <m/>
    <m/>
    <m/>
    <n v="0"/>
    <n v="0"/>
    <s v="N"/>
    <s v="N"/>
    <s v="N"/>
    <n v="514203"/>
    <n v="169911"/>
    <x v="1"/>
    <x v="2"/>
    <x v="0"/>
    <x v="0"/>
    <m/>
    <x v="1"/>
    <x v="0"/>
    <s v="CA12 Hampton Village"/>
    <x v="1"/>
    <m/>
    <x v="1"/>
    <x v="0"/>
  </r>
  <r>
    <s v="20/0564/FUL"/>
    <x v="1"/>
    <x v="0"/>
    <x v="3"/>
    <d v="2025-04-01T00:00:00"/>
    <d v="2023-10-18T00:00:00"/>
    <d v="2024-03-01T00:00:00"/>
    <x v="0"/>
    <x v="0"/>
    <x v="0"/>
    <n v="1.9178082191780821"/>
    <x v="1"/>
    <s v="Single-storey rear extension to rear of existing shop and part change of use from A1 to C3, to facilitate creation of one one-bedroom two-person dwellinghouse. Construction of external stairway to rear elevation to provide access to existing upper-floor f"/>
    <s v="311A Richmond Road, Kingston Upon Thames KT2 5QU_x000a_"/>
    <s v="KT2 5QU"/>
    <m/>
    <m/>
    <m/>
    <m/>
    <m/>
    <m/>
    <m/>
    <m/>
    <m/>
    <n v="0"/>
    <m/>
    <n v="1"/>
    <m/>
    <m/>
    <m/>
    <m/>
    <m/>
    <m/>
    <m/>
    <n v="1"/>
    <n v="1"/>
    <n v="0"/>
    <n v="0"/>
    <n v="0"/>
    <n v="0"/>
    <n v="0"/>
    <n v="0"/>
    <n v="0"/>
    <n v="1"/>
    <x v="1"/>
    <n v="1"/>
    <m/>
    <m/>
    <m/>
    <m/>
    <m/>
    <m/>
    <m/>
    <m/>
    <m/>
    <m/>
    <m/>
    <m/>
    <m/>
    <m/>
    <m/>
    <m/>
    <n v="0"/>
    <n v="0"/>
    <s v="N"/>
    <s v="N"/>
    <s v="N"/>
    <n v="517763"/>
    <n v="171561"/>
    <x v="2"/>
    <x v="3"/>
    <x v="0"/>
    <x v="0"/>
    <m/>
    <x v="1"/>
    <x v="0"/>
    <m/>
    <x v="0"/>
    <m/>
    <x v="2"/>
    <x v="0"/>
  </r>
  <r>
    <s v="20/0714/FUL"/>
    <x v="0"/>
    <x v="0"/>
    <x v="4"/>
    <d v="2023-07-20T00:00:00"/>
    <d v="2021-02-01T00:00:00"/>
    <d v="2023-09-01T00:00:00"/>
    <x v="0"/>
    <x v="0"/>
    <x v="0"/>
    <n v="3.117808219178082"/>
    <x v="1"/>
    <s v="Demolition of existing semi-detached dwelling and replacement with a 2 storey semi-detached dwelling with basement and accommodation in the roof and associated parking, hard and soft landscaping, cycle and refuse stores"/>
    <s v="6 Cumberland Road, Barnes SW13 9LY"/>
    <s v="SW13 9LY"/>
    <m/>
    <m/>
    <m/>
    <m/>
    <m/>
    <m/>
    <n v="1"/>
    <m/>
    <m/>
    <n v="1"/>
    <m/>
    <m/>
    <m/>
    <m/>
    <m/>
    <n v="1"/>
    <m/>
    <m/>
    <m/>
    <n v="1"/>
    <n v="0"/>
    <n v="0"/>
    <n v="0"/>
    <n v="0"/>
    <n v="1"/>
    <n v="-1"/>
    <n v="0"/>
    <n v="0"/>
    <n v="0"/>
    <x v="1"/>
    <n v="0"/>
    <m/>
    <m/>
    <m/>
    <m/>
    <m/>
    <m/>
    <m/>
    <m/>
    <m/>
    <m/>
    <m/>
    <m/>
    <m/>
    <m/>
    <m/>
    <m/>
    <n v="0"/>
    <n v="0"/>
    <s v="N"/>
    <s v="N"/>
    <s v="N"/>
    <n v="521978"/>
    <n v="176841"/>
    <x v="3"/>
    <x v="4"/>
    <x v="0"/>
    <x v="0"/>
    <m/>
    <x v="1"/>
    <x v="0"/>
    <m/>
    <x v="0"/>
    <m/>
    <x v="3"/>
    <x v="0"/>
  </r>
  <r>
    <s v="20/1499/FUL"/>
    <x v="0"/>
    <x v="0"/>
    <x v="5"/>
    <d v="2024-03-04T00:00:00"/>
    <d v="2022-03-31T00:00:00"/>
    <d v="2024-02-04T00:00:00"/>
    <x v="0"/>
    <x v="0"/>
    <x v="0"/>
    <n v="3.3506849315068492"/>
    <x v="2"/>
    <s v="Demolition of existing buildings and the erection of a replacement building to contain 9no. flats (Use Class C3), with associated works including landscaping and parking."/>
    <s v="Boundaries, 1 St James's Road, Hampton Hill, Hampton TW12 1DH_x000a_"/>
    <s v="TW12 1DH"/>
    <m/>
    <m/>
    <m/>
    <m/>
    <n v="1"/>
    <m/>
    <m/>
    <m/>
    <m/>
    <n v="1"/>
    <m/>
    <n v="1"/>
    <n v="7"/>
    <n v="1"/>
    <m/>
    <m/>
    <m/>
    <m/>
    <m/>
    <n v="9"/>
    <n v="1"/>
    <n v="7"/>
    <n v="1"/>
    <n v="-1"/>
    <n v="0"/>
    <n v="0"/>
    <n v="0"/>
    <n v="0"/>
    <n v="8"/>
    <x v="1"/>
    <n v="8"/>
    <m/>
    <m/>
    <m/>
    <m/>
    <m/>
    <m/>
    <m/>
    <m/>
    <m/>
    <m/>
    <m/>
    <m/>
    <m/>
    <m/>
    <m/>
    <m/>
    <n v="0"/>
    <n v="0"/>
    <s v="N"/>
    <s v="N"/>
    <s v="N"/>
    <n v="513824"/>
    <n v="171219"/>
    <x v="1"/>
    <x v="1"/>
    <x v="0"/>
    <x v="0"/>
    <m/>
    <x v="1"/>
    <x v="0"/>
    <m/>
    <x v="0"/>
    <m/>
    <x v="1"/>
    <x v="1"/>
  </r>
  <r>
    <s v="20/1870/FUL"/>
    <x v="1"/>
    <x v="0"/>
    <x v="6"/>
    <d v="2024-08-19T00:00:00"/>
    <d v="2022-03-01T00:00:00"/>
    <d v="2023-11-14T00:00:00"/>
    <x v="0"/>
    <x v="0"/>
    <x v="0"/>
    <n v="2.2383561643835614"/>
    <x v="2"/>
    <s v="Conversion to Use Class C3 of part only of B1 commercial space (with direct access at ground floor level) approved under LPA Ref: 13/3388 and providing at first floor level 4 x 2 Bed and 2 x 1 Bed dwellings."/>
    <s v="Unit B, 1 Railshead Road, Twickenham TW7 7EP_x000a_"/>
    <s v="TW7 7EP"/>
    <m/>
    <m/>
    <m/>
    <m/>
    <m/>
    <m/>
    <m/>
    <m/>
    <m/>
    <n v="0"/>
    <m/>
    <n v="2"/>
    <n v="4"/>
    <m/>
    <m/>
    <m/>
    <m/>
    <m/>
    <m/>
    <n v="6"/>
    <n v="2"/>
    <n v="4"/>
    <n v="0"/>
    <n v="0"/>
    <n v="0"/>
    <n v="0"/>
    <n v="0"/>
    <n v="0"/>
    <n v="6"/>
    <x v="1"/>
    <n v="6"/>
    <m/>
    <m/>
    <m/>
    <m/>
    <m/>
    <m/>
    <m/>
    <m/>
    <m/>
    <m/>
    <m/>
    <m/>
    <m/>
    <m/>
    <m/>
    <m/>
    <n v="0"/>
    <n v="0"/>
    <s v="N"/>
    <s v="N"/>
    <s v="N"/>
    <n v="516610"/>
    <n v="175362"/>
    <x v="4"/>
    <x v="5"/>
    <x v="0"/>
    <x v="0"/>
    <m/>
    <x v="1"/>
    <x v="0"/>
    <s v="CA19 St Margarets"/>
    <x v="1"/>
    <m/>
    <x v="4"/>
    <x v="0"/>
  </r>
  <r>
    <s v="22/2877/GPD26"/>
    <x v="1"/>
    <x v="1"/>
    <x v="7"/>
    <d v="2025-11-24T00:00:00"/>
    <d v="2023-07-01T00:00:00"/>
    <d v="2023-08-31T00:00:00"/>
    <x v="0"/>
    <x v="0"/>
    <x v="0"/>
    <n v="0.76712328767123283"/>
    <x v="1"/>
    <s v="Change of Use from the existing Use Class E (dental surgery) to the Use Class C3 (Residential Flat)"/>
    <s v="9A Tangley Park Road, Hampton TW12 3YH"/>
    <s v="TW12 3YH"/>
    <m/>
    <m/>
    <m/>
    <m/>
    <m/>
    <m/>
    <m/>
    <m/>
    <m/>
    <n v="0"/>
    <m/>
    <n v="1"/>
    <m/>
    <m/>
    <m/>
    <m/>
    <m/>
    <m/>
    <m/>
    <n v="1"/>
    <n v="1"/>
    <n v="0"/>
    <n v="0"/>
    <n v="0"/>
    <n v="0"/>
    <n v="0"/>
    <n v="0"/>
    <n v="0"/>
    <n v="1"/>
    <x v="1"/>
    <n v="1"/>
    <m/>
    <m/>
    <m/>
    <m/>
    <m/>
    <m/>
    <m/>
    <m/>
    <m/>
    <m/>
    <m/>
    <m/>
    <m/>
    <m/>
    <m/>
    <m/>
    <n v="0"/>
    <n v="0"/>
    <s v="N"/>
    <s v="N"/>
    <s v="N"/>
    <n v="512819"/>
    <n v="170921"/>
    <x v="1"/>
    <x v="1"/>
    <x v="0"/>
    <x v="0"/>
    <m/>
    <x v="1"/>
    <x v="0"/>
    <m/>
    <x v="0"/>
    <m/>
    <x v="1"/>
    <x v="0"/>
  </r>
  <r>
    <s v="23/0113/FUL"/>
    <x v="2"/>
    <x v="0"/>
    <x v="8"/>
    <d v="2026-12-01T00:00:00"/>
    <d v="2023-12-01T00:00:00"/>
    <d v="2023-12-01T00:00:00"/>
    <x v="0"/>
    <x v="0"/>
    <x v="0"/>
    <m/>
    <x v="3"/>
    <s v="Retrospective application for a single storey rear extension to create self-contained flat, including installation of solar panels."/>
    <s v="321 Richmond Road, Kingston Upon Thames KT2 5QU_x000a_"/>
    <s v="KT2 5QU"/>
    <m/>
    <m/>
    <m/>
    <m/>
    <m/>
    <m/>
    <m/>
    <m/>
    <m/>
    <n v="0"/>
    <m/>
    <n v="1"/>
    <m/>
    <m/>
    <m/>
    <m/>
    <m/>
    <m/>
    <m/>
    <n v="1"/>
    <n v="1"/>
    <n v="0"/>
    <n v="0"/>
    <n v="0"/>
    <n v="0"/>
    <n v="0"/>
    <n v="0"/>
    <n v="0"/>
    <n v="1"/>
    <x v="1"/>
    <n v="1"/>
    <m/>
    <m/>
    <m/>
    <m/>
    <m/>
    <m/>
    <m/>
    <m/>
    <m/>
    <m/>
    <m/>
    <m/>
    <m/>
    <m/>
    <m/>
    <m/>
    <n v="0"/>
    <n v="0"/>
    <s v="N"/>
    <s v="N"/>
    <s v="N"/>
    <n v="517763"/>
    <n v="171588"/>
    <x v="2"/>
    <x v="3"/>
    <x v="0"/>
    <x v="0"/>
    <m/>
    <x v="1"/>
    <x v="0"/>
    <m/>
    <x v="0"/>
    <m/>
    <x v="2"/>
    <x v="0"/>
  </r>
  <r>
    <s v="20/0127/FUL"/>
    <x v="2"/>
    <x v="0"/>
    <x v="9"/>
    <d v="2024-09-20T00:00:00"/>
    <d v="2023-02-08T00:00:00"/>
    <d v="2023-11-16T00:00:00"/>
    <x v="0"/>
    <x v="0"/>
    <x v="0"/>
    <n v="2.1561643835616437"/>
    <x v="1"/>
    <s v="Conversion of existing maisonette on first and second floors into 2 flats (1 x 1 bedroom flat and 1 x 2 bedroom flat)"/>
    <s v="350 Richmond Road, Twickenham TW1 2DU_x000a_"/>
    <s v="TW1 2DU"/>
    <m/>
    <m/>
    <m/>
    <m/>
    <n v="1"/>
    <m/>
    <m/>
    <m/>
    <m/>
    <n v="1"/>
    <m/>
    <n v="1"/>
    <n v="1"/>
    <m/>
    <m/>
    <m/>
    <m/>
    <m/>
    <m/>
    <n v="2"/>
    <n v="1"/>
    <n v="1"/>
    <n v="0"/>
    <n v="-1"/>
    <n v="0"/>
    <n v="0"/>
    <n v="0"/>
    <n v="0"/>
    <n v="1"/>
    <x v="1"/>
    <n v="1"/>
    <m/>
    <m/>
    <m/>
    <m/>
    <m/>
    <m/>
    <m/>
    <m/>
    <m/>
    <m/>
    <m/>
    <m/>
    <m/>
    <m/>
    <m/>
    <m/>
    <n v="0"/>
    <n v="0"/>
    <s v="N"/>
    <s v="N"/>
    <s v="N"/>
    <n v="517428"/>
    <n v="174238"/>
    <x v="4"/>
    <x v="6"/>
    <x v="0"/>
    <x v="0"/>
    <s v="East Twickenham"/>
    <x v="0"/>
    <x v="0"/>
    <s v="CA66 Richmond Road East Twickenham"/>
    <x v="1"/>
    <s v="Y"/>
    <x v="4"/>
    <x v="0"/>
  </r>
  <r>
    <s v="22/1512/GPD26"/>
    <x v="1"/>
    <x v="1"/>
    <x v="10"/>
    <d v="2025-07-01T00:00:00"/>
    <d v="2023-01-30T00:00:00"/>
    <d v="2023-11-14T00:00:00"/>
    <x v="0"/>
    <x v="0"/>
    <x v="0"/>
    <n v="1.3726027397260274"/>
    <x v="1"/>
    <s v="Conversion of the rear of the existing shop from Class E(a) to one self-contained flat (Class C3 Use)"/>
    <s v="408 Richmond Road, Twickenham TW1 2EB_x000a_"/>
    <s v="TW1 2EB"/>
    <m/>
    <m/>
    <m/>
    <m/>
    <m/>
    <m/>
    <m/>
    <m/>
    <m/>
    <n v="0"/>
    <m/>
    <n v="1"/>
    <m/>
    <m/>
    <m/>
    <m/>
    <m/>
    <m/>
    <m/>
    <n v="1"/>
    <n v="1"/>
    <n v="0"/>
    <n v="0"/>
    <n v="0"/>
    <n v="0"/>
    <n v="0"/>
    <n v="0"/>
    <n v="0"/>
    <n v="1"/>
    <x v="1"/>
    <n v="1"/>
    <m/>
    <m/>
    <m/>
    <m/>
    <m/>
    <m/>
    <m/>
    <m/>
    <m/>
    <m/>
    <m/>
    <m/>
    <m/>
    <m/>
    <m/>
    <m/>
    <n v="0"/>
    <n v="0"/>
    <s v="N"/>
    <s v="N"/>
    <s v="N"/>
    <n v="517582"/>
    <n v="174357"/>
    <x v="4"/>
    <x v="6"/>
    <x v="0"/>
    <x v="0"/>
    <s v="East Twickenham"/>
    <x v="0"/>
    <x v="0"/>
    <s v="CA66 Richmond Road East Twickenham"/>
    <x v="1"/>
    <s v="Y"/>
    <x v="4"/>
    <x v="0"/>
  </r>
  <r>
    <s v="15/3184/GPD15"/>
    <x v="1"/>
    <x v="1"/>
    <x v="11"/>
    <d v="2018-09-18T00:00:00"/>
    <d v="2018-09-17T00:00:00"/>
    <d v="2024-01-22T00:00:00"/>
    <x v="0"/>
    <x v="0"/>
    <x v="0"/>
    <n v="8.3506849315068497"/>
    <x v="1"/>
    <s v="Proposed change of use from B1(a) Office use to C3 Residential use (1 flat)."/>
    <s v="31 Hampton Road, Twickenham TW2 5QE_x000a_"/>
    <s v="TW2 5QE"/>
    <m/>
    <m/>
    <m/>
    <m/>
    <m/>
    <m/>
    <m/>
    <m/>
    <m/>
    <n v="0"/>
    <m/>
    <n v="1"/>
    <m/>
    <m/>
    <m/>
    <m/>
    <m/>
    <m/>
    <m/>
    <n v="1"/>
    <n v="1"/>
    <n v="0"/>
    <n v="0"/>
    <n v="0"/>
    <n v="0"/>
    <n v="0"/>
    <n v="0"/>
    <n v="0"/>
    <n v="1"/>
    <x v="1"/>
    <n v="1"/>
    <m/>
    <m/>
    <m/>
    <m/>
    <m/>
    <m/>
    <m/>
    <m/>
    <m/>
    <m/>
    <m/>
    <m/>
    <m/>
    <m/>
    <m/>
    <m/>
    <n v="0"/>
    <n v="0"/>
    <s v="N"/>
    <s v="N"/>
    <s v="N"/>
    <n v="515147"/>
    <n v="172702"/>
    <x v="4"/>
    <x v="7"/>
    <x v="0"/>
    <x v="0"/>
    <s v="Hampton Road, Twickenham"/>
    <x v="0"/>
    <x v="0"/>
    <m/>
    <x v="0"/>
    <s v="Y"/>
    <x v="4"/>
    <x v="0"/>
  </r>
  <r>
    <s v="22/2177/FUL"/>
    <x v="2"/>
    <x v="0"/>
    <x v="12"/>
    <d v="2024-06-21T00:00:00"/>
    <d v="2022-11-14T00:00:00"/>
    <d v="2024-03-12T00:00:00"/>
    <x v="0"/>
    <x v="0"/>
    <x v="0"/>
    <n v="1.3068493150684932"/>
    <x v="2"/>
    <s v="Part change of use of ground floor from commercial to C3 (residential) use, removal of rear access stairs, relocation of exisitng extraction flue, alterations to fenestration arrangement, two storey rear infill extension, Replacement of Roof with New Flat Red Clay Roof Tiles and 3 x dormer roof extensions and rooflights to facilitate the conversion of 2 x Three Bed Maisonettes into 4 x No. Self-contained Studio and 3 x one bed Flats and associated refuse store. "/>
    <s v="102 - 104 Kew Road, Richmond TW9 2PQ_x000a_"/>
    <s v="TW9 2PQ"/>
    <m/>
    <m/>
    <m/>
    <n v="2"/>
    <m/>
    <m/>
    <m/>
    <m/>
    <m/>
    <n v="2"/>
    <m/>
    <n v="7"/>
    <m/>
    <m/>
    <m/>
    <m/>
    <m/>
    <m/>
    <m/>
    <n v="7"/>
    <n v="7"/>
    <n v="0"/>
    <n v="-2"/>
    <n v="0"/>
    <n v="0"/>
    <n v="0"/>
    <n v="0"/>
    <n v="0"/>
    <n v="5"/>
    <x v="1"/>
    <n v="5"/>
    <m/>
    <m/>
    <m/>
    <m/>
    <m/>
    <m/>
    <m/>
    <m/>
    <m/>
    <m/>
    <m/>
    <m/>
    <m/>
    <m/>
    <m/>
    <m/>
    <n v="0"/>
    <n v="0"/>
    <s v="N"/>
    <s v="N"/>
    <s v="N"/>
    <n v="518353"/>
    <n v="175510"/>
    <x v="5"/>
    <x v="8"/>
    <x v="0"/>
    <x v="0"/>
    <s v="Kew Road"/>
    <x v="0"/>
    <x v="0"/>
    <s v="CA36 Kew Foot Road"/>
    <x v="1"/>
    <s v="Y"/>
    <x v="5"/>
    <x v="0"/>
  </r>
  <r>
    <s v="23/2038/GPD26"/>
    <x v="1"/>
    <x v="1"/>
    <x v="13"/>
    <d v="2026-09-07T00:00:00"/>
    <d v="2023-11-01T00:00:00"/>
    <d v="2024-03-22T00:00:00"/>
    <x v="0"/>
    <x v="0"/>
    <x v="0"/>
    <n v="0.53972602739726028"/>
    <x v="1"/>
    <s v="Conversion of rear part of shop (use class E) into 1x flat (use class C3)."/>
    <s v="157A White Hart Lane, Barnes SW13 0JP"/>
    <s v="SW13 0JP"/>
    <m/>
    <m/>
    <m/>
    <m/>
    <m/>
    <m/>
    <m/>
    <m/>
    <m/>
    <n v="0"/>
    <m/>
    <n v="1"/>
    <m/>
    <m/>
    <m/>
    <m/>
    <m/>
    <m/>
    <m/>
    <n v="1"/>
    <n v="1"/>
    <n v="0"/>
    <n v="0"/>
    <n v="0"/>
    <n v="0"/>
    <n v="0"/>
    <n v="0"/>
    <n v="0"/>
    <n v="1"/>
    <x v="1"/>
    <n v="1"/>
    <m/>
    <m/>
    <m/>
    <m/>
    <m/>
    <m/>
    <m/>
    <m/>
    <m/>
    <m/>
    <m/>
    <m/>
    <m/>
    <m/>
    <m/>
    <m/>
    <n v="0"/>
    <n v="0"/>
    <s v="N"/>
    <s v="N"/>
    <s v="N"/>
    <n v="521457"/>
    <n v="175576"/>
    <x v="3"/>
    <x v="9"/>
    <x v="0"/>
    <x v="0"/>
    <s v="Priests Bridge, Barnes"/>
    <x v="0"/>
    <x v="0"/>
    <m/>
    <x v="0"/>
    <s v="Y"/>
    <x v="3"/>
    <x v="0"/>
  </r>
  <r>
    <s v="23/0526/GPD26"/>
    <x v="1"/>
    <x v="1"/>
    <x v="14"/>
    <d v="2026-04-24T00:00:00"/>
    <d v="2023-12-08T00:00:00"/>
    <d v="2024-03-31T00:00:00"/>
    <x v="0"/>
    <x v="0"/>
    <x v="0"/>
    <n v="0.93698630136986305"/>
    <x v="1"/>
    <s v="change of use of the ground floor from financial and commercial (formerly use class A2 - now Class E) to a one bedroom dwelling house._x000d_"/>
    <s v="138 Sheen Road, Richmond TW9 1UR_x000a_"/>
    <s v="TW9 1UR"/>
    <m/>
    <m/>
    <m/>
    <m/>
    <m/>
    <m/>
    <m/>
    <m/>
    <m/>
    <n v="0"/>
    <m/>
    <n v="1"/>
    <m/>
    <m/>
    <m/>
    <m/>
    <m/>
    <m/>
    <m/>
    <n v="1"/>
    <n v="1"/>
    <n v="0"/>
    <n v="0"/>
    <n v="0"/>
    <n v="0"/>
    <n v="0"/>
    <n v="0"/>
    <n v="0"/>
    <n v="1"/>
    <x v="1"/>
    <n v="1"/>
    <m/>
    <m/>
    <m/>
    <m/>
    <m/>
    <m/>
    <m/>
    <m/>
    <m/>
    <m/>
    <m/>
    <m/>
    <m/>
    <m/>
    <m/>
    <m/>
    <n v="0"/>
    <n v="0"/>
    <s v="N"/>
    <s v="N"/>
    <s v="N"/>
    <n v="518606"/>
    <n v="175097"/>
    <x v="5"/>
    <x v="10"/>
    <x v="0"/>
    <x v="0"/>
    <s v="Sheen Road"/>
    <x v="0"/>
    <x v="0"/>
    <s v="CA31 Sheen Road Richmond"/>
    <x v="1"/>
    <s v="Y"/>
    <x v="5"/>
    <x v="0"/>
  </r>
  <r>
    <s v="22/2230/GPD26"/>
    <x v="1"/>
    <x v="1"/>
    <x v="15"/>
    <d v="2025-09-09T00:00:00"/>
    <d v="2022-10-03T00:00:00"/>
    <d v="2024-01-15T00:00:00"/>
    <x v="0"/>
    <x v="0"/>
    <x v="0"/>
    <n v="1.3506849315068492"/>
    <x v="1"/>
    <s v="The change of use of the ground floor from commercial business and service(Class E) to residential (Class C3) to provide 1 no. 2 bed flat"/>
    <s v="34 Crown Road, Twickenham TW1 3EH_x000a_"/>
    <s v="TW1 3EH"/>
    <m/>
    <m/>
    <m/>
    <m/>
    <m/>
    <m/>
    <m/>
    <m/>
    <m/>
    <n v="0"/>
    <m/>
    <m/>
    <n v="1"/>
    <m/>
    <m/>
    <m/>
    <m/>
    <m/>
    <m/>
    <n v="1"/>
    <n v="0"/>
    <n v="1"/>
    <n v="0"/>
    <n v="0"/>
    <n v="0"/>
    <n v="0"/>
    <n v="0"/>
    <n v="0"/>
    <n v="1"/>
    <x v="1"/>
    <n v="1"/>
    <m/>
    <m/>
    <m/>
    <m/>
    <m/>
    <m/>
    <m/>
    <m/>
    <m/>
    <m/>
    <m/>
    <m/>
    <m/>
    <m/>
    <m/>
    <m/>
    <n v="0"/>
    <n v="0"/>
    <s v="N"/>
    <s v="N"/>
    <s v="N"/>
    <n v="516880"/>
    <n v="174106"/>
    <x v="4"/>
    <x v="5"/>
    <x v="0"/>
    <x v="0"/>
    <s v="St Margarets"/>
    <x v="0"/>
    <x v="0"/>
    <s v="CA49 Crown Road St Margarets"/>
    <x v="1"/>
    <s v="Y"/>
    <x v="4"/>
    <x v="0"/>
  </r>
  <r>
    <s v="14/5284/FUL"/>
    <x v="2"/>
    <x v="0"/>
    <x v="16"/>
    <d v="2018-02-16T00:00:00"/>
    <d v="2018-02-16T00:00:00"/>
    <d v="2023-04-01T00:00:00"/>
    <x v="0"/>
    <x v="0"/>
    <x v="0"/>
    <n v="8.1260273972602732"/>
    <x v="1"/>
    <s v="The reversion of a Building of Townscape Merit from two self-contained flats (1x1 and 1x3 beds) to a single-family dwelling (Use Class C3: Dwelling Houses) including a rear side infill extension with associated works."/>
    <s v="46 Halford Road, Richmond_x000a__x000a_"/>
    <s v="TW10 6AP"/>
    <m/>
    <n v="1"/>
    <m/>
    <n v="1"/>
    <m/>
    <m/>
    <m/>
    <m/>
    <m/>
    <n v="2"/>
    <m/>
    <m/>
    <m/>
    <m/>
    <n v="1"/>
    <m/>
    <m/>
    <m/>
    <m/>
    <n v="1"/>
    <n v="-1"/>
    <n v="0"/>
    <n v="-1"/>
    <n v="1"/>
    <n v="0"/>
    <n v="0"/>
    <n v="0"/>
    <n v="0"/>
    <n v="-1"/>
    <x v="1"/>
    <n v="-1"/>
    <m/>
    <m/>
    <m/>
    <m/>
    <m/>
    <m/>
    <m/>
    <m/>
    <m/>
    <m/>
    <m/>
    <m/>
    <m/>
    <m/>
    <m/>
    <m/>
    <n v="0"/>
    <n v="0"/>
    <s v="N"/>
    <s v="N"/>
    <s v="N"/>
    <n v="518090"/>
    <n v="174701"/>
    <x v="5"/>
    <x v="10"/>
    <x v="0"/>
    <x v="0"/>
    <m/>
    <x v="1"/>
    <x v="0"/>
    <s v="CA5 Richmond Hill"/>
    <x v="1"/>
    <s v="Y"/>
    <x v="5"/>
    <x v="0"/>
  </r>
  <r>
    <s v="15/3297/FUL"/>
    <x v="0"/>
    <x v="0"/>
    <x v="17"/>
    <d v="2022-08-13T00:00:00"/>
    <d v="2021-03-31T00:00:00"/>
    <d v="2023-07-18T00:00:00"/>
    <x v="0"/>
    <x v="1"/>
    <x v="0"/>
    <n v="3.9315068493150687"/>
    <x v="1"/>
    <s v="SITE B. The site is currently an open parking court of approximately 28 spaces accessed from Bucklands Road. Create a pair of semi-detached high quality four-bedroom houses._x000a_-Provision of 24 car parking spaces"/>
    <s v="Garage Site B, Bucklands Road, Teddington_x000a__x000a_"/>
    <s v="TW11 9QS"/>
    <m/>
    <m/>
    <m/>
    <m/>
    <m/>
    <m/>
    <m/>
    <m/>
    <m/>
    <n v="0"/>
    <s v="Y"/>
    <m/>
    <m/>
    <m/>
    <n v="2"/>
    <m/>
    <m/>
    <m/>
    <m/>
    <n v="2"/>
    <n v="0"/>
    <n v="0"/>
    <n v="0"/>
    <n v="2"/>
    <n v="0"/>
    <n v="0"/>
    <n v="0"/>
    <n v="0"/>
    <n v="2"/>
    <x v="1"/>
    <n v="2"/>
    <m/>
    <m/>
    <m/>
    <m/>
    <m/>
    <m/>
    <m/>
    <m/>
    <m/>
    <m/>
    <m/>
    <m/>
    <m/>
    <m/>
    <m/>
    <m/>
    <n v="0"/>
    <n v="0"/>
    <s v="N"/>
    <s v="N"/>
    <s v="N"/>
    <n v="517351"/>
    <n v="170884"/>
    <x v="1"/>
    <x v="11"/>
    <x v="0"/>
    <x v="0"/>
    <m/>
    <x v="1"/>
    <x v="0"/>
    <m/>
    <x v="0"/>
    <s v="Y"/>
    <x v="6"/>
    <x v="0"/>
  </r>
  <r>
    <s v="16/0680/FUL"/>
    <x v="3"/>
    <x v="0"/>
    <x v="18"/>
    <d v="2019-04-19T00:00:00"/>
    <d v="2016-07-01T00:00:00"/>
    <d v="2024-03-31T00:00:00"/>
    <x v="0"/>
    <x v="0"/>
    <x v="0"/>
    <n v="7.9534246575342467"/>
    <x v="1"/>
    <s v="Part demolition of single dwelling house and formation of two semi-detached houses."/>
    <s v="2 Firs Avenue, East Sheen SW14 7NZ_x000a_"/>
    <s v="SW14 7NZ"/>
    <m/>
    <m/>
    <m/>
    <m/>
    <n v="1"/>
    <m/>
    <m/>
    <m/>
    <m/>
    <n v="1"/>
    <m/>
    <m/>
    <m/>
    <m/>
    <n v="2"/>
    <m/>
    <m/>
    <m/>
    <m/>
    <n v="2"/>
    <n v="0"/>
    <n v="0"/>
    <n v="0"/>
    <n v="1"/>
    <n v="0"/>
    <n v="0"/>
    <n v="0"/>
    <n v="0"/>
    <n v="1"/>
    <x v="1"/>
    <n v="1"/>
    <m/>
    <m/>
    <m/>
    <m/>
    <m/>
    <m/>
    <m/>
    <m/>
    <m/>
    <m/>
    <m/>
    <m/>
    <m/>
    <m/>
    <m/>
    <m/>
    <n v="0"/>
    <n v="0"/>
    <m/>
    <m/>
    <m/>
    <n v="520343"/>
    <n v="175141"/>
    <x v="3"/>
    <x v="12"/>
    <x v="0"/>
    <x v="0"/>
    <m/>
    <x v="1"/>
    <x v="0"/>
    <m/>
    <x v="0"/>
    <s v="Y"/>
    <x v="7"/>
    <x v="2"/>
  </r>
  <r>
    <s v="16/3506/FUL"/>
    <x v="0"/>
    <x v="0"/>
    <x v="19"/>
    <d v="2021-10-11T00:00:00"/>
    <d v="2019-10-14T00:00:00"/>
    <d v="2024-03-31T00:00:00"/>
    <x v="0"/>
    <x v="2"/>
    <x v="0"/>
    <n v="5.4739726027397264"/>
    <x v="4"/>
    <s v="Demolition of the existing building and erection of 2 buildings at single-storey and three-stories to provide 24 affordable residential units (sheltered accommodation for older people of the minimum age of 55) with associated external amenities, communal"/>
    <s v="Somerville House, 1 Rodney Road, Twickenham"/>
    <s v="TW2 7AL"/>
    <s v="Social Rent Existing"/>
    <n v="29"/>
    <n v="1"/>
    <m/>
    <m/>
    <m/>
    <m/>
    <m/>
    <m/>
    <n v="30"/>
    <s v="Y"/>
    <m/>
    <m/>
    <m/>
    <m/>
    <m/>
    <m/>
    <m/>
    <m/>
    <n v="0"/>
    <n v="-29"/>
    <n v="-1"/>
    <n v="0"/>
    <n v="0"/>
    <n v="0"/>
    <n v="0"/>
    <n v="0"/>
    <n v="0"/>
    <n v="-30"/>
    <x v="0"/>
    <n v="-30"/>
    <m/>
    <m/>
    <m/>
    <m/>
    <m/>
    <m/>
    <m/>
    <m/>
    <m/>
    <m/>
    <m/>
    <m/>
    <m/>
    <m/>
    <m/>
    <m/>
    <n v="0"/>
    <n v="0"/>
    <s v="Y"/>
    <s v="Y"/>
    <s v="N"/>
    <n v="513257"/>
    <n v="174057"/>
    <x v="0"/>
    <x v="13"/>
    <x v="0"/>
    <x v="0"/>
    <m/>
    <x v="1"/>
    <x v="0"/>
    <m/>
    <x v="0"/>
    <s v="Y"/>
    <x v="0"/>
    <x v="0"/>
  </r>
  <r>
    <s v="16/3506/FUL"/>
    <x v="0"/>
    <x v="0"/>
    <x v="19"/>
    <d v="2021-10-11T00:00:00"/>
    <d v="2019-10-14T00:00:00"/>
    <d v="2024-03-31T00:00:00"/>
    <x v="0"/>
    <x v="3"/>
    <x v="0"/>
    <n v="5.4739726027397264"/>
    <x v="4"/>
    <s v="Demolition of the existing building and erection of 2 buildings at single-storey and three-stories to provide 24 affordable residential units (sheltered accommodation for older people of the minimum age of 55) with associated external amenities, communal"/>
    <s v="Somerville House, 1 Rodney Road, Twickenham"/>
    <s v="TW2 7AL"/>
    <m/>
    <m/>
    <m/>
    <m/>
    <m/>
    <m/>
    <m/>
    <m/>
    <m/>
    <n v="0"/>
    <s v="Y"/>
    <n v="5"/>
    <m/>
    <m/>
    <m/>
    <m/>
    <m/>
    <m/>
    <m/>
    <n v="5"/>
    <n v="5"/>
    <n v="0"/>
    <n v="0"/>
    <n v="0"/>
    <n v="0"/>
    <n v="0"/>
    <n v="0"/>
    <n v="0"/>
    <n v="5"/>
    <x v="0"/>
    <n v="5"/>
    <m/>
    <m/>
    <m/>
    <m/>
    <m/>
    <m/>
    <m/>
    <m/>
    <m/>
    <m/>
    <m/>
    <m/>
    <m/>
    <m/>
    <m/>
    <m/>
    <n v="0"/>
    <n v="0"/>
    <s v="Y"/>
    <s v="Y"/>
    <s v="N"/>
    <n v="513257"/>
    <n v="174057"/>
    <x v="0"/>
    <x v="13"/>
    <x v="0"/>
    <x v="0"/>
    <m/>
    <x v="1"/>
    <x v="0"/>
    <m/>
    <x v="0"/>
    <s v="Y"/>
    <x v="0"/>
    <x v="0"/>
  </r>
  <r>
    <s v="16/3506/FUL"/>
    <x v="0"/>
    <x v="0"/>
    <x v="19"/>
    <d v="2021-10-11T00:00:00"/>
    <d v="2019-10-14T00:00:00"/>
    <d v="2024-03-31T00:00:00"/>
    <x v="0"/>
    <x v="1"/>
    <x v="0"/>
    <n v="5.4739726027397264"/>
    <x v="4"/>
    <s v="Demolition of the existing building and erection of 2 buildings at single-storey and three-stories to provide 24 affordable residential units (sheltered accommodation for older people of the minimum age of 55) with associated external amenities, communal"/>
    <s v="Somerville House, 1 Rodney Road, Twickenham"/>
    <s v="TW2 7AL"/>
    <m/>
    <m/>
    <m/>
    <m/>
    <m/>
    <m/>
    <m/>
    <m/>
    <m/>
    <n v="0"/>
    <s v="Y"/>
    <n v="19"/>
    <m/>
    <m/>
    <m/>
    <m/>
    <m/>
    <m/>
    <m/>
    <n v="19"/>
    <n v="19"/>
    <n v="0"/>
    <n v="0"/>
    <n v="0"/>
    <n v="0"/>
    <n v="0"/>
    <n v="0"/>
    <n v="0"/>
    <n v="19"/>
    <x v="0"/>
    <n v="19"/>
    <m/>
    <m/>
    <m/>
    <m/>
    <m/>
    <m/>
    <m/>
    <m/>
    <m/>
    <m/>
    <m/>
    <m/>
    <m/>
    <m/>
    <m/>
    <m/>
    <n v="0"/>
    <n v="0"/>
    <s v="Y"/>
    <s v="Y"/>
    <s v="N"/>
    <n v="513257"/>
    <n v="174057"/>
    <x v="0"/>
    <x v="13"/>
    <x v="0"/>
    <x v="0"/>
    <m/>
    <x v="1"/>
    <x v="0"/>
    <m/>
    <x v="0"/>
    <s v="Y"/>
    <x v="0"/>
    <x v="0"/>
  </r>
  <r>
    <s v="17/4005/FUL"/>
    <x v="4"/>
    <x v="0"/>
    <x v="20"/>
    <d v="2023-03-05T00:00:00"/>
    <d v="2023-03-01T00:00:00"/>
    <d v="2023-06-19T00:00:00"/>
    <x v="0"/>
    <x v="0"/>
    <x v="0"/>
    <n v="3.2904109589041095"/>
    <x v="1"/>
    <s v="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
    <s v="51 Kew Road, Richmond TW9 2NQ"/>
    <s v="TW9 2NQ"/>
    <m/>
    <n v="1"/>
    <m/>
    <m/>
    <m/>
    <m/>
    <m/>
    <m/>
    <m/>
    <n v="1"/>
    <m/>
    <n v="2"/>
    <m/>
    <m/>
    <m/>
    <m/>
    <m/>
    <m/>
    <m/>
    <n v="2"/>
    <n v="1"/>
    <n v="0"/>
    <n v="0"/>
    <n v="0"/>
    <n v="0"/>
    <n v="0"/>
    <n v="0"/>
    <n v="0"/>
    <n v="1"/>
    <x v="1"/>
    <n v="1"/>
    <m/>
    <m/>
    <m/>
    <m/>
    <m/>
    <m/>
    <m/>
    <m/>
    <m/>
    <m/>
    <m/>
    <m/>
    <m/>
    <m/>
    <m/>
    <m/>
    <n v="0"/>
    <n v="0"/>
    <s v="N"/>
    <s v="N"/>
    <s v="N"/>
    <n v="518109"/>
    <n v="175300"/>
    <x v="5"/>
    <x v="10"/>
    <x v="1"/>
    <x v="0"/>
    <m/>
    <x v="1"/>
    <x v="0"/>
    <s v="CA17 Central Richmond"/>
    <x v="1"/>
    <s v="Y"/>
    <x v="5"/>
    <x v="0"/>
  </r>
  <r>
    <s v="17/4015/FUL"/>
    <x v="0"/>
    <x v="0"/>
    <x v="21"/>
    <d v="2021-10-03T00:00:00"/>
    <d v="2021-09-27T00:00:00"/>
    <d v="2024-03-11T00:00:00"/>
    <x v="0"/>
    <x v="0"/>
    <x v="0"/>
    <n v="5.441095890410959"/>
    <x v="1"/>
    <s v="Erection of 2no. dwellings with associated cycle parking and refuse storage."/>
    <s v="Land To Rear Of 34 - 40 The Quadrant, Richmond_x000a__x000a_"/>
    <s v="TW9 1DN"/>
    <m/>
    <m/>
    <m/>
    <m/>
    <m/>
    <m/>
    <m/>
    <m/>
    <m/>
    <n v="0"/>
    <m/>
    <m/>
    <n v="2"/>
    <m/>
    <m/>
    <m/>
    <m/>
    <m/>
    <m/>
    <n v="2"/>
    <n v="0"/>
    <n v="2"/>
    <n v="0"/>
    <n v="0"/>
    <n v="0"/>
    <n v="0"/>
    <n v="0"/>
    <n v="0"/>
    <n v="2"/>
    <x v="1"/>
    <n v="2"/>
    <m/>
    <m/>
    <m/>
    <m/>
    <m/>
    <m/>
    <m/>
    <m/>
    <m/>
    <m/>
    <m/>
    <m/>
    <m/>
    <m/>
    <m/>
    <m/>
    <n v="0"/>
    <n v="0"/>
    <s v="N"/>
    <s v="N"/>
    <s v="N"/>
    <n v="518028"/>
    <n v="175050"/>
    <x v="5"/>
    <x v="10"/>
    <x v="1"/>
    <x v="0"/>
    <m/>
    <x v="1"/>
    <x v="0"/>
    <s v="CA17 Central Richmond"/>
    <x v="1"/>
    <s v="Y"/>
    <x v="5"/>
    <x v="0"/>
  </r>
  <r>
    <s v="17/4292/FUL"/>
    <x v="3"/>
    <x v="0"/>
    <x v="22"/>
    <d v="2021-01-25T00:00:00"/>
    <d v="2021-01-20T00:00:00"/>
    <d v="2023-09-25T00:00:00"/>
    <x v="0"/>
    <x v="0"/>
    <x v="0"/>
    <n v="5.6684931506849319"/>
    <x v="1"/>
    <s v="Proposed roof and side extension to the existing two storey residential building to provide three new apartment units and to increase the size of four of the existing units. Alterations to elevations including balconies at first and second floor."/>
    <s v="Cliveden House, Victoria Villas, Richmond TW9 2JX_x000a_"/>
    <s v="TW9 2JX"/>
    <m/>
    <m/>
    <m/>
    <m/>
    <m/>
    <m/>
    <m/>
    <m/>
    <m/>
    <n v="0"/>
    <m/>
    <n v="1"/>
    <n v="2"/>
    <m/>
    <m/>
    <m/>
    <m/>
    <m/>
    <m/>
    <n v="3"/>
    <n v="1"/>
    <n v="2"/>
    <n v="0"/>
    <n v="0"/>
    <n v="0"/>
    <n v="0"/>
    <n v="0"/>
    <n v="0"/>
    <n v="3"/>
    <x v="1"/>
    <n v="3"/>
    <m/>
    <m/>
    <m/>
    <m/>
    <m/>
    <m/>
    <m/>
    <m/>
    <m/>
    <m/>
    <m/>
    <m/>
    <m/>
    <m/>
    <m/>
    <m/>
    <n v="0"/>
    <n v="0"/>
    <s v="N"/>
    <s v="N"/>
    <s v="N"/>
    <n v="518831"/>
    <n v="175436"/>
    <x v="5"/>
    <x v="8"/>
    <x v="0"/>
    <x v="0"/>
    <m/>
    <x v="1"/>
    <x v="0"/>
    <m/>
    <x v="0"/>
    <s v="Y"/>
    <x v="5"/>
    <x v="0"/>
  </r>
  <r>
    <s v="19/1728/FUL"/>
    <x v="2"/>
    <x v="0"/>
    <x v="23"/>
    <d v="2023-05-15T00:00:00"/>
    <d v="2022-11-01T00:00:00"/>
    <d v="2023-10-27T00:00:00"/>
    <x v="0"/>
    <x v="0"/>
    <x v="0"/>
    <n v="3.452054794520548"/>
    <x v="1"/>
    <s v="Conversion and alteration of the existing garage building to provide a one bedroom flat over two levels together with a garden amenity area."/>
    <s v="Manning House, 3 Gloucester Road, Teddington TW11 0NS_x000a_"/>
    <s v="TW11 0NS"/>
    <m/>
    <m/>
    <m/>
    <m/>
    <m/>
    <m/>
    <m/>
    <m/>
    <m/>
    <n v="0"/>
    <m/>
    <n v="1"/>
    <m/>
    <m/>
    <m/>
    <m/>
    <m/>
    <m/>
    <m/>
    <n v="1"/>
    <n v="1"/>
    <n v="0"/>
    <n v="0"/>
    <n v="0"/>
    <n v="0"/>
    <n v="0"/>
    <n v="0"/>
    <n v="0"/>
    <n v="1"/>
    <x v="1"/>
    <n v="1"/>
    <m/>
    <m/>
    <m/>
    <m/>
    <m/>
    <m/>
    <m/>
    <m/>
    <m/>
    <m/>
    <m/>
    <m/>
    <m/>
    <m/>
    <m/>
    <m/>
    <n v="0"/>
    <n v="0"/>
    <s v="N"/>
    <s v="N"/>
    <s v="N"/>
    <n v="515221"/>
    <n v="171318"/>
    <x v="1"/>
    <x v="14"/>
    <x v="0"/>
    <x v="0"/>
    <m/>
    <x v="1"/>
    <x v="0"/>
    <m/>
    <x v="0"/>
    <s v="Y"/>
    <x v="6"/>
    <x v="0"/>
  </r>
  <r>
    <s v="19/1763/FUL"/>
    <x v="0"/>
    <x v="0"/>
    <x v="24"/>
    <d v="2022-09-23T00:00:00"/>
    <d v="2022-12-22T00:00:00"/>
    <d v="2023-10-11T00:00:00"/>
    <x v="0"/>
    <x v="0"/>
    <x v="0"/>
    <n v="4.0520547945205481"/>
    <x v="1"/>
    <s v="Demolition of existing residential garages and erection of 2x four bed semi-detached houses (Use Class C3), associated amenity space, landscaping, car and cycle parking and refuse storage."/>
    <s v="Garages At Craneford Way, Twickenham_x000a__x000a_"/>
    <s v="TW2 7SQ"/>
    <m/>
    <m/>
    <m/>
    <m/>
    <m/>
    <m/>
    <m/>
    <m/>
    <m/>
    <n v="0"/>
    <m/>
    <m/>
    <m/>
    <m/>
    <n v="2"/>
    <m/>
    <m/>
    <m/>
    <m/>
    <n v="2"/>
    <n v="0"/>
    <n v="0"/>
    <n v="0"/>
    <n v="2"/>
    <n v="0"/>
    <n v="0"/>
    <n v="0"/>
    <n v="0"/>
    <n v="2"/>
    <x v="1"/>
    <n v="2"/>
    <m/>
    <m/>
    <m/>
    <m/>
    <m/>
    <m/>
    <m/>
    <m/>
    <m/>
    <m/>
    <m/>
    <m/>
    <m/>
    <m/>
    <m/>
    <m/>
    <n v="0"/>
    <n v="0"/>
    <s v="N"/>
    <s v="N"/>
    <s v="N"/>
    <n v="515377"/>
    <n v="173631"/>
    <x v="4"/>
    <x v="5"/>
    <x v="0"/>
    <x v="0"/>
    <m/>
    <x v="1"/>
    <x v="0"/>
    <m/>
    <x v="0"/>
    <s v="Y"/>
    <x v="4"/>
    <x v="0"/>
  </r>
  <r>
    <s v="19/3324/FUL"/>
    <x v="0"/>
    <x v="0"/>
    <x v="25"/>
    <d v="2023-09-30T00:00:00"/>
    <d v="2022-10-31T00:00:00"/>
    <d v="2024-01-22T00:00:00"/>
    <x v="0"/>
    <x v="0"/>
    <x v="0"/>
    <n v="3.3123287671232875"/>
    <x v="2"/>
    <s v="Demolition of 30 garages and erection of 5 x 3 bedroom detached dwellings with associated hard and soft landscaping, parking and cycle and refuse stores"/>
    <s v="Garages And Land Adjacent Railway, South Worple Way, East Sheen_x000a_"/>
    <s v="SW14 8"/>
    <m/>
    <m/>
    <m/>
    <m/>
    <m/>
    <m/>
    <m/>
    <m/>
    <m/>
    <n v="0"/>
    <m/>
    <m/>
    <m/>
    <n v="5"/>
    <m/>
    <m/>
    <m/>
    <m/>
    <m/>
    <n v="5"/>
    <n v="0"/>
    <n v="0"/>
    <n v="5"/>
    <n v="0"/>
    <n v="0"/>
    <n v="0"/>
    <n v="0"/>
    <n v="0"/>
    <n v="5"/>
    <x v="1"/>
    <n v="5"/>
    <m/>
    <m/>
    <m/>
    <m/>
    <m/>
    <m/>
    <m/>
    <m/>
    <m/>
    <m/>
    <m/>
    <m/>
    <m/>
    <m/>
    <m/>
    <m/>
    <n v="0"/>
    <n v="0"/>
    <s v="N"/>
    <s v="N"/>
    <s v="N"/>
    <n v="520616"/>
    <n v="175748"/>
    <x v="3"/>
    <x v="12"/>
    <x v="0"/>
    <x v="0"/>
    <m/>
    <x v="1"/>
    <x v="0"/>
    <m/>
    <x v="0"/>
    <s v="Y"/>
    <x v="7"/>
    <x v="0"/>
  </r>
  <r>
    <s v="19/3905/FUL"/>
    <x v="3"/>
    <x v="0"/>
    <x v="26"/>
    <d v="2023-10-22T00:00:00"/>
    <d v="2022-02-01T00:00:00"/>
    <d v="2023-04-01T00:00:00"/>
    <x v="0"/>
    <x v="0"/>
    <x v="0"/>
    <n v="2.441095890410959"/>
    <x v="1"/>
    <s v="Replacement shopfront, replacement windows, 2 no. rooflights on front roof slope, new basement level with lightwells and rear staircase ground floor side/rear extension and 3 rear dormer roof extension to facilitate the provision of 1 no. retail unit and 7 no. flats (5 x studio flats and 2 x 1 bed flats) with associated hard and soft landscaping, cycle and refuse stores."/>
    <s v="422 Upper Richmond Road West, East Sheen"/>
    <s v="SW14 7JX"/>
    <m/>
    <m/>
    <m/>
    <n v="1"/>
    <m/>
    <m/>
    <m/>
    <m/>
    <m/>
    <n v="1"/>
    <m/>
    <n v="3"/>
    <m/>
    <m/>
    <m/>
    <m/>
    <m/>
    <m/>
    <m/>
    <n v="3"/>
    <n v="3"/>
    <n v="0"/>
    <n v="-1"/>
    <n v="0"/>
    <n v="0"/>
    <n v="0"/>
    <n v="0"/>
    <n v="0"/>
    <n v="2"/>
    <x v="1"/>
    <n v="2"/>
    <m/>
    <m/>
    <m/>
    <m/>
    <m/>
    <m/>
    <m/>
    <m/>
    <m/>
    <m/>
    <m/>
    <m/>
    <m/>
    <m/>
    <m/>
    <m/>
    <n v="0"/>
    <n v="0"/>
    <s v="N"/>
    <s v="N"/>
    <s v="N"/>
    <n v="519849"/>
    <n v="175357"/>
    <x v="5"/>
    <x v="8"/>
    <x v="0"/>
    <x v="0"/>
    <m/>
    <x v="1"/>
    <x v="0"/>
    <m/>
    <x v="0"/>
    <s v="Y"/>
    <x v="7"/>
    <x v="0"/>
  </r>
  <r>
    <s v="20/0222/FUL"/>
    <x v="0"/>
    <x v="0"/>
    <x v="27"/>
    <d v="2024-05-04T00:00:00"/>
    <d v="2022-02-01T00:00:00"/>
    <d v="2023-08-22T00:00:00"/>
    <x v="0"/>
    <x v="4"/>
    <x v="0"/>
    <n v="2.3013698630136985"/>
    <x v="5"/>
    <s v="Erection of a two storey residential building with accommodation within the roof to provide 14 flats (11 x 1 bed &amp; 3 x 2 bed units) with associated car parking and landscaping."/>
    <s v="Land Adjacent To 38 - 42 Hampton Road, Teddington_x000a__x000a_"/>
    <s v="TW11 0JE"/>
    <m/>
    <m/>
    <m/>
    <m/>
    <m/>
    <m/>
    <m/>
    <m/>
    <m/>
    <n v="0"/>
    <s v="Y"/>
    <n v="6"/>
    <m/>
    <m/>
    <m/>
    <m/>
    <m/>
    <m/>
    <m/>
    <n v="6"/>
    <n v="6"/>
    <n v="0"/>
    <n v="0"/>
    <n v="0"/>
    <n v="0"/>
    <n v="0"/>
    <n v="0"/>
    <n v="0"/>
    <n v="6"/>
    <x v="0"/>
    <n v="6"/>
    <m/>
    <m/>
    <m/>
    <m/>
    <m/>
    <m/>
    <m/>
    <m/>
    <m/>
    <m/>
    <m/>
    <m/>
    <m/>
    <m/>
    <m/>
    <m/>
    <n v="0"/>
    <n v="0"/>
    <s v="N"/>
    <s v="N"/>
    <s v="N"/>
    <n v="515045"/>
    <n v="171153"/>
    <x v="1"/>
    <x v="14"/>
    <x v="0"/>
    <x v="0"/>
    <m/>
    <x v="1"/>
    <x v="0"/>
    <m/>
    <x v="0"/>
    <s v="Y"/>
    <x v="6"/>
    <x v="0"/>
  </r>
  <r>
    <s v="20/0222/FUL"/>
    <x v="0"/>
    <x v="0"/>
    <x v="27"/>
    <d v="2024-05-04T00:00:00"/>
    <d v="2022-02-01T00:00:00"/>
    <d v="2023-08-22T00:00:00"/>
    <x v="0"/>
    <x v="3"/>
    <x v="0"/>
    <n v="2.3013698630136985"/>
    <x v="5"/>
    <s v="Erection of a two storey residential building with accommodation within the roof to provide 14 flats (11 x 1 bed &amp; 3 x 2 bed units) with associated car parking and landscaping."/>
    <s v="Land Adjacent To 38 - 42 Hampton Road, Teddington_x000a__x000a_"/>
    <s v="TW11 0JE"/>
    <m/>
    <m/>
    <m/>
    <m/>
    <m/>
    <m/>
    <m/>
    <m/>
    <m/>
    <n v="0"/>
    <s v="Y"/>
    <n v="5"/>
    <n v="3"/>
    <m/>
    <m/>
    <m/>
    <m/>
    <m/>
    <m/>
    <n v="8"/>
    <n v="5"/>
    <n v="3"/>
    <n v="0"/>
    <n v="0"/>
    <n v="0"/>
    <n v="0"/>
    <n v="0"/>
    <n v="0"/>
    <n v="8"/>
    <x v="0"/>
    <n v="8"/>
    <m/>
    <m/>
    <m/>
    <m/>
    <m/>
    <m/>
    <m/>
    <m/>
    <m/>
    <m/>
    <m/>
    <m/>
    <m/>
    <m/>
    <m/>
    <m/>
    <n v="0"/>
    <n v="0"/>
    <s v="N"/>
    <s v="N"/>
    <s v="N"/>
    <n v="515045"/>
    <n v="171153"/>
    <x v="1"/>
    <x v="14"/>
    <x v="0"/>
    <x v="0"/>
    <m/>
    <x v="1"/>
    <x v="0"/>
    <m/>
    <x v="0"/>
    <s v="Y"/>
    <x v="6"/>
    <x v="0"/>
  </r>
  <r>
    <s v="20/0990/FUL"/>
    <x v="0"/>
    <x v="0"/>
    <x v="25"/>
    <d v="2023-09-30T00:00:00"/>
    <d v="2023-03-06T00:00:00"/>
    <d v="2024-01-25T00:00:00"/>
    <x v="0"/>
    <x v="0"/>
    <x v="0"/>
    <n v="3.3205479452054796"/>
    <x v="1"/>
    <s v="Demolition of existing garage and the erection of a single storey studio dwelling unit with associated hard and soft landscaping, refuse and cycle stores and boundary treatment."/>
    <s v="Land Rear Of 40 Pagoda Avenue, Richmond TW9 2HF"/>
    <s v="TW9 2HF"/>
    <m/>
    <m/>
    <m/>
    <m/>
    <m/>
    <m/>
    <m/>
    <m/>
    <m/>
    <n v="0"/>
    <m/>
    <n v="1"/>
    <m/>
    <m/>
    <m/>
    <m/>
    <m/>
    <m/>
    <m/>
    <n v="1"/>
    <n v="1"/>
    <n v="0"/>
    <n v="0"/>
    <n v="0"/>
    <n v="0"/>
    <n v="0"/>
    <n v="0"/>
    <n v="0"/>
    <n v="1"/>
    <x v="1"/>
    <n v="1"/>
    <m/>
    <m/>
    <m/>
    <m/>
    <m/>
    <m/>
    <m/>
    <m/>
    <m/>
    <m/>
    <m/>
    <m/>
    <m/>
    <m/>
    <m/>
    <m/>
    <n v="0"/>
    <n v="0"/>
    <s v="N"/>
    <s v="N"/>
    <s v="N"/>
    <n v="518657"/>
    <n v="175579"/>
    <x v="5"/>
    <x v="8"/>
    <x v="0"/>
    <x v="0"/>
    <m/>
    <x v="1"/>
    <x v="0"/>
    <m/>
    <x v="0"/>
    <s v="Y"/>
    <x v="5"/>
    <x v="0"/>
  </r>
  <r>
    <s v="20/0997/FUL"/>
    <x v="2"/>
    <x v="0"/>
    <x v="28"/>
    <d v="2023-12-04T00:00:00"/>
    <d v="2022-04-19T00:00:00"/>
    <d v="2023-05-01T00:00:00"/>
    <x v="0"/>
    <x v="0"/>
    <x v="0"/>
    <n v="2.4054794520547946"/>
    <x v="1"/>
    <s v="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
    <s v="2 Grand Parade, East Sheen SW14 7PS"/>
    <s v="SW14 7PS"/>
    <m/>
    <m/>
    <m/>
    <n v="1"/>
    <m/>
    <m/>
    <m/>
    <m/>
    <m/>
    <n v="1"/>
    <m/>
    <n v="2"/>
    <m/>
    <m/>
    <m/>
    <m/>
    <m/>
    <m/>
    <m/>
    <n v="2"/>
    <n v="2"/>
    <n v="0"/>
    <n v="-1"/>
    <n v="0"/>
    <n v="0"/>
    <n v="0"/>
    <n v="0"/>
    <n v="0"/>
    <n v="1"/>
    <x v="1"/>
    <n v="1"/>
    <m/>
    <m/>
    <m/>
    <m/>
    <m/>
    <m/>
    <m/>
    <m/>
    <m/>
    <m/>
    <m/>
    <m/>
    <m/>
    <m/>
    <m/>
    <m/>
    <n v="0"/>
    <n v="0"/>
    <s v="N"/>
    <s v="N"/>
    <s v="N"/>
    <n v="520166"/>
    <n v="175305"/>
    <x v="3"/>
    <x v="12"/>
    <x v="2"/>
    <x v="0"/>
    <m/>
    <x v="1"/>
    <x v="0"/>
    <m/>
    <x v="0"/>
    <s v="Y"/>
    <x v="7"/>
    <x v="0"/>
  </r>
  <r>
    <s v="20/1986/FUL"/>
    <x v="0"/>
    <x v="0"/>
    <x v="29"/>
    <d v="2023-11-06T00:00:00"/>
    <d v="2022-01-26T00:00:00"/>
    <d v="2024-03-31T00:00:00"/>
    <x v="0"/>
    <x v="0"/>
    <x v="0"/>
    <n v="3.4"/>
    <x v="1"/>
    <s v="Replacement of the dwelling and garages with a new build dwelling and garage. Demolition of the existing dwelling and garages. Uses as existing"/>
    <s v="17A Strawberry Hill Road, Twickenham TW1 4QB"/>
    <s v="TW1 4QB"/>
    <m/>
    <m/>
    <m/>
    <m/>
    <m/>
    <n v="1"/>
    <m/>
    <m/>
    <m/>
    <n v="1"/>
    <m/>
    <m/>
    <m/>
    <m/>
    <m/>
    <n v="1"/>
    <m/>
    <m/>
    <m/>
    <n v="1"/>
    <n v="0"/>
    <n v="0"/>
    <n v="0"/>
    <n v="0"/>
    <n v="0"/>
    <n v="0"/>
    <n v="0"/>
    <n v="0"/>
    <n v="0"/>
    <x v="1"/>
    <n v="0"/>
    <m/>
    <m/>
    <m/>
    <m/>
    <m/>
    <m/>
    <m/>
    <m/>
    <m/>
    <m/>
    <m/>
    <m/>
    <m/>
    <m/>
    <m/>
    <m/>
    <n v="0"/>
    <n v="0"/>
    <s v="N"/>
    <s v="N"/>
    <s v="N"/>
    <n v="515689"/>
    <n v="172252"/>
    <x v="4"/>
    <x v="7"/>
    <x v="0"/>
    <x v="0"/>
    <m/>
    <x v="1"/>
    <x v="0"/>
    <s v="CA43 Strawberry Hill Road"/>
    <x v="1"/>
    <s v="Y"/>
    <x v="4"/>
    <x v="0"/>
  </r>
  <r>
    <s v="20/2393/FUL"/>
    <x v="1"/>
    <x v="0"/>
    <x v="30"/>
    <d v="2024-07-30T00:00:00"/>
    <d v="2022-08-31T00:00:00"/>
    <d v="2023-12-04T00:00:00"/>
    <x v="0"/>
    <x v="0"/>
    <x v="0"/>
    <n v="2.3479452054794518"/>
    <x v="1"/>
    <s v="Conversion of Upper Floors to No. 104 (House of Multiple Occupation) to two self contained Flats, with new ground floor pedestrian access."/>
    <s v="102-104 Heath Road, Twickenham TW1 4BW"/>
    <s v="TW1 4BW"/>
    <m/>
    <m/>
    <m/>
    <m/>
    <m/>
    <n v="1"/>
    <m/>
    <m/>
    <m/>
    <n v="1"/>
    <m/>
    <n v="2"/>
    <m/>
    <m/>
    <m/>
    <m/>
    <m/>
    <m/>
    <m/>
    <n v="2"/>
    <n v="2"/>
    <n v="0"/>
    <n v="0"/>
    <n v="0"/>
    <n v="-1"/>
    <n v="0"/>
    <n v="0"/>
    <n v="0"/>
    <n v="1"/>
    <x v="1"/>
    <n v="1"/>
    <m/>
    <m/>
    <m/>
    <m/>
    <m/>
    <m/>
    <m/>
    <m/>
    <m/>
    <m/>
    <m/>
    <m/>
    <m/>
    <m/>
    <m/>
    <m/>
    <n v="0"/>
    <n v="0"/>
    <s v="N"/>
    <s v="N"/>
    <s v="N"/>
    <n v="515822"/>
    <n v="173145"/>
    <x v="4"/>
    <x v="7"/>
    <x v="3"/>
    <x v="0"/>
    <m/>
    <x v="1"/>
    <x v="0"/>
    <m/>
    <x v="0"/>
    <s v="Y"/>
    <x v="4"/>
    <x v="0"/>
  </r>
  <r>
    <s v="20/2500/FUL"/>
    <x v="0"/>
    <x v="0"/>
    <x v="31"/>
    <d v="2024-01-06T00:00:00"/>
    <d v="2021-08-16T00:00:00"/>
    <d v="2023-06-23T00:00:00"/>
    <x v="0"/>
    <x v="0"/>
    <x v="0"/>
    <n v="2.4602739726027396"/>
    <x v="1"/>
    <s v="Erection of a single detached dwellinghouse with basement and sunken patio following demolition of existing side extension to former care home.   Conversion of former care home to a single dwellinghouse together with a proposed single storey rear extensio"/>
    <s v="96 Wensleydale Road, Hampton TW12 2LY_x000a_"/>
    <s v="TW12 2LY"/>
    <m/>
    <m/>
    <m/>
    <m/>
    <m/>
    <m/>
    <m/>
    <m/>
    <m/>
    <n v="0"/>
    <m/>
    <m/>
    <m/>
    <m/>
    <m/>
    <n v="2"/>
    <m/>
    <m/>
    <m/>
    <n v="2"/>
    <n v="0"/>
    <n v="0"/>
    <n v="0"/>
    <n v="0"/>
    <n v="2"/>
    <n v="0"/>
    <n v="0"/>
    <n v="0"/>
    <n v="2"/>
    <x v="1"/>
    <n v="2"/>
    <m/>
    <m/>
    <m/>
    <m/>
    <m/>
    <m/>
    <m/>
    <m/>
    <m/>
    <m/>
    <m/>
    <m/>
    <m/>
    <m/>
    <m/>
    <m/>
    <n v="0"/>
    <n v="0"/>
    <s v="N"/>
    <s v="N"/>
    <s v="N"/>
    <n v="513454"/>
    <n v="170508"/>
    <x v="1"/>
    <x v="2"/>
    <x v="0"/>
    <x v="0"/>
    <m/>
    <x v="1"/>
    <x v="0"/>
    <m/>
    <x v="0"/>
    <s v="Y"/>
    <x v="1"/>
    <x v="0"/>
  </r>
  <r>
    <s v="20/3164/OUT"/>
    <x v="0"/>
    <x v="0"/>
    <x v="32"/>
    <d v="2024-05-07T00:00:00"/>
    <d v="2022-10-01T00:00:00"/>
    <d v="2023-10-10T00:00:00"/>
    <x v="0"/>
    <x v="0"/>
    <x v="0"/>
    <n v="2.4273972602739726"/>
    <x v="1"/>
    <s v="Outline application for a single storey 2 bedroomed dwelling to the rear of 2 Sunbury Avenue, associated hard and soft landscaping and off-street parking"/>
    <s v="Land Rear Of 2 Sunbury Avenue, East Sheen"/>
    <s v="SW14"/>
    <m/>
    <m/>
    <m/>
    <m/>
    <m/>
    <m/>
    <m/>
    <m/>
    <m/>
    <n v="0"/>
    <m/>
    <m/>
    <n v="1"/>
    <m/>
    <m/>
    <m/>
    <m/>
    <m/>
    <m/>
    <n v="1"/>
    <n v="0"/>
    <n v="1"/>
    <n v="0"/>
    <n v="0"/>
    <n v="0"/>
    <n v="0"/>
    <n v="0"/>
    <n v="0"/>
    <n v="1"/>
    <x v="1"/>
    <n v="1"/>
    <m/>
    <m/>
    <m/>
    <m/>
    <m/>
    <m/>
    <m/>
    <m/>
    <m/>
    <m/>
    <m/>
    <m/>
    <m/>
    <m/>
    <m/>
    <m/>
    <n v="0"/>
    <n v="0"/>
    <s v="N"/>
    <s v="N"/>
    <s v="N"/>
    <n v="520935"/>
    <n v="175143"/>
    <x v="3"/>
    <x v="12"/>
    <x v="0"/>
    <x v="0"/>
    <m/>
    <x v="1"/>
    <x v="0"/>
    <m/>
    <x v="0"/>
    <s v="Y"/>
    <x v="7"/>
    <x v="1"/>
  </r>
  <r>
    <s v="20/3740/FUL"/>
    <x v="0"/>
    <x v="0"/>
    <x v="33"/>
    <d v="2025-06-15T00:00:00"/>
    <d v="2021-04-30T00:00:00"/>
    <d v="2023-09-14T00:00:00"/>
    <x v="0"/>
    <x v="0"/>
    <x v="0"/>
    <n v="1.2493150684931507"/>
    <x v="1"/>
    <s v="Erection of two semi detached houses with associated landscaping and parking"/>
    <s v="86 Ormond Drive, Hampton TW12 2TN_x000a_"/>
    <s v="TW12 2TN"/>
    <m/>
    <m/>
    <m/>
    <m/>
    <n v="1"/>
    <m/>
    <m/>
    <m/>
    <m/>
    <n v="1"/>
    <m/>
    <m/>
    <m/>
    <m/>
    <n v="2"/>
    <m/>
    <m/>
    <m/>
    <m/>
    <n v="2"/>
    <n v="0"/>
    <n v="0"/>
    <n v="0"/>
    <n v="1"/>
    <n v="0"/>
    <n v="0"/>
    <n v="0"/>
    <n v="0"/>
    <n v="1"/>
    <x v="1"/>
    <n v="1"/>
    <m/>
    <m/>
    <m/>
    <m/>
    <m/>
    <m/>
    <m/>
    <m/>
    <m/>
    <m/>
    <m/>
    <m/>
    <m/>
    <m/>
    <m/>
    <m/>
    <n v="0"/>
    <n v="0"/>
    <s v="N"/>
    <s v="N"/>
    <s v="N"/>
    <n v="513837"/>
    <n v="170102"/>
    <x v="1"/>
    <x v="2"/>
    <x v="0"/>
    <x v="0"/>
    <m/>
    <x v="1"/>
    <x v="0"/>
    <m/>
    <x v="0"/>
    <s v="Y"/>
    <x v="1"/>
    <x v="0"/>
  </r>
  <r>
    <s v="21/1219/GPD15"/>
    <x v="1"/>
    <x v="1"/>
    <x v="34"/>
    <d v="2024-06-10T00:00:00"/>
    <d v="2023-05-01T00:00:00"/>
    <d v="2024-03-31T00:00:00"/>
    <x v="0"/>
    <x v="0"/>
    <x v="0"/>
    <n v="2.8082191780821919"/>
    <x v="1"/>
    <s v="Change of use from offices (B1a) to single dwelling house (C3)."/>
    <s v="Suite 1, 47 St Margarets Grove, Twickenham TW1 1JF"/>
    <s v="TW1 1JF"/>
    <m/>
    <m/>
    <m/>
    <m/>
    <m/>
    <m/>
    <m/>
    <m/>
    <m/>
    <n v="0"/>
    <m/>
    <n v="1"/>
    <m/>
    <m/>
    <m/>
    <m/>
    <m/>
    <m/>
    <m/>
    <n v="1"/>
    <n v="1"/>
    <n v="0"/>
    <n v="0"/>
    <n v="0"/>
    <n v="0"/>
    <n v="0"/>
    <n v="0"/>
    <n v="0"/>
    <n v="1"/>
    <x v="1"/>
    <n v="1"/>
    <m/>
    <m/>
    <m/>
    <m/>
    <m/>
    <m/>
    <m/>
    <m/>
    <m/>
    <m/>
    <m/>
    <m/>
    <m/>
    <m/>
    <m/>
    <m/>
    <n v="0"/>
    <n v="0"/>
    <s v="N"/>
    <s v="N"/>
    <s v="N"/>
    <n v="516472"/>
    <n v="174374"/>
    <x v="4"/>
    <x v="5"/>
    <x v="0"/>
    <x v="0"/>
    <m/>
    <x v="1"/>
    <x v="0"/>
    <m/>
    <x v="0"/>
    <s v="Y"/>
    <x v="4"/>
    <x v="0"/>
  </r>
  <r>
    <s v="21/1220/GPD15"/>
    <x v="1"/>
    <x v="1"/>
    <x v="34"/>
    <d v="2024-06-10T00:00:00"/>
    <d v="2023-05-01T00:00:00"/>
    <d v="2024-03-31T00:00:00"/>
    <x v="0"/>
    <x v="0"/>
    <x v="0"/>
    <n v="2.8082191780821919"/>
    <x v="1"/>
    <s v="Change of use of suites 2, 3 and 4 from offices (B1) to 3 one-bedroom single family dwellings."/>
    <s v="Suites 2, 3 And 4, 47 St Margarets Grove, Twickenham_x000a__x000a_"/>
    <s v="TW1 1JF"/>
    <m/>
    <m/>
    <m/>
    <m/>
    <m/>
    <m/>
    <m/>
    <m/>
    <m/>
    <n v="0"/>
    <m/>
    <n v="3"/>
    <m/>
    <m/>
    <m/>
    <m/>
    <m/>
    <m/>
    <m/>
    <n v="3"/>
    <n v="3"/>
    <n v="0"/>
    <n v="0"/>
    <n v="0"/>
    <n v="0"/>
    <n v="0"/>
    <n v="0"/>
    <n v="0"/>
    <n v="3"/>
    <x v="1"/>
    <n v="3"/>
    <m/>
    <m/>
    <m/>
    <m/>
    <m/>
    <m/>
    <m/>
    <m/>
    <m/>
    <m/>
    <m/>
    <m/>
    <m/>
    <m/>
    <m/>
    <m/>
    <n v="0"/>
    <n v="0"/>
    <s v="N"/>
    <s v="N"/>
    <s v="N"/>
    <n v="516481"/>
    <n v="174369"/>
    <x v="4"/>
    <x v="5"/>
    <x v="0"/>
    <x v="0"/>
    <m/>
    <x v="1"/>
    <x v="0"/>
    <m/>
    <x v="0"/>
    <s v="Y"/>
    <x v="4"/>
    <x v="0"/>
  </r>
  <r>
    <s v="21/1639/FUL"/>
    <x v="0"/>
    <x v="0"/>
    <x v="35"/>
    <d v="2025-08-26T00:00:00"/>
    <d v="2023-05-22T00:00:00"/>
    <d v="2024-03-31T00:00:00"/>
    <x v="0"/>
    <x v="0"/>
    <x v="0"/>
    <n v="1.5972602739726027"/>
    <x v="1"/>
    <s v="Demolition of existing dwelling and construction of two-storey, 2-bedroom detached dwelling, with associated parking, landscaping, boundary treatments and associated works."/>
    <s v="12 Oxford Road, Teddington TW11 0PZ_x000a_"/>
    <s v="TW11 0PZ"/>
    <m/>
    <n v="1"/>
    <m/>
    <m/>
    <m/>
    <m/>
    <m/>
    <m/>
    <m/>
    <n v="1"/>
    <m/>
    <m/>
    <n v="1"/>
    <m/>
    <m/>
    <m/>
    <m/>
    <m/>
    <m/>
    <n v="1"/>
    <n v="-1"/>
    <n v="1"/>
    <n v="0"/>
    <n v="0"/>
    <n v="0"/>
    <n v="0"/>
    <n v="0"/>
    <n v="0"/>
    <n v="0"/>
    <x v="1"/>
    <n v="0"/>
    <m/>
    <m/>
    <m/>
    <m/>
    <m/>
    <m/>
    <m/>
    <m/>
    <m/>
    <m/>
    <m/>
    <m/>
    <m/>
    <m/>
    <m/>
    <m/>
    <n v="0"/>
    <n v="0"/>
    <s v="N"/>
    <s v="N"/>
    <s v="N"/>
    <n v="514878"/>
    <n v="171282"/>
    <x v="1"/>
    <x v="14"/>
    <x v="0"/>
    <x v="0"/>
    <m/>
    <x v="1"/>
    <x v="0"/>
    <m/>
    <x v="0"/>
    <s v="Y"/>
    <x v="6"/>
    <x v="0"/>
  </r>
  <r>
    <s v="21/2559/FUL"/>
    <x v="2"/>
    <x v="0"/>
    <x v="36"/>
    <d v="2025-05-12T00:00:00"/>
    <d v="2023-03-16T00:00:00"/>
    <d v="2024-03-31T00:00:00"/>
    <x v="0"/>
    <x v="0"/>
    <x v="0"/>
    <n v="1.8876712328767122"/>
    <x v="1"/>
    <s v="Proposed Conversion of Existing Dwelling to 1no. Two Bedroom Dwelling and 1no. Three Bedroom Dwelling"/>
    <s v="96 Court Way, Twickenham TW2 7SW_x000a_"/>
    <s v="TW2 7SW"/>
    <m/>
    <m/>
    <m/>
    <m/>
    <m/>
    <n v="1"/>
    <m/>
    <m/>
    <m/>
    <n v="1"/>
    <m/>
    <m/>
    <n v="1"/>
    <n v="1"/>
    <m/>
    <m/>
    <m/>
    <m/>
    <m/>
    <n v="2"/>
    <n v="0"/>
    <n v="1"/>
    <n v="1"/>
    <n v="0"/>
    <n v="-1"/>
    <n v="0"/>
    <n v="0"/>
    <n v="0"/>
    <n v="1"/>
    <x v="1"/>
    <n v="1"/>
    <m/>
    <m/>
    <m/>
    <m/>
    <m/>
    <m/>
    <m/>
    <m/>
    <m/>
    <m/>
    <m/>
    <m/>
    <m/>
    <m/>
    <m/>
    <m/>
    <n v="0"/>
    <n v="0"/>
    <s v="N"/>
    <s v="N"/>
    <s v="N"/>
    <n v="515512"/>
    <n v="173771"/>
    <x v="4"/>
    <x v="5"/>
    <x v="0"/>
    <x v="0"/>
    <m/>
    <x v="1"/>
    <x v="0"/>
    <m/>
    <x v="0"/>
    <s v="Y"/>
    <x v="4"/>
    <x v="0"/>
  </r>
  <r>
    <s v="21/2646/FUL"/>
    <x v="2"/>
    <x v="0"/>
    <x v="37"/>
    <d v="2024-12-07T00:00:00"/>
    <d v="2022-09-01T00:00:00"/>
    <d v="2023-09-25T00:00:00"/>
    <x v="0"/>
    <x v="0"/>
    <x v="0"/>
    <n v="1.8"/>
    <x v="1"/>
    <s v="Two storey side extension to facilitate the conversion of the existing house into two flats. Associated cycle and refuse stores. Solar panels on rear roofslope and side roofslope to outrigger."/>
    <s v="39 Gainsborough Road, Richmond TW9 2DZ"/>
    <s v="TW9 2DZ"/>
    <m/>
    <m/>
    <m/>
    <n v="1"/>
    <m/>
    <m/>
    <m/>
    <m/>
    <m/>
    <n v="1"/>
    <m/>
    <m/>
    <n v="2"/>
    <m/>
    <m/>
    <m/>
    <m/>
    <m/>
    <m/>
    <n v="2"/>
    <n v="0"/>
    <n v="2"/>
    <n v="-1"/>
    <n v="0"/>
    <n v="0"/>
    <n v="0"/>
    <n v="0"/>
    <n v="0"/>
    <n v="1"/>
    <x v="1"/>
    <n v="1"/>
    <m/>
    <m/>
    <m/>
    <m/>
    <m/>
    <m/>
    <m/>
    <m/>
    <m/>
    <m/>
    <m/>
    <m/>
    <m/>
    <m/>
    <m/>
    <m/>
    <n v="0"/>
    <n v="0"/>
    <s v="N"/>
    <s v="N"/>
    <s v="N"/>
    <n v="518834"/>
    <n v="175928"/>
    <x v="5"/>
    <x v="15"/>
    <x v="0"/>
    <x v="0"/>
    <m/>
    <x v="1"/>
    <x v="0"/>
    <m/>
    <x v="0"/>
    <s v="Y"/>
    <x v="8"/>
    <x v="0"/>
  </r>
  <r>
    <s v="21/2775/FUL"/>
    <x v="0"/>
    <x v="0"/>
    <x v="38"/>
    <d v="2025-05-20T00:00:00"/>
    <d v="2022-11-02T00:00:00"/>
    <d v="2023-10-14T00:00:00"/>
    <x v="0"/>
    <x v="0"/>
    <x v="0"/>
    <n v="1.4027397260273973"/>
    <x v="1"/>
    <s v="The subdivision of existing plot comprising of the erection of a 2-storey dwelling house as an extension of the existing semi-detached terrace; associated external works to the existing semi-detached building, including changes to the roof form and a sing"/>
    <s v="2 Thompson Avenue, Richmond TW9 4JW_x000a_"/>
    <s v="TW9 4JW"/>
    <m/>
    <m/>
    <m/>
    <m/>
    <m/>
    <m/>
    <m/>
    <m/>
    <m/>
    <n v="0"/>
    <m/>
    <m/>
    <m/>
    <n v="1"/>
    <m/>
    <m/>
    <m/>
    <m/>
    <m/>
    <n v="1"/>
    <n v="0"/>
    <n v="0"/>
    <n v="1"/>
    <n v="0"/>
    <n v="0"/>
    <n v="0"/>
    <n v="0"/>
    <n v="0"/>
    <n v="1"/>
    <x v="1"/>
    <n v="1"/>
    <m/>
    <m/>
    <m/>
    <m/>
    <m/>
    <m/>
    <m/>
    <m/>
    <m/>
    <m/>
    <m/>
    <m/>
    <m/>
    <m/>
    <m/>
    <m/>
    <n v="0"/>
    <n v="0"/>
    <s v="N"/>
    <s v="N"/>
    <s v="N"/>
    <n v="519398"/>
    <n v="175866"/>
    <x v="5"/>
    <x v="15"/>
    <x v="0"/>
    <x v="0"/>
    <m/>
    <x v="1"/>
    <x v="0"/>
    <m/>
    <x v="0"/>
    <s v="Y"/>
    <x v="8"/>
    <x v="1"/>
  </r>
  <r>
    <s v="21/3152/FUL"/>
    <x v="0"/>
    <x v="0"/>
    <x v="39"/>
    <d v="2024-11-24T00:00:00"/>
    <d v="2022-02-01T00:00:00"/>
    <d v="2023-12-08T00:00:00"/>
    <x v="0"/>
    <x v="0"/>
    <x v="0"/>
    <n v="2.0383561643835617"/>
    <x v="1"/>
    <s v="Demolition of existing house and construction of detached 2-storey dwelling house with basement and accomodation in roof space and associated hard and soft landscaping"/>
    <s v="2 Fife Road, East Sheen SW14 7EP_x000a_"/>
    <s v="SW14 7EP"/>
    <m/>
    <m/>
    <m/>
    <m/>
    <n v="1"/>
    <m/>
    <m/>
    <m/>
    <m/>
    <n v="1"/>
    <m/>
    <m/>
    <m/>
    <m/>
    <m/>
    <n v="1"/>
    <m/>
    <m/>
    <m/>
    <n v="1"/>
    <n v="0"/>
    <n v="0"/>
    <n v="0"/>
    <n v="-1"/>
    <n v="1"/>
    <n v="0"/>
    <n v="0"/>
    <n v="0"/>
    <n v="0"/>
    <x v="1"/>
    <n v="0"/>
    <m/>
    <m/>
    <m/>
    <m/>
    <m/>
    <m/>
    <m/>
    <m/>
    <m/>
    <m/>
    <m/>
    <m/>
    <m/>
    <m/>
    <m/>
    <m/>
    <n v="0"/>
    <n v="0"/>
    <s v="N"/>
    <s v="N"/>
    <s v="N"/>
    <n v="520008"/>
    <n v="174808"/>
    <x v="3"/>
    <x v="12"/>
    <x v="0"/>
    <x v="0"/>
    <m/>
    <x v="1"/>
    <x v="0"/>
    <s v="CA13 Christchurch Road East Sheen"/>
    <x v="1"/>
    <s v="Y"/>
    <x v="7"/>
    <x v="0"/>
  </r>
  <r>
    <s v="21/3498/FUL"/>
    <x v="2"/>
    <x v="0"/>
    <x v="40"/>
    <d v="2025-03-07T00:00:00"/>
    <d v="2022-09-01T00:00:00"/>
    <d v="2023-11-16T00:00:00"/>
    <x v="0"/>
    <x v="0"/>
    <x v="0"/>
    <n v="1.6958904109589041"/>
    <x v="1"/>
    <s v="Single-storey side / rear extension, rear dormer roof extension to main roof and roof to outrigger, rooflights on front roof slope, replacement windows on all elevations and removal of rear chimneys to facilitate the reversion of two two-bedroom self-cont"/>
    <s v="17 Elm Grove Road, Barnes"/>
    <s v="SW13 0BU"/>
    <m/>
    <m/>
    <n v="2"/>
    <m/>
    <m/>
    <m/>
    <m/>
    <m/>
    <m/>
    <n v="2"/>
    <m/>
    <m/>
    <m/>
    <m/>
    <n v="1"/>
    <m/>
    <m/>
    <m/>
    <m/>
    <n v="1"/>
    <n v="0"/>
    <n v="-2"/>
    <n v="0"/>
    <n v="1"/>
    <n v="0"/>
    <n v="0"/>
    <n v="0"/>
    <n v="0"/>
    <n v="-1"/>
    <x v="1"/>
    <n v="-1"/>
    <m/>
    <m/>
    <m/>
    <m/>
    <m/>
    <m/>
    <m/>
    <m/>
    <m/>
    <m/>
    <m/>
    <m/>
    <m/>
    <m/>
    <m/>
    <m/>
    <n v="0"/>
    <n v="0"/>
    <s v="N"/>
    <s v="N"/>
    <s v="N"/>
    <n v="522359"/>
    <n v="176498"/>
    <x v="3"/>
    <x v="4"/>
    <x v="0"/>
    <x v="0"/>
    <m/>
    <x v="1"/>
    <x v="0"/>
    <s v="CA32 Barnes Common"/>
    <x v="1"/>
    <s v="Y"/>
    <x v="3"/>
    <x v="0"/>
  </r>
  <r>
    <s v="21/3676/GPD26"/>
    <x v="1"/>
    <x v="1"/>
    <x v="41"/>
    <d v="2024-12-10T00:00:00"/>
    <d v="2021-12-13T00:00:00"/>
    <d v="2024-03-31T00:00:00"/>
    <x v="0"/>
    <x v="0"/>
    <x v="0"/>
    <n v="2.3068493150684932"/>
    <x v="1"/>
    <s v="Change of use from Doctors Surgery (Class E) to a Single Family/Household Dwellinghouse (C3)"/>
    <s v="224 London Road, Twickenham TW1 1EU_x000a_"/>
    <s v="TW1 1EU"/>
    <m/>
    <m/>
    <m/>
    <m/>
    <m/>
    <m/>
    <m/>
    <m/>
    <m/>
    <n v="0"/>
    <m/>
    <m/>
    <m/>
    <m/>
    <m/>
    <n v="1"/>
    <m/>
    <m/>
    <m/>
    <n v="1"/>
    <n v="0"/>
    <n v="0"/>
    <n v="0"/>
    <n v="0"/>
    <n v="1"/>
    <n v="0"/>
    <n v="0"/>
    <n v="0"/>
    <n v="1"/>
    <x v="1"/>
    <n v="1"/>
    <m/>
    <m/>
    <m/>
    <m/>
    <m/>
    <m/>
    <m/>
    <m/>
    <m/>
    <m/>
    <m/>
    <m/>
    <m/>
    <m/>
    <m/>
    <m/>
    <n v="0"/>
    <n v="0"/>
    <s v="N"/>
    <s v="N"/>
    <s v="N"/>
    <n v="516107"/>
    <n v="174400"/>
    <x v="4"/>
    <x v="5"/>
    <x v="0"/>
    <x v="0"/>
    <m/>
    <x v="1"/>
    <x v="0"/>
    <m/>
    <x v="0"/>
    <s v="Y"/>
    <x v="4"/>
    <x v="0"/>
  </r>
  <r>
    <s v="21/4278/FUL"/>
    <x v="2"/>
    <x v="0"/>
    <x v="42"/>
    <d v="2025-08-12T00:00:00"/>
    <d v="2022-10-01T00:00:00"/>
    <d v="2023-12-22T00:00:00"/>
    <x v="0"/>
    <x v="0"/>
    <x v="0"/>
    <n v="1.3616438356164384"/>
    <x v="1"/>
    <s v="Conversion of three flats to single dwelling. Proposed single storey rear extension."/>
    <s v="Kingsleigh House, 5 St Albans Gardens, Teddington_x000a__x000a_"/>
    <s v="TW11 8AE"/>
    <m/>
    <m/>
    <n v="3"/>
    <m/>
    <m/>
    <m/>
    <m/>
    <m/>
    <m/>
    <n v="3"/>
    <m/>
    <m/>
    <m/>
    <m/>
    <m/>
    <m/>
    <n v="1"/>
    <m/>
    <m/>
    <n v="1"/>
    <n v="0"/>
    <n v="-3"/>
    <n v="0"/>
    <n v="0"/>
    <n v="0"/>
    <n v="1"/>
    <n v="0"/>
    <n v="0"/>
    <n v="-2"/>
    <x v="1"/>
    <n v="-2"/>
    <m/>
    <m/>
    <m/>
    <m/>
    <m/>
    <m/>
    <m/>
    <m/>
    <m/>
    <m/>
    <m/>
    <m/>
    <m/>
    <m/>
    <m/>
    <m/>
    <n v="0"/>
    <n v="0"/>
    <s v="N"/>
    <s v="N"/>
    <s v="N"/>
    <n v="516423"/>
    <n v="171233"/>
    <x v="1"/>
    <x v="16"/>
    <x v="0"/>
    <x v="0"/>
    <m/>
    <x v="1"/>
    <x v="0"/>
    <s v="CA27 Teddington Lock"/>
    <x v="1"/>
    <s v="Y"/>
    <x v="6"/>
    <x v="0"/>
  </r>
  <r>
    <s v="21/4401/FUL"/>
    <x v="3"/>
    <x v="0"/>
    <x v="43"/>
    <d v="2025-07-20T00:00:00"/>
    <d v="2022-11-01T00:00:00"/>
    <d v="2023-08-03T00:00:00"/>
    <x v="0"/>
    <x v="0"/>
    <x v="0"/>
    <n v="1.0383561643835617"/>
    <x v="1"/>
    <s v="Second floor rear roof extension and the conversion of the existing dwelling to form three new flats."/>
    <s v="14 Whitton Road, Twickenham TW1 1BJ_x000a_"/>
    <s v="TW1 1BJ"/>
    <m/>
    <m/>
    <m/>
    <m/>
    <n v="1"/>
    <m/>
    <m/>
    <m/>
    <m/>
    <n v="1"/>
    <m/>
    <n v="1"/>
    <n v="2"/>
    <m/>
    <m/>
    <m/>
    <m/>
    <m/>
    <m/>
    <n v="3"/>
    <n v="1"/>
    <n v="2"/>
    <n v="0"/>
    <n v="-1"/>
    <n v="0"/>
    <n v="0"/>
    <n v="0"/>
    <n v="0"/>
    <n v="2"/>
    <x v="1"/>
    <n v="2"/>
    <m/>
    <m/>
    <m/>
    <m/>
    <m/>
    <m/>
    <m/>
    <m/>
    <m/>
    <m/>
    <m/>
    <m/>
    <m/>
    <m/>
    <m/>
    <m/>
    <n v="0"/>
    <n v="0"/>
    <s v="N"/>
    <s v="N"/>
    <s v="N"/>
    <n v="515969"/>
    <n v="173779"/>
    <x v="4"/>
    <x v="5"/>
    <x v="0"/>
    <x v="0"/>
    <m/>
    <x v="1"/>
    <x v="0"/>
    <m/>
    <x v="0"/>
    <s v="Y"/>
    <x v="4"/>
    <x v="0"/>
  </r>
  <r>
    <s v="22/0229/GPD26"/>
    <x v="1"/>
    <x v="1"/>
    <x v="44"/>
    <d v="2025-03-24T00:00:00"/>
    <d v="2022-09-01T00:00:00"/>
    <d v="2023-11-02T00:00:00"/>
    <x v="0"/>
    <x v="0"/>
    <x v="0"/>
    <n v="1.6109589041095891"/>
    <x v="1"/>
    <s v="Change of use from offices to dwelling houses to create 2 self contained flats (3b 6p, 5b 8p)"/>
    <s v="32 Candler Mews, Twickenham TW1 3JF_x000a_"/>
    <s v="TW1 3JF"/>
    <m/>
    <m/>
    <m/>
    <m/>
    <m/>
    <m/>
    <m/>
    <m/>
    <m/>
    <n v="0"/>
    <m/>
    <m/>
    <m/>
    <n v="1"/>
    <m/>
    <n v="1"/>
    <m/>
    <m/>
    <m/>
    <n v="2"/>
    <n v="0"/>
    <n v="0"/>
    <n v="1"/>
    <n v="0"/>
    <n v="1"/>
    <n v="0"/>
    <n v="0"/>
    <n v="0"/>
    <n v="2"/>
    <x v="1"/>
    <n v="2"/>
    <m/>
    <m/>
    <m/>
    <m/>
    <m/>
    <m/>
    <m/>
    <m/>
    <m/>
    <m/>
    <m/>
    <m/>
    <m/>
    <m/>
    <m/>
    <m/>
    <n v="0"/>
    <n v="0"/>
    <s v="N"/>
    <s v="N"/>
    <s v="N"/>
    <n v="516346"/>
    <n v="173774"/>
    <x v="4"/>
    <x v="6"/>
    <x v="0"/>
    <x v="0"/>
    <m/>
    <x v="1"/>
    <x v="0"/>
    <m/>
    <x v="0"/>
    <s v="Y"/>
    <x v="4"/>
    <x v="0"/>
  </r>
  <r>
    <s v="22/0523/FUL"/>
    <x v="0"/>
    <x v="0"/>
    <x v="45"/>
    <d v="2025-11-08T00:00:00"/>
    <d v="2022-11-01T00:00:00"/>
    <d v="2024-03-01T00:00:00"/>
    <x v="0"/>
    <x v="0"/>
    <x v="0"/>
    <n v="1.8438356164383563"/>
    <x v="1"/>
    <s v="Erection of a 5-bedroom dwellinghouse with associated outbuilding, parking and landscaping following demolition of the existing bungalow"/>
    <s v="45 Langham Road, Teddington TW11 9HF"/>
    <s v="TW11 9HF"/>
    <m/>
    <m/>
    <n v="1"/>
    <m/>
    <m/>
    <m/>
    <m/>
    <m/>
    <m/>
    <n v="1"/>
    <m/>
    <m/>
    <m/>
    <m/>
    <m/>
    <n v="1"/>
    <m/>
    <m/>
    <m/>
    <n v="1"/>
    <n v="0"/>
    <n v="-1"/>
    <n v="0"/>
    <n v="0"/>
    <n v="1"/>
    <n v="0"/>
    <n v="0"/>
    <n v="0"/>
    <n v="0"/>
    <x v="1"/>
    <n v="0"/>
    <m/>
    <m/>
    <m/>
    <m/>
    <m/>
    <m/>
    <m/>
    <m/>
    <m/>
    <m/>
    <m/>
    <m/>
    <m/>
    <m/>
    <m/>
    <m/>
    <n v="0"/>
    <n v="0"/>
    <s v="N"/>
    <s v="N"/>
    <s v="N"/>
    <n v="516605"/>
    <n v="171002"/>
    <x v="1"/>
    <x v="11"/>
    <x v="0"/>
    <x v="0"/>
    <m/>
    <x v="1"/>
    <x v="0"/>
    <m/>
    <x v="0"/>
    <s v="Y"/>
    <x v="6"/>
    <x v="0"/>
  </r>
  <r>
    <s v="22/0624/GPD26"/>
    <x v="1"/>
    <x v="1"/>
    <x v="46"/>
    <d v="2025-04-21T00:00:00"/>
    <d v="2023-04-01T00:00:00"/>
    <d v="2023-08-30T00:00:00"/>
    <x v="0"/>
    <x v="0"/>
    <x v="0"/>
    <n v="1.3589041095890411"/>
    <x v="1"/>
    <s v="Change of use of first floor from offices (Class E) to residential (Class C3) (1no. studio and 2no. one bed)"/>
    <s v="6 High Street, Teddington TW11 8EP_x000a_"/>
    <s v="TW11 8EP"/>
    <m/>
    <m/>
    <m/>
    <m/>
    <m/>
    <m/>
    <m/>
    <m/>
    <m/>
    <n v="0"/>
    <m/>
    <n v="3"/>
    <m/>
    <m/>
    <m/>
    <m/>
    <m/>
    <m/>
    <m/>
    <n v="3"/>
    <n v="3"/>
    <n v="0"/>
    <n v="0"/>
    <n v="0"/>
    <n v="0"/>
    <n v="0"/>
    <n v="0"/>
    <n v="0"/>
    <n v="3"/>
    <x v="1"/>
    <n v="3"/>
    <m/>
    <m/>
    <m/>
    <m/>
    <m/>
    <m/>
    <m/>
    <m/>
    <m/>
    <m/>
    <m/>
    <m/>
    <m/>
    <m/>
    <m/>
    <m/>
    <n v="0"/>
    <n v="0"/>
    <s v="N"/>
    <s v="N"/>
    <s v="N"/>
    <n v="515980"/>
    <n v="171081"/>
    <x v="1"/>
    <x v="16"/>
    <x v="4"/>
    <x v="0"/>
    <m/>
    <x v="1"/>
    <x v="0"/>
    <s v="CA37 High Street Teddington"/>
    <x v="1"/>
    <s v="Y"/>
    <x v="6"/>
    <x v="0"/>
  </r>
  <r>
    <s v="22/0785/FUL"/>
    <x v="2"/>
    <x v="0"/>
    <x v="47"/>
    <d v="2025-09-16T00:00:00"/>
    <d v="2022-11-01T00:00:00"/>
    <d v="2024-03-31T00:00:00"/>
    <x v="0"/>
    <x v="0"/>
    <x v="0"/>
    <n v="1.5397260273972602"/>
    <x v="1"/>
    <s v="Installation of front and rear rooflights to facilitate the conversion of an existing 3 bed maisonette to 2 x self-contained flats (1 x 1 bed and 1 x 2 bed) with associated cycle and waste storage."/>
    <s v="6 Colston Road, East Sheen SW14 7PQ_x000a_"/>
    <s v="SW14 7PQ"/>
    <m/>
    <m/>
    <m/>
    <n v="1"/>
    <m/>
    <m/>
    <m/>
    <m/>
    <m/>
    <n v="1"/>
    <m/>
    <n v="1"/>
    <n v="1"/>
    <m/>
    <m/>
    <m/>
    <m/>
    <m/>
    <m/>
    <n v="2"/>
    <n v="1"/>
    <n v="1"/>
    <n v="-1"/>
    <n v="0"/>
    <n v="0"/>
    <n v="0"/>
    <n v="0"/>
    <n v="0"/>
    <n v="1"/>
    <x v="1"/>
    <n v="1"/>
    <m/>
    <m/>
    <m/>
    <m/>
    <m/>
    <m/>
    <m/>
    <m/>
    <m/>
    <m/>
    <m/>
    <m/>
    <m/>
    <m/>
    <m/>
    <m/>
    <n v="0"/>
    <n v="0"/>
    <s v="N"/>
    <s v="N"/>
    <s v="N"/>
    <n v="520450"/>
    <n v="175359"/>
    <x v="3"/>
    <x v="12"/>
    <x v="2"/>
    <x v="0"/>
    <m/>
    <x v="1"/>
    <x v="0"/>
    <m/>
    <x v="0"/>
    <s v="Y"/>
    <x v="7"/>
    <x v="0"/>
  </r>
  <r>
    <s v="22/1167/GPD26"/>
    <x v="1"/>
    <x v="1"/>
    <x v="48"/>
    <d v="2025-05-31T00:00:00"/>
    <d v="2023-11-01T00:00:00"/>
    <d v="2024-03-31T00:00:00"/>
    <x v="0"/>
    <x v="0"/>
    <x v="0"/>
    <n v="1.8356164383561644"/>
    <x v="1"/>
    <s v="Change of use of the second floor only from  commercial, business and service (Use Class E) to dwellinghouses (Use Class C3) to provide 2 x two-bedroom (4 person) apartments and cycle parking"/>
    <s v="Second Floor Offices, 27 - 28 George Street, Richmond TW9 1HY_x000a_"/>
    <s v="TW9 1HY"/>
    <m/>
    <m/>
    <m/>
    <m/>
    <m/>
    <m/>
    <m/>
    <m/>
    <m/>
    <n v="0"/>
    <m/>
    <m/>
    <n v="2"/>
    <m/>
    <m/>
    <m/>
    <m/>
    <m/>
    <m/>
    <n v="2"/>
    <n v="0"/>
    <n v="2"/>
    <n v="0"/>
    <n v="0"/>
    <n v="0"/>
    <n v="0"/>
    <n v="0"/>
    <n v="0"/>
    <n v="2"/>
    <x v="1"/>
    <n v="2"/>
    <m/>
    <m/>
    <m/>
    <m/>
    <m/>
    <m/>
    <m/>
    <m/>
    <m/>
    <m/>
    <m/>
    <m/>
    <m/>
    <m/>
    <m/>
    <m/>
    <n v="0"/>
    <n v="0"/>
    <s v="N"/>
    <s v="N"/>
    <s v="N"/>
    <n v="517895"/>
    <n v="174884"/>
    <x v="5"/>
    <x v="10"/>
    <x v="1"/>
    <x v="0"/>
    <m/>
    <x v="1"/>
    <x v="0"/>
    <s v="CA17 Central Richmond"/>
    <x v="1"/>
    <s v="Y"/>
    <x v="5"/>
    <x v="0"/>
  </r>
  <r>
    <s v="22/1929/GPD26"/>
    <x v="1"/>
    <x v="1"/>
    <x v="49"/>
    <d v="2025-08-22T00:00:00"/>
    <d v="2022-10-26T00:00:00"/>
    <d v="2023-07-05T00:00:00"/>
    <x v="0"/>
    <x v="0"/>
    <x v="0"/>
    <n v="0.86849315068493149"/>
    <x v="1"/>
    <s v="Conversion of ground floor &amp; first floor offices to  x1. 1 bed flat  and x1 . 2 bed flat"/>
    <s v="46 - 48 Heath Road, Twickenham_x000a__x000a_"/>
    <s v="TW1"/>
    <m/>
    <m/>
    <m/>
    <m/>
    <m/>
    <m/>
    <m/>
    <m/>
    <m/>
    <n v="0"/>
    <m/>
    <n v="1"/>
    <n v="1"/>
    <m/>
    <m/>
    <m/>
    <m/>
    <m/>
    <m/>
    <n v="2"/>
    <n v="1"/>
    <n v="1"/>
    <n v="0"/>
    <n v="0"/>
    <n v="0"/>
    <n v="0"/>
    <n v="0"/>
    <n v="0"/>
    <n v="2"/>
    <x v="1"/>
    <n v="2"/>
    <m/>
    <m/>
    <m/>
    <m/>
    <m/>
    <m/>
    <m/>
    <m/>
    <m/>
    <m/>
    <m/>
    <m/>
    <m/>
    <m/>
    <m/>
    <m/>
    <n v="0"/>
    <n v="0"/>
    <s v="N"/>
    <s v="N"/>
    <s v="N"/>
    <n v="516001"/>
    <n v="173141"/>
    <x v="4"/>
    <x v="6"/>
    <x v="3"/>
    <x v="0"/>
    <m/>
    <x v="1"/>
    <x v="0"/>
    <m/>
    <x v="0"/>
    <s v="Y"/>
    <x v="4"/>
    <x v="0"/>
  </r>
  <r>
    <s v="22/2043/FUL"/>
    <x v="2"/>
    <x v="0"/>
    <x v="50"/>
    <d v="2026-02-16T00:00:00"/>
    <d v="2023-03-01T00:00:00"/>
    <d v="2023-12-01T00:00:00"/>
    <x v="0"/>
    <x v="0"/>
    <x v="0"/>
    <n v="0.78904109589041094"/>
    <x v="1"/>
    <s v="Replacement railing to rear and conversion into one dwellinghouse. Installation of ac unit."/>
    <s v="Ryan House, Cross Deep, Twickenham TW1 4QJ"/>
    <s v="TW1 4QJ"/>
    <m/>
    <n v="1"/>
    <m/>
    <m/>
    <m/>
    <n v="1"/>
    <m/>
    <m/>
    <m/>
    <n v="2"/>
    <m/>
    <m/>
    <m/>
    <m/>
    <m/>
    <n v="1"/>
    <m/>
    <m/>
    <m/>
    <n v="1"/>
    <n v="-1"/>
    <n v="0"/>
    <n v="0"/>
    <n v="0"/>
    <n v="0"/>
    <n v="0"/>
    <n v="0"/>
    <n v="0"/>
    <n v="-1"/>
    <x v="1"/>
    <n v="-1"/>
    <m/>
    <m/>
    <m/>
    <m/>
    <m/>
    <m/>
    <m/>
    <m/>
    <m/>
    <m/>
    <m/>
    <m/>
    <m/>
    <m/>
    <m/>
    <m/>
    <n v="0"/>
    <n v="0"/>
    <s v="N"/>
    <s v="N"/>
    <s v="N"/>
    <n v="516027"/>
    <n v="172735"/>
    <x v="4"/>
    <x v="6"/>
    <x v="0"/>
    <x v="0"/>
    <m/>
    <x v="1"/>
    <x v="1"/>
    <s v="CA8 Twickenham Riverside"/>
    <x v="1"/>
    <s v="Y"/>
    <x v="4"/>
    <x v="0"/>
  </r>
  <r>
    <s v="22/2110/GPD26"/>
    <x v="1"/>
    <x v="1"/>
    <x v="51"/>
    <d v="2025-08-19T00:00:00"/>
    <d v="2023-01-16T00:00:00"/>
    <d v="2023-06-09T00:00:00"/>
    <x v="0"/>
    <x v="0"/>
    <x v="0"/>
    <n v="0.80547945205479454"/>
    <x v="1"/>
    <s v="Conversion of 3 Friars Lane and part of ground floor of 4 Friars Lane from Class E to C3 dwellinghouses - provision of 3no. flats. _x000d_"/>
    <s v="3 And 4 Friars Lane, Richmond_x000a__x000a_"/>
    <s v="TW9 1NL"/>
    <m/>
    <m/>
    <m/>
    <m/>
    <m/>
    <m/>
    <m/>
    <m/>
    <m/>
    <n v="0"/>
    <m/>
    <n v="3"/>
    <m/>
    <m/>
    <m/>
    <m/>
    <m/>
    <m/>
    <m/>
    <n v="3"/>
    <n v="3"/>
    <n v="0"/>
    <n v="0"/>
    <n v="0"/>
    <n v="0"/>
    <n v="0"/>
    <n v="0"/>
    <n v="0"/>
    <n v="3"/>
    <x v="1"/>
    <n v="3"/>
    <m/>
    <m/>
    <m/>
    <m/>
    <m/>
    <m/>
    <m/>
    <m/>
    <m/>
    <m/>
    <m/>
    <m/>
    <m/>
    <m/>
    <m/>
    <m/>
    <n v="0"/>
    <n v="0"/>
    <s v="N"/>
    <s v="N"/>
    <s v="N"/>
    <n v="517627"/>
    <n v="174827"/>
    <x v="5"/>
    <x v="10"/>
    <x v="0"/>
    <x v="0"/>
    <m/>
    <x v="1"/>
    <x v="0"/>
    <s v="CA3 Richmond Green"/>
    <x v="1"/>
    <s v="Y"/>
    <x v="5"/>
    <x v="0"/>
  </r>
  <r>
    <s v="22/2111/GPD26"/>
    <x v="1"/>
    <x v="1"/>
    <x v="52"/>
    <d v="2025-08-23T00:00:00"/>
    <d v="2023-01-16T00:00:00"/>
    <d v="2023-06-09T00:00:00"/>
    <x v="0"/>
    <x v="0"/>
    <x v="0"/>
    <n v="0.79452054794520544"/>
    <x v="1"/>
    <s v="Conversion of part of ground floor of 4 Friars Lane to provide 1no. 1 bedroom flat._x000d_"/>
    <s v="4 Friars Lane, Richmond TW9 1NL_x000a_"/>
    <s v="TW9 1NL"/>
    <m/>
    <m/>
    <m/>
    <m/>
    <m/>
    <m/>
    <m/>
    <m/>
    <m/>
    <n v="0"/>
    <m/>
    <n v="1"/>
    <m/>
    <m/>
    <m/>
    <m/>
    <m/>
    <m/>
    <m/>
    <n v="1"/>
    <n v="1"/>
    <n v="0"/>
    <n v="0"/>
    <n v="0"/>
    <n v="0"/>
    <n v="0"/>
    <n v="0"/>
    <n v="0"/>
    <n v="1"/>
    <x v="1"/>
    <n v="1"/>
    <m/>
    <m/>
    <m/>
    <m/>
    <m/>
    <m/>
    <m/>
    <m/>
    <m/>
    <m/>
    <m/>
    <m/>
    <m/>
    <m/>
    <m/>
    <m/>
    <n v="0"/>
    <n v="0"/>
    <s v="N"/>
    <s v="N"/>
    <s v="N"/>
    <n v="517621"/>
    <n v="174819"/>
    <x v="5"/>
    <x v="10"/>
    <x v="0"/>
    <x v="0"/>
    <m/>
    <x v="1"/>
    <x v="0"/>
    <s v="CA3 Richmond Green"/>
    <x v="1"/>
    <s v="Y"/>
    <x v="5"/>
    <x v="0"/>
  </r>
  <r>
    <s v="22/2797/FUL"/>
    <x v="1"/>
    <x v="0"/>
    <x v="53"/>
    <d v="2026-04-06T00:00:00"/>
    <d v="2023-04-06T00:00:00"/>
    <d v="2023-10-30T00:00:00"/>
    <x v="0"/>
    <x v="0"/>
    <x v="0"/>
    <n v="0.56712328767123288"/>
    <x v="1"/>
    <s v="Change of use from C3 (Residential) to 1 x Class E (office) unit and 1 x 2 bed residential unit.  Addition of dormer to first floor with door and installation of railings at first floor to facilitate use of roof as roof terrace. Solar panels to roof."/>
    <s v="1A Worple Street, Mortlake SW14 8HE_x000a_"/>
    <s v="SW14 8HE"/>
    <m/>
    <m/>
    <m/>
    <m/>
    <m/>
    <n v="1"/>
    <m/>
    <m/>
    <m/>
    <n v="1"/>
    <m/>
    <m/>
    <n v="1"/>
    <m/>
    <m/>
    <m/>
    <m/>
    <m/>
    <m/>
    <n v="1"/>
    <n v="0"/>
    <n v="1"/>
    <n v="0"/>
    <n v="0"/>
    <n v="-1"/>
    <n v="0"/>
    <n v="0"/>
    <n v="0"/>
    <n v="0"/>
    <x v="1"/>
    <n v="0"/>
    <m/>
    <m/>
    <m/>
    <m/>
    <m/>
    <m/>
    <m/>
    <m/>
    <m/>
    <m/>
    <m/>
    <m/>
    <m/>
    <m/>
    <m/>
    <m/>
    <n v="0"/>
    <n v="0"/>
    <s v="N"/>
    <s v="N"/>
    <s v="N"/>
    <n v="520884"/>
    <n v="175760"/>
    <x v="3"/>
    <x v="9"/>
    <x v="0"/>
    <x v="0"/>
    <m/>
    <x v="1"/>
    <x v="0"/>
    <m/>
    <x v="0"/>
    <s v="Y"/>
    <x v="7"/>
    <x v="0"/>
  </r>
  <r>
    <s v="22/3288/FUL"/>
    <x v="2"/>
    <x v="0"/>
    <x v="54"/>
    <d v="2027-03-20T00:00:00"/>
    <d v="2024-03-20T00:00:00"/>
    <d v="2024-03-20T00:00:00"/>
    <x v="0"/>
    <x v="0"/>
    <x v="0"/>
    <n v="0"/>
    <x v="1"/>
    <s v="Conversion of dwelling into 2no. one-bedroom flats and associated landscaping, cycle and refuse storage facilities."/>
    <s v="149 Hospital Bridge Road, Twickenham_x000a__x000a_"/>
    <s v="TW2 6LE"/>
    <m/>
    <m/>
    <m/>
    <n v="1"/>
    <m/>
    <m/>
    <m/>
    <m/>
    <m/>
    <n v="1"/>
    <m/>
    <n v="2"/>
    <m/>
    <m/>
    <m/>
    <m/>
    <m/>
    <m/>
    <m/>
    <n v="2"/>
    <n v="2"/>
    <n v="0"/>
    <n v="-1"/>
    <n v="0"/>
    <n v="0"/>
    <n v="0"/>
    <n v="0"/>
    <n v="0"/>
    <n v="1"/>
    <x v="1"/>
    <n v="1"/>
    <m/>
    <m/>
    <m/>
    <m/>
    <m/>
    <m/>
    <m/>
    <m/>
    <m/>
    <m/>
    <m/>
    <m/>
    <m/>
    <m/>
    <m/>
    <m/>
    <n v="0"/>
    <n v="0"/>
    <s v="N"/>
    <s v="N"/>
    <s v="N"/>
    <n v="513626"/>
    <n v="173221"/>
    <x v="0"/>
    <x v="0"/>
    <x v="0"/>
    <x v="0"/>
    <m/>
    <x v="1"/>
    <x v="0"/>
    <m/>
    <x v="0"/>
    <s v="Y"/>
    <x v="0"/>
    <x v="0"/>
  </r>
  <r>
    <s v="22/3588/GPD26"/>
    <x v="1"/>
    <x v="1"/>
    <x v="55"/>
    <d v="2025-01-26T00:00:00"/>
    <d v="2022-08-01T00:00:00"/>
    <d v="2024-03-15T00:00:00"/>
    <x v="0"/>
    <x v="0"/>
    <x v="0"/>
    <n v="1.1342465753424658"/>
    <x v="1"/>
    <s v="Conversion of first floor office unit into 1 x two-bedroom self-contained flat."/>
    <s v="Unit 23, Station Point, 121 Sandycombe Road, Richmond TW9 2AD_x000a_"/>
    <s v="TW9 2AD"/>
    <m/>
    <m/>
    <m/>
    <m/>
    <m/>
    <m/>
    <m/>
    <m/>
    <m/>
    <n v="0"/>
    <m/>
    <m/>
    <n v="1"/>
    <m/>
    <m/>
    <m/>
    <m/>
    <m/>
    <m/>
    <n v="1"/>
    <n v="0"/>
    <n v="1"/>
    <n v="0"/>
    <n v="0"/>
    <n v="0"/>
    <n v="0"/>
    <n v="0"/>
    <n v="0"/>
    <n v="1"/>
    <x v="1"/>
    <n v="1"/>
    <m/>
    <m/>
    <m/>
    <m/>
    <m/>
    <m/>
    <m/>
    <m/>
    <m/>
    <m/>
    <m/>
    <m/>
    <m/>
    <m/>
    <m/>
    <m/>
    <n v="0"/>
    <n v="0"/>
    <s v="N"/>
    <s v="N"/>
    <s v="N"/>
    <n v="519074"/>
    <n v="176043"/>
    <x v="5"/>
    <x v="15"/>
    <x v="0"/>
    <x v="0"/>
    <m/>
    <x v="1"/>
    <x v="0"/>
    <m/>
    <x v="0"/>
    <s v="Y"/>
    <x v="8"/>
    <x v="0"/>
  </r>
  <r>
    <s v="23/0307/FUL"/>
    <x v="1"/>
    <x v="0"/>
    <x v="56"/>
    <d v="2026-10-05T00:00:00"/>
    <d v="2023-10-05T00:00:00"/>
    <d v="2023-10-05T00:00:00"/>
    <x v="0"/>
    <x v="0"/>
    <x v="0"/>
    <m/>
    <x v="3"/>
    <s v="Change of use from C3 (Residential) to Sui Generis (mixed use C3 and E (f) to provide Childcare On Domestic Premises). Retention of storage units to front garden._x000d_"/>
    <s v="50 Graemesdyke Avenue, East Sheen SW14 7BJ_x000a_"/>
    <s v="SW14 7BJ"/>
    <m/>
    <m/>
    <m/>
    <n v="1"/>
    <m/>
    <m/>
    <m/>
    <m/>
    <m/>
    <n v="1"/>
    <m/>
    <m/>
    <n v="1"/>
    <m/>
    <m/>
    <m/>
    <m/>
    <m/>
    <m/>
    <n v="1"/>
    <n v="0"/>
    <n v="1"/>
    <n v="-1"/>
    <n v="0"/>
    <n v="0"/>
    <n v="0"/>
    <n v="0"/>
    <n v="0"/>
    <n v="0"/>
    <x v="1"/>
    <n v="0"/>
    <m/>
    <m/>
    <m/>
    <m/>
    <m/>
    <m/>
    <m/>
    <m/>
    <m/>
    <m/>
    <m/>
    <m/>
    <m/>
    <m/>
    <m/>
    <m/>
    <n v="0"/>
    <n v="0"/>
    <s v="N"/>
    <s v="N"/>
    <s v="N"/>
    <n v="519914"/>
    <n v="175383"/>
    <x v="5"/>
    <x v="8"/>
    <x v="0"/>
    <x v="0"/>
    <m/>
    <x v="1"/>
    <x v="0"/>
    <m/>
    <x v="0"/>
    <s v="Y"/>
    <x v="7"/>
    <x v="0"/>
  </r>
  <r>
    <s v="23/0746/ES191"/>
    <x v="2"/>
    <x v="0"/>
    <x v="57"/>
    <d v="2023-05-23T00:00:00"/>
    <d v="2023-05-23T00:00:00"/>
    <d v="2023-05-23T00:00:00"/>
    <x v="0"/>
    <x v="0"/>
    <x v="0"/>
    <m/>
    <x v="3"/>
    <s v="Establish use of property a single family dwellinghouse"/>
    <s v="9 Vicarage Gardens, East Sheen SW14 8RT_x000a_"/>
    <s v="SW14 8RT"/>
    <m/>
    <m/>
    <n v="1"/>
    <n v="1"/>
    <m/>
    <m/>
    <m/>
    <m/>
    <m/>
    <n v="2"/>
    <m/>
    <m/>
    <m/>
    <m/>
    <n v="1"/>
    <m/>
    <m/>
    <m/>
    <m/>
    <n v="1"/>
    <n v="0"/>
    <n v="-1"/>
    <n v="-1"/>
    <n v="1"/>
    <n v="0"/>
    <n v="0"/>
    <n v="0"/>
    <n v="0"/>
    <n v="-1"/>
    <x v="1"/>
    <n v="-1"/>
    <m/>
    <m/>
    <m/>
    <m/>
    <m/>
    <m/>
    <m/>
    <m/>
    <m/>
    <m/>
    <m/>
    <m/>
    <m/>
    <m/>
    <m/>
    <m/>
    <n v="0"/>
    <n v="0"/>
    <s v="N"/>
    <s v="N"/>
    <s v="N"/>
    <n v="520521"/>
    <n v="174895"/>
    <x v="3"/>
    <x v="12"/>
    <x v="0"/>
    <x v="0"/>
    <m/>
    <x v="1"/>
    <x v="0"/>
    <m/>
    <x v="0"/>
    <s v="Y"/>
    <x v="7"/>
    <x v="0"/>
  </r>
  <r>
    <s v="23/1163/ES191"/>
    <x v="2"/>
    <x v="0"/>
    <x v="58"/>
    <d v="2023-06-22T00:00:00"/>
    <d v="2023-06-22T00:00:00"/>
    <d v="2023-06-22T00:00:00"/>
    <x v="0"/>
    <x v="0"/>
    <x v="0"/>
    <m/>
    <x v="3"/>
    <s v="Use of each flat as a self contained dwelling. The two flats have been used for well over twenty years as self contained apartments."/>
    <s v="Flats E And F - First Floor Front And Rear Flats, 21 The Barons, Twickenham TW1 2AP"/>
    <s v="TW1 2AP"/>
    <m/>
    <m/>
    <n v="1"/>
    <m/>
    <m/>
    <m/>
    <m/>
    <m/>
    <m/>
    <n v="1"/>
    <m/>
    <n v="2"/>
    <m/>
    <m/>
    <m/>
    <m/>
    <m/>
    <m/>
    <m/>
    <n v="2"/>
    <n v="2"/>
    <n v="-1"/>
    <n v="0"/>
    <n v="0"/>
    <n v="0"/>
    <n v="0"/>
    <n v="0"/>
    <n v="0"/>
    <n v="1"/>
    <x v="1"/>
    <n v="1"/>
    <m/>
    <m/>
    <m/>
    <m/>
    <m/>
    <m/>
    <m/>
    <m/>
    <m/>
    <m/>
    <m/>
    <m/>
    <m/>
    <m/>
    <m/>
    <m/>
    <n v="0"/>
    <n v="0"/>
    <s v="N"/>
    <s v="N"/>
    <s v="N"/>
    <n v="517013"/>
    <n v="174244"/>
    <x v="4"/>
    <x v="5"/>
    <x v="0"/>
    <x v="0"/>
    <m/>
    <x v="1"/>
    <x v="0"/>
    <s v="CA24 Twickenham Park"/>
    <x v="1"/>
    <s v="Y"/>
    <x v="4"/>
    <x v="0"/>
  </r>
  <r>
    <s v="23/1346/ES191"/>
    <x v="2"/>
    <x v="0"/>
    <x v="59"/>
    <d v="2023-07-17T00:00:00"/>
    <d v="2023-07-17T00:00:00"/>
    <d v="2023-07-17T00:00:00"/>
    <x v="0"/>
    <x v="0"/>
    <x v="0"/>
    <m/>
    <x v="3"/>
    <s v="Use as an indepedent single residential dwelling house"/>
    <s v="Studio Rear Of 12 Mortlake Road, Kew, Richmond TW9 3JA_x000a_"/>
    <s v="TW9 3JA"/>
    <m/>
    <m/>
    <m/>
    <m/>
    <m/>
    <m/>
    <m/>
    <m/>
    <m/>
    <n v="0"/>
    <m/>
    <n v="1"/>
    <m/>
    <m/>
    <m/>
    <m/>
    <m/>
    <m/>
    <m/>
    <n v="1"/>
    <n v="1"/>
    <n v="0"/>
    <n v="0"/>
    <n v="0"/>
    <n v="0"/>
    <n v="0"/>
    <n v="0"/>
    <n v="0"/>
    <n v="1"/>
    <x v="1"/>
    <n v="1"/>
    <m/>
    <m/>
    <m/>
    <m/>
    <m/>
    <m/>
    <m/>
    <m/>
    <m/>
    <m/>
    <m/>
    <m/>
    <m/>
    <m/>
    <m/>
    <m/>
    <n v="0"/>
    <n v="0"/>
    <s v="N"/>
    <s v="N"/>
    <s v="N"/>
    <n v="519103"/>
    <n v="177232"/>
    <x v="5"/>
    <x v="15"/>
    <x v="0"/>
    <x v="0"/>
    <m/>
    <x v="1"/>
    <x v="0"/>
    <s v="CA2 Kew Green"/>
    <x v="1"/>
    <s v="Y"/>
    <x v="8"/>
    <x v="0"/>
  </r>
  <r>
    <s v="23/1664/ES191"/>
    <x v="1"/>
    <x v="0"/>
    <x v="60"/>
    <d v="2023-08-08T00:00:00"/>
    <d v="2023-08-08T00:00:00"/>
    <d v="2023-08-08T00:00:00"/>
    <x v="0"/>
    <x v="0"/>
    <x v="0"/>
    <m/>
    <x v="3"/>
    <s v="To establish the use of the property as an HMO exceeding 6 unrelated persons (sui generis)."/>
    <s v="175 Sheen Lane, East Sheen SW14 8LE_x000a_"/>
    <s v="SW14 8LE"/>
    <m/>
    <m/>
    <m/>
    <m/>
    <m/>
    <m/>
    <m/>
    <m/>
    <n v="1"/>
    <n v="1"/>
    <m/>
    <m/>
    <m/>
    <m/>
    <m/>
    <m/>
    <m/>
    <m/>
    <m/>
    <n v="0"/>
    <n v="0"/>
    <n v="0"/>
    <n v="0"/>
    <n v="0"/>
    <n v="0"/>
    <n v="0"/>
    <n v="0"/>
    <n v="-1"/>
    <n v="-1"/>
    <x v="1"/>
    <n v="-1"/>
    <m/>
    <m/>
    <m/>
    <m/>
    <m/>
    <m/>
    <m/>
    <m/>
    <m/>
    <m/>
    <m/>
    <m/>
    <m/>
    <m/>
    <m/>
    <m/>
    <n v="0"/>
    <n v="0"/>
    <m/>
    <m/>
    <m/>
    <n v="520456"/>
    <n v="175172"/>
    <x v="3"/>
    <x v="12"/>
    <x v="0"/>
    <x v="0"/>
    <m/>
    <x v="1"/>
    <x v="0"/>
    <s v="CA64 Sheen Lane East Sheen"/>
    <x v="1"/>
    <s v="Y"/>
    <x v="7"/>
    <x v="2"/>
  </r>
  <r>
    <s v="23/3131/ES191"/>
    <x v="2"/>
    <x v="0"/>
    <x v="61"/>
    <d v="2027-01-22T00:00:00"/>
    <d v="2024-01-22T00:00:00"/>
    <d v="2024-01-22T00:00:00"/>
    <x v="0"/>
    <x v="0"/>
    <x v="0"/>
    <m/>
    <x v="3"/>
    <s v="Certificate of lawfulness existing to confirm use of 355 - 357 Lonsdale Road  as a single dwellinghouse from being converted from 2 flats since May 2019."/>
    <s v="355 To 357 Lonsdale Road, Barnes SW13 9PY"/>
    <s v="SW13 9PY"/>
    <m/>
    <m/>
    <n v="1"/>
    <n v="1"/>
    <m/>
    <m/>
    <m/>
    <m/>
    <m/>
    <n v="2"/>
    <m/>
    <m/>
    <m/>
    <m/>
    <n v="1"/>
    <m/>
    <m/>
    <m/>
    <m/>
    <n v="1"/>
    <n v="0"/>
    <n v="-1"/>
    <n v="-1"/>
    <n v="1"/>
    <n v="0"/>
    <n v="0"/>
    <n v="0"/>
    <n v="0"/>
    <n v="-1"/>
    <x v="1"/>
    <n v="-1"/>
    <m/>
    <m/>
    <m/>
    <m/>
    <m/>
    <m/>
    <m/>
    <m/>
    <m/>
    <m/>
    <m/>
    <m/>
    <m/>
    <m/>
    <m/>
    <m/>
    <n v="0"/>
    <n v="0"/>
    <s v="N"/>
    <s v="N"/>
    <s v="N"/>
    <n v="521592"/>
    <n v="176487"/>
    <x v="3"/>
    <x v="4"/>
    <x v="0"/>
    <x v="1"/>
    <m/>
    <x v="1"/>
    <x v="0"/>
    <s v="CA1 Barnes Green"/>
    <x v="1"/>
    <s v="Y"/>
    <x v="3"/>
    <x v="0"/>
  </r>
  <r>
    <s v="23/3251/ES191"/>
    <x v="1"/>
    <x v="0"/>
    <x v="62"/>
    <d v="2024-01-29T00:00:00"/>
    <d v="2024-01-29T00:00:00"/>
    <d v="2024-01-29T00:00:00"/>
    <x v="0"/>
    <x v="0"/>
    <x v="0"/>
    <m/>
    <x v="3"/>
    <s v="Use of accommodation known as 21a Winchester Road, Twickenham, TW1 1LE as a separate and self-contained C3 dwellinghouse. The accommodation in question is fully self-contained, has separate access, and has a long history of independent and separate occupancy as a self-contained C3 dwellinghouse"/>
    <s v="21 Winchester Road, Twickenham TW1 1LE_x000a_"/>
    <s v="TW1 1LE"/>
    <m/>
    <m/>
    <m/>
    <m/>
    <m/>
    <m/>
    <m/>
    <m/>
    <m/>
    <n v="0"/>
    <m/>
    <n v="1"/>
    <m/>
    <m/>
    <m/>
    <m/>
    <m/>
    <m/>
    <m/>
    <n v="1"/>
    <n v="1"/>
    <n v="0"/>
    <n v="0"/>
    <n v="0"/>
    <n v="0"/>
    <n v="0"/>
    <n v="0"/>
    <n v="0"/>
    <n v="1"/>
    <x v="1"/>
    <n v="1"/>
    <m/>
    <m/>
    <m/>
    <m/>
    <m/>
    <m/>
    <m/>
    <m/>
    <m/>
    <m/>
    <m/>
    <m/>
    <m/>
    <m/>
    <m/>
    <m/>
    <n v="0"/>
    <n v="0"/>
    <m/>
    <m/>
    <m/>
    <n v="516632"/>
    <n v="174395"/>
    <x v="4"/>
    <x v="5"/>
    <x v="0"/>
    <x v="0"/>
    <m/>
    <x v="1"/>
    <x v="0"/>
    <m/>
    <x v="0"/>
    <s v="Y"/>
    <x v="4"/>
    <x v="0"/>
  </r>
  <r>
    <s v="17/0925/FUL"/>
    <x v="4"/>
    <x v="0"/>
    <x v="63"/>
    <d v="2024-08-10T00:00:00"/>
    <d v="2024-02-01T00:00:00"/>
    <m/>
    <x v="1"/>
    <x v="0"/>
    <x v="0"/>
    <m/>
    <x v="3"/>
    <s v="Two storey side extension, first floor rear extension, rear dormer roof extension and installation of external metal staircase to facilitate the provision of 1 no. 1 bed flat and reconfiguration of existing 2 bed flat to 1 bed flat and associated parking,"/>
    <s v="638 Hanworth Road, Whitton TW4 5NP_x000a_"/>
    <s v="TW4 5NP"/>
    <m/>
    <m/>
    <n v="1"/>
    <m/>
    <m/>
    <m/>
    <m/>
    <m/>
    <m/>
    <n v="1"/>
    <m/>
    <n v="2"/>
    <m/>
    <m/>
    <m/>
    <m/>
    <m/>
    <m/>
    <m/>
    <n v="2"/>
    <n v="2"/>
    <n v="-1"/>
    <n v="0"/>
    <n v="0"/>
    <n v="0"/>
    <n v="0"/>
    <n v="0"/>
    <n v="0"/>
    <n v="1"/>
    <x v="1"/>
    <m/>
    <n v="0.5"/>
    <n v="0.5"/>
    <m/>
    <m/>
    <m/>
    <m/>
    <m/>
    <m/>
    <m/>
    <m/>
    <m/>
    <m/>
    <m/>
    <m/>
    <m/>
    <m/>
    <n v="1"/>
    <n v="1"/>
    <s v="N"/>
    <s v="N"/>
    <s v="N"/>
    <n v="512771"/>
    <n v="173675"/>
    <x v="0"/>
    <x v="0"/>
    <x v="0"/>
    <x v="0"/>
    <s v="Hanworth Road"/>
    <x v="0"/>
    <x v="0"/>
    <m/>
    <x v="0"/>
    <m/>
    <x v="0"/>
    <x v="0"/>
  </r>
  <r>
    <s v="21/0754/GPD15"/>
    <x v="1"/>
    <x v="1"/>
    <x v="64"/>
    <d v="2024-04-12T00:00:00"/>
    <d v="2022-01-17T00:00:00"/>
    <m/>
    <x v="1"/>
    <x v="0"/>
    <x v="1"/>
    <m/>
    <x v="3"/>
    <s v="Change of use from existing offices in building of 63-65 High Street to 12 residential flats (including retention of 3 existing self-contained flats on second floor)."/>
    <s v="63 - 65 High Street, Hampton Hill_x000a__x000a_"/>
    <s v="TW12 1NH"/>
    <m/>
    <m/>
    <m/>
    <m/>
    <m/>
    <m/>
    <m/>
    <m/>
    <m/>
    <n v="0"/>
    <m/>
    <n v="4"/>
    <n v="8"/>
    <m/>
    <m/>
    <m/>
    <m/>
    <m/>
    <m/>
    <n v="12"/>
    <n v="4"/>
    <n v="8"/>
    <n v="0"/>
    <n v="0"/>
    <n v="0"/>
    <n v="0"/>
    <n v="0"/>
    <n v="0"/>
    <n v="12"/>
    <x v="1"/>
    <m/>
    <n v="12"/>
    <m/>
    <m/>
    <m/>
    <m/>
    <m/>
    <m/>
    <m/>
    <m/>
    <m/>
    <m/>
    <m/>
    <m/>
    <m/>
    <m/>
    <m/>
    <n v="12"/>
    <n v="12"/>
    <s v="N"/>
    <s v="N"/>
    <s v="N"/>
    <n v="514247"/>
    <n v="170821"/>
    <x v="1"/>
    <x v="14"/>
    <x v="0"/>
    <x v="0"/>
    <s v="High Street, Hampton Hill"/>
    <x v="0"/>
    <x v="0"/>
    <s v="CA38 High Street Hampton Hill"/>
    <x v="1"/>
    <m/>
    <x v="1"/>
    <x v="0"/>
  </r>
  <r>
    <s v="17/3667/FUL"/>
    <x v="0"/>
    <x v="0"/>
    <x v="65"/>
    <d v="2021-04-25T00:00:00"/>
    <d v="2021-03-15T00:00:00"/>
    <m/>
    <x v="1"/>
    <x v="0"/>
    <x v="0"/>
    <m/>
    <x v="3"/>
    <s v="Demolition of existing staff accommodation caravans and storage barn and erection of replacement grooms accommodation."/>
    <s v="Manor Farm Riding School, Petersham Road, Petersham, Richmond TW10 7AH_x000a_"/>
    <s v="TW10 7AH"/>
    <m/>
    <m/>
    <m/>
    <m/>
    <m/>
    <m/>
    <m/>
    <m/>
    <m/>
    <n v="0"/>
    <m/>
    <m/>
    <m/>
    <n v="1"/>
    <m/>
    <m/>
    <m/>
    <m/>
    <m/>
    <n v="1"/>
    <n v="0"/>
    <n v="0"/>
    <n v="1"/>
    <n v="0"/>
    <n v="0"/>
    <n v="0"/>
    <n v="0"/>
    <n v="0"/>
    <n v="1"/>
    <x v="1"/>
    <m/>
    <n v="1"/>
    <m/>
    <m/>
    <m/>
    <m/>
    <m/>
    <m/>
    <m/>
    <m/>
    <m/>
    <m/>
    <m/>
    <m/>
    <m/>
    <m/>
    <m/>
    <n v="1"/>
    <n v="1"/>
    <s v="N"/>
    <s v="N"/>
    <s v="N"/>
    <n v="517808"/>
    <n v="173353"/>
    <x v="2"/>
    <x v="3"/>
    <x v="0"/>
    <x v="1"/>
    <m/>
    <x v="1"/>
    <x v="2"/>
    <s v="CA6 Petersham"/>
    <x v="1"/>
    <m/>
    <x v="2"/>
    <x v="0"/>
  </r>
  <r>
    <s v="18/1442/FUL"/>
    <x v="0"/>
    <x v="0"/>
    <x v="66"/>
    <d v="2022-01-07T00:00:00"/>
    <d v="2021-09-16T00:00:00"/>
    <m/>
    <x v="1"/>
    <x v="0"/>
    <x v="0"/>
    <m/>
    <x v="3"/>
    <s v="Demolition of the existing outbuilding to the rear of no.48 Fourth Cross Road accessed via Rutland Road and construction of 1x2 bedroom dwelling including basement, with associated car parking, cycle parking and recycle/refuse storage."/>
    <s v="Land Rear Of 48 Fourth Cross Road, Twickenham_x000a__x000a_"/>
    <s v="TW2 5ER"/>
    <m/>
    <m/>
    <m/>
    <m/>
    <m/>
    <m/>
    <m/>
    <m/>
    <m/>
    <n v="0"/>
    <m/>
    <m/>
    <n v="1"/>
    <m/>
    <m/>
    <m/>
    <m/>
    <m/>
    <m/>
    <n v="1"/>
    <n v="0"/>
    <n v="1"/>
    <n v="0"/>
    <n v="0"/>
    <n v="0"/>
    <n v="0"/>
    <n v="0"/>
    <n v="0"/>
    <n v="1"/>
    <x v="1"/>
    <m/>
    <n v="0.5"/>
    <n v="0.5"/>
    <m/>
    <m/>
    <m/>
    <m/>
    <m/>
    <m/>
    <m/>
    <m/>
    <m/>
    <m/>
    <m/>
    <m/>
    <m/>
    <m/>
    <n v="1"/>
    <n v="1"/>
    <s v="N"/>
    <s v="N"/>
    <s v="N"/>
    <n v="514703"/>
    <n v="172701"/>
    <x v="4"/>
    <x v="17"/>
    <x v="0"/>
    <x v="0"/>
    <m/>
    <x v="1"/>
    <x v="0"/>
    <m/>
    <x v="0"/>
    <m/>
    <x v="4"/>
    <x v="0"/>
  </r>
  <r>
    <s v="18/1889/FUL"/>
    <x v="0"/>
    <x v="0"/>
    <x v="67"/>
    <d v="2022-09-10T00:00:00"/>
    <d v="2022-06-06T00:00:00"/>
    <m/>
    <x v="1"/>
    <x v="0"/>
    <x v="0"/>
    <m/>
    <x v="3"/>
    <s v="Erection of a pair of 2 storey semi-detached 2 bed (1 x 2B4P and 1 x 2B3P) dwellinghouses with associated hard and soft landscaping and parking."/>
    <s v="Land To The Side Of 61 Acacia Road, Hampton TW12 3DP_x000a_"/>
    <s v="TW12 3DP"/>
    <m/>
    <m/>
    <m/>
    <m/>
    <m/>
    <m/>
    <m/>
    <m/>
    <m/>
    <n v="0"/>
    <m/>
    <m/>
    <n v="2"/>
    <m/>
    <m/>
    <m/>
    <m/>
    <m/>
    <m/>
    <n v="2"/>
    <n v="0"/>
    <n v="2"/>
    <n v="0"/>
    <n v="0"/>
    <n v="0"/>
    <n v="0"/>
    <n v="0"/>
    <n v="0"/>
    <n v="2"/>
    <x v="1"/>
    <m/>
    <n v="2"/>
    <m/>
    <m/>
    <m/>
    <m/>
    <m/>
    <m/>
    <m/>
    <m/>
    <m/>
    <m/>
    <m/>
    <m/>
    <m/>
    <m/>
    <m/>
    <n v="2"/>
    <n v="2"/>
    <s v="N"/>
    <s v="N"/>
    <s v="N"/>
    <n v="513221"/>
    <n v="170897"/>
    <x v="1"/>
    <x v="1"/>
    <x v="0"/>
    <x v="0"/>
    <m/>
    <x v="1"/>
    <x v="0"/>
    <m/>
    <x v="0"/>
    <m/>
    <x v="1"/>
    <x v="1"/>
  </r>
  <r>
    <s v="19/2404/FUL"/>
    <x v="0"/>
    <x v="0"/>
    <x v="68"/>
    <d v="2024-06-30T00:00:00"/>
    <d v="2023-12-02T00:00:00"/>
    <m/>
    <x v="1"/>
    <x v="5"/>
    <x v="0"/>
    <m/>
    <x v="3"/>
    <s v="Redevelopment of existing hard standing court to accommodate new 4 storey residential building (comprising 11x1 bed and 1x2 bed charitable housing units) fronting Queens Road and 15 no. surface car parking spaces to the rear. Creation of a new multi-use recreational space, minor alterations for the existing Dickson House office building and a small extension (26 sqm) to the Cambrian Centre at the ground floor of the Caplan Court Building."/>
    <s v="Queens Road Estate, Queens Road, Richmond TW10_x000a_"/>
    <s v="TW10"/>
    <m/>
    <m/>
    <m/>
    <m/>
    <m/>
    <m/>
    <m/>
    <m/>
    <m/>
    <n v="0"/>
    <s v="Y"/>
    <n v="4"/>
    <m/>
    <m/>
    <m/>
    <m/>
    <m/>
    <m/>
    <m/>
    <n v="4"/>
    <n v="4"/>
    <n v="0"/>
    <n v="0"/>
    <n v="0"/>
    <n v="0"/>
    <n v="0"/>
    <n v="0"/>
    <n v="0"/>
    <n v="4"/>
    <x v="1"/>
    <m/>
    <n v="4"/>
    <m/>
    <m/>
    <m/>
    <m/>
    <m/>
    <m/>
    <m/>
    <m/>
    <m/>
    <m/>
    <m/>
    <m/>
    <m/>
    <m/>
    <m/>
    <n v="4"/>
    <n v="4"/>
    <s v="N"/>
    <s v="N"/>
    <s v="N"/>
    <n v="518792"/>
    <n v="174254"/>
    <x v="5"/>
    <x v="10"/>
    <x v="0"/>
    <x v="0"/>
    <m/>
    <x v="1"/>
    <x v="0"/>
    <m/>
    <x v="0"/>
    <m/>
    <x v="5"/>
    <x v="0"/>
  </r>
  <r>
    <s v="19/2404/FUL"/>
    <x v="0"/>
    <x v="0"/>
    <x v="68"/>
    <d v="2024-06-30T00:00:00"/>
    <d v="2023-12-02T00:00:00"/>
    <m/>
    <x v="1"/>
    <x v="1"/>
    <x v="0"/>
    <m/>
    <x v="3"/>
    <s v="Redevelopment of existing hard standing court to accommodate new 4 storey residential building (comprising 11x1 bed and 1x2 bed charitable housing units) fronting Queens Road and 15 no. surface car parking spaces to the rear. Creation of a new multi-use recreational space, minor alterations for the existing Dickson House office building and a small extension (26 sqm) to the Cambrian Centre at the ground floor of the Caplan Court Building."/>
    <s v="Queens Road Estate, Queens Road, Richmond TW10_x000a_"/>
    <s v="TW10"/>
    <m/>
    <m/>
    <m/>
    <m/>
    <m/>
    <m/>
    <m/>
    <m/>
    <m/>
    <n v="0"/>
    <s v="Y"/>
    <n v="7"/>
    <n v="1"/>
    <m/>
    <m/>
    <m/>
    <m/>
    <m/>
    <m/>
    <n v="8"/>
    <n v="7"/>
    <n v="1"/>
    <n v="0"/>
    <n v="0"/>
    <n v="0"/>
    <n v="0"/>
    <n v="0"/>
    <n v="0"/>
    <n v="8"/>
    <x v="1"/>
    <m/>
    <n v="8"/>
    <m/>
    <m/>
    <m/>
    <m/>
    <m/>
    <m/>
    <m/>
    <m/>
    <m/>
    <m/>
    <m/>
    <m/>
    <m/>
    <m/>
    <m/>
    <n v="8"/>
    <n v="8"/>
    <s v="N"/>
    <s v="N"/>
    <s v="N"/>
    <n v="518792"/>
    <n v="174254"/>
    <x v="5"/>
    <x v="10"/>
    <x v="0"/>
    <x v="0"/>
    <m/>
    <x v="1"/>
    <x v="0"/>
    <m/>
    <x v="0"/>
    <m/>
    <x v="5"/>
    <x v="0"/>
  </r>
  <r>
    <s v="20/1885/FUL"/>
    <x v="1"/>
    <x v="0"/>
    <x v="69"/>
    <d v="2023-10-02T00:00:00"/>
    <d v="2023-09-01T00:00:00"/>
    <m/>
    <x v="1"/>
    <x v="0"/>
    <x v="0"/>
    <m/>
    <x v="3"/>
    <s v="Conversion of public house to a single residential dwelling"/>
    <s v="80 Windmill Road, Hampton Hill, Hampton TW12 1QU_x000a_"/>
    <s v="TW12 1QU"/>
    <m/>
    <m/>
    <m/>
    <m/>
    <m/>
    <m/>
    <m/>
    <m/>
    <m/>
    <n v="0"/>
    <m/>
    <m/>
    <m/>
    <m/>
    <n v="1"/>
    <m/>
    <m/>
    <m/>
    <m/>
    <n v="1"/>
    <n v="0"/>
    <n v="0"/>
    <n v="0"/>
    <n v="1"/>
    <n v="0"/>
    <n v="0"/>
    <n v="0"/>
    <n v="0"/>
    <n v="1"/>
    <x v="1"/>
    <m/>
    <n v="1"/>
    <m/>
    <m/>
    <m/>
    <m/>
    <m/>
    <m/>
    <m/>
    <m/>
    <m/>
    <m/>
    <m/>
    <m/>
    <m/>
    <m/>
    <m/>
    <n v="1"/>
    <n v="1"/>
    <s v="N"/>
    <s v="N"/>
    <s v="N"/>
    <n v="513956"/>
    <n v="171140"/>
    <x v="1"/>
    <x v="14"/>
    <x v="0"/>
    <x v="0"/>
    <m/>
    <x v="1"/>
    <x v="0"/>
    <m/>
    <x v="0"/>
    <m/>
    <x v="1"/>
    <x v="0"/>
  </r>
  <r>
    <s v="20/2411/FUL"/>
    <x v="0"/>
    <x v="0"/>
    <x v="70"/>
    <d v="2024-06-24T00:00:00"/>
    <d v="2023-08-01T00:00:00"/>
    <m/>
    <x v="1"/>
    <x v="0"/>
    <x v="0"/>
    <m/>
    <x v="3"/>
    <s v="Erection of a 3 bed detached dwelling house with associated off-street parking and amenity space"/>
    <s v="52 Ringwood Way, Hampton Hill TW12 1AT"/>
    <s v="TW12 1AT"/>
    <m/>
    <m/>
    <m/>
    <m/>
    <m/>
    <m/>
    <m/>
    <m/>
    <m/>
    <n v="0"/>
    <m/>
    <m/>
    <m/>
    <n v="1"/>
    <m/>
    <m/>
    <m/>
    <m/>
    <m/>
    <n v="1"/>
    <n v="0"/>
    <n v="0"/>
    <n v="1"/>
    <n v="0"/>
    <n v="0"/>
    <n v="0"/>
    <n v="0"/>
    <n v="0"/>
    <n v="1"/>
    <x v="1"/>
    <m/>
    <n v="1"/>
    <m/>
    <m/>
    <m/>
    <m/>
    <m/>
    <m/>
    <m/>
    <m/>
    <m/>
    <m/>
    <m/>
    <m/>
    <m/>
    <m/>
    <m/>
    <n v="1"/>
    <n v="1"/>
    <s v="N"/>
    <s v="N"/>
    <s v="N"/>
    <n v="513278"/>
    <n v="171616"/>
    <x v="1"/>
    <x v="1"/>
    <x v="0"/>
    <x v="0"/>
    <m/>
    <x v="1"/>
    <x v="0"/>
    <m/>
    <x v="0"/>
    <m/>
    <x v="1"/>
    <x v="1"/>
  </r>
  <r>
    <s v="21/2441/FUL"/>
    <x v="1"/>
    <x v="0"/>
    <x v="52"/>
    <d v="2025-08-23T00:00:00"/>
    <d v="2022-09-01T00:00:00"/>
    <m/>
    <x v="1"/>
    <x v="0"/>
    <x v="0"/>
    <m/>
    <x v="3"/>
    <s v="Change of use (to C3) of former Royal Oak Public House. Alterations and extension to ground floor, and alterations to existing facades to create 1 x 3 bedroom dwellinghouse with 2 x off-street parking spaces and associated cycle parking."/>
    <s v="The Royal Oak, Ham Street, Ham, Richmond TW10 7HN"/>
    <s v="TW10 7HN"/>
    <m/>
    <m/>
    <m/>
    <m/>
    <m/>
    <m/>
    <m/>
    <m/>
    <m/>
    <n v="0"/>
    <m/>
    <m/>
    <m/>
    <n v="1"/>
    <m/>
    <m/>
    <m/>
    <m/>
    <m/>
    <n v="1"/>
    <n v="0"/>
    <n v="0"/>
    <n v="1"/>
    <n v="0"/>
    <n v="0"/>
    <n v="0"/>
    <n v="0"/>
    <n v="0"/>
    <n v="1"/>
    <x v="1"/>
    <m/>
    <n v="0.5"/>
    <n v="0.5"/>
    <m/>
    <m/>
    <m/>
    <m/>
    <m/>
    <m/>
    <m/>
    <m/>
    <m/>
    <m/>
    <m/>
    <m/>
    <m/>
    <m/>
    <n v="1"/>
    <n v="1"/>
    <s v="N"/>
    <s v="N"/>
    <s v="N"/>
    <n v="517302"/>
    <n v="172517"/>
    <x v="2"/>
    <x v="3"/>
    <x v="0"/>
    <x v="0"/>
    <m/>
    <x v="1"/>
    <x v="3"/>
    <s v="CA23 Ham House"/>
    <x v="1"/>
    <m/>
    <x v="2"/>
    <x v="0"/>
  </r>
  <r>
    <s v="21/3330/FUL"/>
    <x v="0"/>
    <x v="0"/>
    <x v="71"/>
    <d v="2025-02-02T00:00:00"/>
    <d v="2023-09-11T00:00:00"/>
    <m/>
    <x v="1"/>
    <x v="0"/>
    <x v="0"/>
    <m/>
    <x v="3"/>
    <s v="Construction of terrace of 3 family houses with associated parking and landscaping."/>
    <s v="Car Park, Brooklands Place, Hampton_x000a__x000a_"/>
    <s v="TW12"/>
    <m/>
    <m/>
    <m/>
    <m/>
    <m/>
    <m/>
    <m/>
    <m/>
    <m/>
    <n v="0"/>
    <m/>
    <m/>
    <m/>
    <n v="3"/>
    <m/>
    <m/>
    <m/>
    <m/>
    <m/>
    <n v="3"/>
    <n v="0"/>
    <n v="0"/>
    <n v="3"/>
    <n v="0"/>
    <n v="0"/>
    <n v="0"/>
    <n v="0"/>
    <n v="0"/>
    <n v="3"/>
    <x v="1"/>
    <m/>
    <n v="3"/>
    <m/>
    <m/>
    <m/>
    <m/>
    <m/>
    <m/>
    <m/>
    <m/>
    <m/>
    <m/>
    <m/>
    <m/>
    <m/>
    <m/>
    <m/>
    <n v="3"/>
    <n v="3"/>
    <s v="N"/>
    <s v="N"/>
    <s v="N"/>
    <n v="513958"/>
    <n v="171178"/>
    <x v="1"/>
    <x v="14"/>
    <x v="0"/>
    <x v="0"/>
    <m/>
    <x v="1"/>
    <x v="0"/>
    <m/>
    <x v="0"/>
    <m/>
    <x v="1"/>
    <x v="0"/>
  </r>
  <r>
    <s v="22/1453/FUL"/>
    <x v="0"/>
    <x v="0"/>
    <x v="72"/>
    <d v="2026-02-07T00:00:00"/>
    <d v="2023-10-01T00:00:00"/>
    <m/>
    <x v="1"/>
    <x v="0"/>
    <x v="0"/>
    <m/>
    <x v="3"/>
    <s v="Proposed four bedroom dwelling house with full wheelchair accessibility to all levels &amp; rooms.  The proposed dwelling is to be built in the side garden of number 47 Nightingale Road."/>
    <s v="47 Nightingale Road, Hampton TW12 3HZ_x000a_"/>
    <s v="TW12 3HZ"/>
    <m/>
    <m/>
    <m/>
    <m/>
    <m/>
    <m/>
    <m/>
    <m/>
    <m/>
    <n v="0"/>
    <m/>
    <m/>
    <m/>
    <m/>
    <n v="1"/>
    <m/>
    <m/>
    <m/>
    <m/>
    <n v="1"/>
    <n v="0"/>
    <n v="0"/>
    <n v="0"/>
    <n v="1"/>
    <n v="0"/>
    <n v="0"/>
    <n v="0"/>
    <n v="0"/>
    <n v="1"/>
    <x v="1"/>
    <m/>
    <n v="1"/>
    <m/>
    <m/>
    <m/>
    <m/>
    <m/>
    <m/>
    <m/>
    <m/>
    <m/>
    <m/>
    <m/>
    <m/>
    <m/>
    <m/>
    <m/>
    <n v="1"/>
    <n v="1"/>
    <s v="N"/>
    <s v="N"/>
    <s v="N"/>
    <n v="513293"/>
    <n v="170928"/>
    <x v="1"/>
    <x v="1"/>
    <x v="0"/>
    <x v="0"/>
    <m/>
    <x v="1"/>
    <x v="0"/>
    <m/>
    <x v="0"/>
    <m/>
    <x v="1"/>
    <x v="1"/>
  </r>
  <r>
    <s v="22/1568/FUL"/>
    <x v="0"/>
    <x v="0"/>
    <x v="73"/>
    <d v="2025-08-09T00:00:00"/>
    <d v="2023-07-01T00:00:00"/>
    <m/>
    <x v="1"/>
    <x v="0"/>
    <x v="0"/>
    <m/>
    <x v="3"/>
    <s v="Demolition of the existing 5-bed bungalow and replacement with a 5-bed family house. Associated hard and soft landscaping. Installation of vehicular and pedestrian gate. Bike and refuse stores."/>
    <s v="Jude Gate, 35 Ham Common, Ham, Richmond TW10 7JG_x000a_"/>
    <s v="TW10 7JG"/>
    <m/>
    <m/>
    <m/>
    <m/>
    <n v="1"/>
    <m/>
    <m/>
    <m/>
    <m/>
    <n v="1"/>
    <m/>
    <m/>
    <m/>
    <m/>
    <m/>
    <n v="1"/>
    <m/>
    <m/>
    <m/>
    <n v="1"/>
    <n v="0"/>
    <n v="0"/>
    <n v="0"/>
    <n v="-1"/>
    <n v="1"/>
    <n v="0"/>
    <n v="0"/>
    <n v="0"/>
    <n v="0"/>
    <x v="1"/>
    <m/>
    <n v="0"/>
    <m/>
    <m/>
    <m/>
    <m/>
    <m/>
    <m/>
    <m/>
    <m/>
    <m/>
    <m/>
    <m/>
    <m/>
    <m/>
    <m/>
    <m/>
    <n v="0"/>
    <n v="0"/>
    <s v="N"/>
    <s v="N"/>
    <s v="N"/>
    <n v="517552"/>
    <n v="172166"/>
    <x v="2"/>
    <x v="3"/>
    <x v="0"/>
    <x v="0"/>
    <m/>
    <x v="1"/>
    <x v="0"/>
    <s v="CA7 Ham Common"/>
    <x v="1"/>
    <m/>
    <x v="2"/>
    <x v="0"/>
  </r>
  <r>
    <s v="04/1020/FUL"/>
    <x v="1"/>
    <x v="0"/>
    <x v="74"/>
    <d v="2009-07-23T00:00:00"/>
    <d v="2009-07-01T00:00:00"/>
    <m/>
    <x v="1"/>
    <x v="0"/>
    <x v="0"/>
    <m/>
    <x v="3"/>
    <s v="Erection Of One And Half Storey Rear Extension To Create Self Contained Dwelling"/>
    <s v="83 High Street, Hampton Wick"/>
    <s v="KT1 4DG"/>
    <m/>
    <m/>
    <m/>
    <m/>
    <m/>
    <m/>
    <m/>
    <m/>
    <m/>
    <n v="0"/>
    <m/>
    <n v="1"/>
    <m/>
    <m/>
    <m/>
    <m/>
    <m/>
    <m/>
    <m/>
    <n v="1"/>
    <n v="1"/>
    <n v="0"/>
    <n v="0"/>
    <n v="0"/>
    <n v="0"/>
    <n v="0"/>
    <n v="0"/>
    <n v="0"/>
    <n v="1"/>
    <x v="1"/>
    <m/>
    <n v="0.5"/>
    <n v="0.5"/>
    <m/>
    <m/>
    <m/>
    <m/>
    <m/>
    <m/>
    <m/>
    <m/>
    <m/>
    <m/>
    <m/>
    <m/>
    <m/>
    <m/>
    <n v="1"/>
    <n v="1"/>
    <m/>
    <m/>
    <m/>
    <n v="517419"/>
    <n v="169715"/>
    <x v="1"/>
    <x v="11"/>
    <x v="0"/>
    <x v="0"/>
    <s v="Hampton Wick"/>
    <x v="0"/>
    <x v="0"/>
    <s v="CA18 Hampton Wick"/>
    <x v="1"/>
    <s v="Y"/>
    <x v="6"/>
    <x v="2"/>
  </r>
  <r>
    <s v="11/0468/PS192"/>
    <x v="0"/>
    <x v="0"/>
    <x v="75"/>
    <d v="2014-03-07T00:00:00"/>
    <d v="2011-03-07T00:00:00"/>
    <m/>
    <x v="1"/>
    <x v="0"/>
    <x v="1"/>
    <m/>
    <x v="3"/>
    <s v="Continuing construction of block of 11 flats on site of Osbourne House under permission 07/2991/FUL after 28/02/2011 (when the permission would otherwise have expired) will be lawful."/>
    <s v="Becketts Wharf And Osbourne House, Becketts Place, Hampton Wick_x000a__x000a_"/>
    <m/>
    <m/>
    <m/>
    <m/>
    <m/>
    <m/>
    <m/>
    <m/>
    <m/>
    <m/>
    <n v="0"/>
    <m/>
    <n v="4"/>
    <n v="7"/>
    <m/>
    <m/>
    <m/>
    <m/>
    <m/>
    <m/>
    <n v="11"/>
    <n v="4"/>
    <n v="7"/>
    <n v="0"/>
    <n v="0"/>
    <n v="0"/>
    <n v="0"/>
    <n v="0"/>
    <n v="0"/>
    <n v="11"/>
    <x v="1"/>
    <m/>
    <n v="2.75"/>
    <n v="2.75"/>
    <n v="2.75"/>
    <n v="2.75"/>
    <m/>
    <m/>
    <m/>
    <m/>
    <m/>
    <m/>
    <m/>
    <m/>
    <m/>
    <m/>
    <m/>
    <m/>
    <n v="11"/>
    <n v="11"/>
    <s v="N"/>
    <s v="N"/>
    <s v="N"/>
    <n v="517650"/>
    <n v="169624"/>
    <x v="1"/>
    <x v="11"/>
    <x v="0"/>
    <x v="1"/>
    <s v="Hampton Wick"/>
    <x v="0"/>
    <x v="0"/>
    <s v="CA18 Hampton Wick"/>
    <x v="1"/>
    <s v="Y"/>
    <x v="6"/>
    <x v="0"/>
  </r>
  <r>
    <s v="16/2537/FUL"/>
    <x v="0"/>
    <x v="0"/>
    <x v="76"/>
    <d v="2022-04-03T00:00:00"/>
    <d v="2022-03-16T00:00:00"/>
    <m/>
    <x v="1"/>
    <x v="0"/>
    <x v="0"/>
    <m/>
    <x v="3"/>
    <s v="Demolition of the existing building, and redevelopment of the site for 8 residential units (1 x 1 bed, 7 x 2 bed units) with associated car and cycle parking, amenity space, refuse and recycling storage."/>
    <s v="1D Becketts Place, Hampton Wick_x000a__x000a_"/>
    <s v="KT1 4EW"/>
    <m/>
    <n v="3"/>
    <m/>
    <m/>
    <m/>
    <m/>
    <m/>
    <m/>
    <m/>
    <n v="3"/>
    <m/>
    <n v="1"/>
    <n v="7"/>
    <m/>
    <m/>
    <m/>
    <m/>
    <m/>
    <m/>
    <n v="8"/>
    <n v="-2"/>
    <n v="7"/>
    <n v="0"/>
    <n v="0"/>
    <n v="0"/>
    <n v="0"/>
    <n v="0"/>
    <n v="0"/>
    <n v="5"/>
    <x v="1"/>
    <m/>
    <m/>
    <n v="2.5"/>
    <n v="2.5"/>
    <m/>
    <m/>
    <m/>
    <m/>
    <m/>
    <m/>
    <m/>
    <m/>
    <m/>
    <m/>
    <m/>
    <m/>
    <m/>
    <n v="5"/>
    <n v="5"/>
    <s v="N"/>
    <s v="N"/>
    <s v="N"/>
    <n v="517622"/>
    <n v="169605"/>
    <x v="1"/>
    <x v="11"/>
    <x v="0"/>
    <x v="1"/>
    <s v="Hampton Wick"/>
    <x v="0"/>
    <x v="0"/>
    <s v="CA18 Hampton Wick"/>
    <x v="1"/>
    <s v="Y"/>
    <x v="6"/>
    <x v="0"/>
  </r>
  <r>
    <s v="19/3490/FUL"/>
    <x v="3"/>
    <x v="0"/>
    <x v="77"/>
    <d v="2023-09-18T00:00:00"/>
    <d v="2023-03-31T00:00:00"/>
    <m/>
    <x v="1"/>
    <x v="0"/>
    <x v="0"/>
    <m/>
    <x v="3"/>
    <s v="Part two-storey/part single-storey rear extension to provide 1no. additional dwelling, including associated alterations to fenestration, following demolition of existing single-storey rear extension."/>
    <s v="81 High Street, Hampton Wick KT1 4DG_x000a_"/>
    <s v="KT1 4DG"/>
    <m/>
    <m/>
    <m/>
    <m/>
    <m/>
    <m/>
    <m/>
    <m/>
    <m/>
    <n v="0"/>
    <m/>
    <n v="1"/>
    <m/>
    <m/>
    <m/>
    <m/>
    <m/>
    <m/>
    <m/>
    <n v="1"/>
    <n v="1"/>
    <n v="0"/>
    <n v="0"/>
    <n v="0"/>
    <n v="0"/>
    <n v="0"/>
    <n v="0"/>
    <n v="0"/>
    <n v="1"/>
    <x v="1"/>
    <m/>
    <n v="0.5"/>
    <n v="0.5"/>
    <m/>
    <m/>
    <m/>
    <m/>
    <m/>
    <m/>
    <m/>
    <m/>
    <m/>
    <m/>
    <m/>
    <m/>
    <m/>
    <m/>
    <n v="1"/>
    <n v="1"/>
    <s v="N"/>
    <s v="N"/>
    <s v="N"/>
    <n v="517423"/>
    <n v="169711"/>
    <x v="1"/>
    <x v="11"/>
    <x v="0"/>
    <x v="0"/>
    <s v="Hampton Wick"/>
    <x v="0"/>
    <x v="0"/>
    <s v="CA18 Hampton Wick"/>
    <x v="1"/>
    <s v="Y"/>
    <x v="6"/>
    <x v="0"/>
  </r>
  <r>
    <s v="21/4038/FUL"/>
    <x v="1"/>
    <x v="0"/>
    <x v="78"/>
    <d v="2025-07-12T00:00:00"/>
    <d v="2023-05-01T00:00:00"/>
    <m/>
    <x v="1"/>
    <x v="0"/>
    <x v="0"/>
    <m/>
    <x v="3"/>
    <s v="Change of use of ground floor and basement of the former Old Kings Head public house to a Mixed Use Community Cycle Hub comprising Café (Use Class E(b)), Training Area (Use Class F2(b)) and Treatment Room/Medical (Use Class E(e)) and 1No. 1-bedroom  apartment.   Alterations and conversion of the first and second floors to replace existing staff accommodation with 3No. 2-bedroom apartments."/>
    <s v="The Old Kings Head, Hampton Court Road, Hampton Wick KT1 4AE_x000a_"/>
    <s v="KT1 4AE"/>
    <m/>
    <m/>
    <m/>
    <m/>
    <m/>
    <m/>
    <m/>
    <m/>
    <m/>
    <n v="0"/>
    <m/>
    <n v="1"/>
    <n v="3"/>
    <m/>
    <m/>
    <m/>
    <m/>
    <m/>
    <m/>
    <n v="4"/>
    <n v="1"/>
    <n v="3"/>
    <n v="0"/>
    <n v="0"/>
    <n v="0"/>
    <n v="0"/>
    <n v="0"/>
    <n v="0"/>
    <n v="4"/>
    <x v="1"/>
    <m/>
    <m/>
    <n v="2"/>
    <n v="2"/>
    <m/>
    <m/>
    <m/>
    <m/>
    <m/>
    <m/>
    <m/>
    <m/>
    <m/>
    <m/>
    <m/>
    <m/>
    <m/>
    <n v="4"/>
    <n v="4"/>
    <s v="N"/>
    <s v="N"/>
    <s v="N"/>
    <n v="517498"/>
    <n v="169337"/>
    <x v="1"/>
    <x v="11"/>
    <x v="0"/>
    <x v="1"/>
    <s v="Hampton Wick"/>
    <x v="0"/>
    <x v="4"/>
    <s v="CA18 Hampton Wick"/>
    <x v="1"/>
    <s v="Y"/>
    <x v="1"/>
    <x v="0"/>
  </r>
  <r>
    <s v="23/1471/GPD26"/>
    <x v="1"/>
    <x v="1"/>
    <x v="59"/>
    <d v="2026-07-17T00:00:00"/>
    <d v="2023-07-17T00:00:00"/>
    <m/>
    <x v="1"/>
    <x v="0"/>
    <x v="0"/>
    <m/>
    <x v="3"/>
    <s v="Change of use and addition of mezzanine floor to create 5 residential units_x000d_"/>
    <s v="12 Park Road, Hampton Wick KT1 4AS_x000a_"/>
    <s v="KT1 4AS"/>
    <m/>
    <m/>
    <m/>
    <m/>
    <m/>
    <m/>
    <m/>
    <m/>
    <m/>
    <n v="0"/>
    <m/>
    <n v="4"/>
    <n v="1"/>
    <m/>
    <m/>
    <m/>
    <m/>
    <m/>
    <m/>
    <n v="5"/>
    <n v="4"/>
    <n v="1"/>
    <n v="0"/>
    <n v="0"/>
    <n v="0"/>
    <n v="0"/>
    <n v="0"/>
    <n v="0"/>
    <n v="5"/>
    <x v="1"/>
    <m/>
    <n v="5"/>
    <m/>
    <m/>
    <m/>
    <m/>
    <m/>
    <m/>
    <m/>
    <m/>
    <m/>
    <m/>
    <m/>
    <m/>
    <m/>
    <m/>
    <m/>
    <n v="5"/>
    <n v="5"/>
    <s v="N"/>
    <s v="N"/>
    <s v="N"/>
    <n v="517458"/>
    <n v="169588"/>
    <x v="1"/>
    <x v="11"/>
    <x v="0"/>
    <x v="0"/>
    <s v="Hampton Wick"/>
    <x v="0"/>
    <x v="0"/>
    <s v="CA18 Hampton Wick"/>
    <x v="1"/>
    <s v="Y"/>
    <x v="6"/>
    <x v="0"/>
  </r>
  <r>
    <s v="20/2841/FUL"/>
    <x v="3"/>
    <x v="0"/>
    <x v="79"/>
    <d v="2024-02-12T00:00:00"/>
    <d v="2023-10-02T00:00:00"/>
    <m/>
    <x v="1"/>
    <x v="0"/>
    <x v="0"/>
    <m/>
    <x v="3"/>
    <s v="Proposed erection of single storey building at rear to provide 1 no. self contained flat"/>
    <s v="118A - 118B High Street, Hampton Hill, Hampton TW12 1NT_x000a_"/>
    <s v="TW12 1NT"/>
    <m/>
    <m/>
    <m/>
    <m/>
    <m/>
    <m/>
    <m/>
    <m/>
    <m/>
    <n v="0"/>
    <m/>
    <n v="1"/>
    <m/>
    <m/>
    <m/>
    <m/>
    <m/>
    <m/>
    <m/>
    <n v="1"/>
    <n v="1"/>
    <n v="0"/>
    <n v="0"/>
    <n v="0"/>
    <n v="0"/>
    <n v="0"/>
    <n v="0"/>
    <n v="0"/>
    <n v="1"/>
    <x v="1"/>
    <m/>
    <n v="1"/>
    <m/>
    <m/>
    <m/>
    <m/>
    <m/>
    <m/>
    <m/>
    <m/>
    <m/>
    <m/>
    <m/>
    <m/>
    <m/>
    <m/>
    <m/>
    <n v="1"/>
    <n v="1"/>
    <s v="N"/>
    <s v="N"/>
    <s v="N"/>
    <n v="514515"/>
    <n v="171261"/>
    <x v="1"/>
    <x v="14"/>
    <x v="0"/>
    <x v="0"/>
    <s v="High Street, Hampton Hill"/>
    <x v="0"/>
    <x v="0"/>
    <m/>
    <x v="0"/>
    <s v="Y"/>
    <x v="1"/>
    <x v="0"/>
  </r>
  <r>
    <s v="22/2360/FUL"/>
    <x v="0"/>
    <x v="0"/>
    <x v="60"/>
    <d v="2026-08-08T00:00:00"/>
    <d v="2023-08-08T00:00:00"/>
    <m/>
    <x v="1"/>
    <x v="0"/>
    <x v="0"/>
    <m/>
    <x v="3"/>
    <s v="Demolition of the existing buildings. Erection of a three storey mixed-use building on Priests Bridge (comprising Use Class E and 7 x residential units on first and second floor (three 1-bedroom flats, four 2-bedrooms flats)).  Erection of a part-one, par"/>
    <s v="26-28 Priests Bridge, East Sheen SW14 8TA_x000a_"/>
    <s v="SW14 8TA"/>
    <m/>
    <m/>
    <m/>
    <m/>
    <m/>
    <m/>
    <m/>
    <m/>
    <m/>
    <n v="0"/>
    <m/>
    <n v="3"/>
    <n v="6"/>
    <m/>
    <m/>
    <m/>
    <m/>
    <m/>
    <m/>
    <n v="9"/>
    <n v="3"/>
    <n v="6"/>
    <n v="0"/>
    <n v="0"/>
    <n v="0"/>
    <n v="0"/>
    <n v="0"/>
    <n v="0"/>
    <n v="9"/>
    <x v="1"/>
    <m/>
    <n v="4.5"/>
    <n v="4.5"/>
    <m/>
    <m/>
    <m/>
    <m/>
    <m/>
    <m/>
    <m/>
    <m/>
    <m/>
    <m/>
    <m/>
    <m/>
    <m/>
    <m/>
    <n v="9"/>
    <n v="9"/>
    <s v="N"/>
    <s v="N"/>
    <s v="N"/>
    <n v="521492"/>
    <n v="175545"/>
    <x v="3"/>
    <x v="9"/>
    <x v="0"/>
    <x v="0"/>
    <s v="Priests Bridge, Barnes"/>
    <x v="0"/>
    <x v="0"/>
    <m/>
    <x v="0"/>
    <s v="Y"/>
    <x v="3"/>
    <x v="0"/>
  </r>
  <r>
    <s v="16/0510/FUL"/>
    <x v="1"/>
    <x v="0"/>
    <x v="80"/>
    <d v="2021-07-19T00:00:00"/>
    <d v="2021-07-05T00:00:00"/>
    <m/>
    <x v="1"/>
    <x v="0"/>
    <x v="0"/>
    <m/>
    <x v="3"/>
    <s v="Alterations including construction of a new rear ground floor extension and change of use to commercial space and two 2-bedroom self-contained flats."/>
    <s v="Shanklin House, 70 Sheen Road, Richmond TW9 1UF_x000a_"/>
    <s v="TW9 1UF"/>
    <m/>
    <m/>
    <m/>
    <m/>
    <m/>
    <m/>
    <m/>
    <m/>
    <m/>
    <n v="0"/>
    <m/>
    <m/>
    <n v="2"/>
    <m/>
    <m/>
    <m/>
    <m/>
    <m/>
    <m/>
    <n v="2"/>
    <n v="0"/>
    <n v="2"/>
    <n v="0"/>
    <n v="0"/>
    <n v="0"/>
    <n v="0"/>
    <n v="0"/>
    <n v="0"/>
    <n v="2"/>
    <x v="1"/>
    <m/>
    <m/>
    <n v="1"/>
    <n v="1"/>
    <m/>
    <m/>
    <m/>
    <m/>
    <m/>
    <m/>
    <m/>
    <m/>
    <m/>
    <m/>
    <m/>
    <m/>
    <m/>
    <n v="2"/>
    <n v="2"/>
    <s v="N"/>
    <s v="N"/>
    <s v="N"/>
    <n v="518392"/>
    <n v="175032"/>
    <x v="5"/>
    <x v="10"/>
    <x v="0"/>
    <x v="0"/>
    <s v="Sheen Road"/>
    <x v="0"/>
    <x v="0"/>
    <s v="CA31 Sheen Road Richmond"/>
    <x v="1"/>
    <s v="Y"/>
    <x v="5"/>
    <x v="0"/>
  </r>
  <r>
    <s v="12/1020/FUL"/>
    <x v="2"/>
    <x v="0"/>
    <x v="81"/>
    <d v="2016-07-31T00:00:00"/>
    <d v="2016-07-14T00:00:00"/>
    <m/>
    <x v="1"/>
    <x v="0"/>
    <x v="0"/>
    <m/>
    <x v="3"/>
    <s v="Conversion of ground and first floors to create of no. 25-27 which are linked internally to create the following: no. 25 convert to single dwellinghouse with loft conversion. no.27 Convert ground floor to 1 x 2 bed flat, first floor convert to 2 x 1 bed flats, 2nd floor existing 1 x 2 bed and 1 x 1 bed flats to remain as existing."/>
    <s v="25 - 27 Thames Street, Hampton TW12 2EW_x000a_"/>
    <s v="TW12 2EW"/>
    <m/>
    <n v="1"/>
    <n v="1"/>
    <m/>
    <m/>
    <m/>
    <m/>
    <m/>
    <m/>
    <n v="2"/>
    <m/>
    <n v="3"/>
    <n v="2"/>
    <n v="1"/>
    <m/>
    <m/>
    <m/>
    <m/>
    <m/>
    <n v="6"/>
    <n v="2"/>
    <n v="1"/>
    <n v="1"/>
    <n v="0"/>
    <n v="0"/>
    <n v="0"/>
    <n v="0"/>
    <n v="0"/>
    <n v="4"/>
    <x v="1"/>
    <m/>
    <n v="0.5"/>
    <n v="0.5"/>
    <n v="0.5"/>
    <n v="0.5"/>
    <m/>
    <m/>
    <m/>
    <m/>
    <m/>
    <m/>
    <m/>
    <m/>
    <m/>
    <m/>
    <m/>
    <m/>
    <n v="2"/>
    <n v="2"/>
    <m/>
    <m/>
    <m/>
    <n v="513865"/>
    <n v="169502"/>
    <x v="1"/>
    <x v="2"/>
    <x v="0"/>
    <x v="1"/>
    <s v="Thames Street, Hampton"/>
    <x v="0"/>
    <x v="0"/>
    <s v="CA12 Hampton Village"/>
    <x v="1"/>
    <s v="Y"/>
    <x v="1"/>
    <x v="2"/>
  </r>
  <r>
    <s v="20/0595/FUL"/>
    <x v="4"/>
    <x v="0"/>
    <x v="82"/>
    <d v="2023-09-24T00:00:00"/>
    <d v="2023-09-01T00:00:00"/>
    <m/>
    <x v="1"/>
    <x v="0"/>
    <x v="0"/>
    <m/>
    <x v="3"/>
    <s v="Demolition of existing outbuilding.  Single storey side/rear extension to facilitate change of use of rear part of ground floor (A1 (Retail)) to residential use (Class C3) to create 1 x 1 bed flat with associated cycle and refuse store."/>
    <s v="64 White Hart Lane, Barnes SW13 0PZ"/>
    <s v="SW13 0PZ"/>
    <m/>
    <m/>
    <m/>
    <m/>
    <m/>
    <m/>
    <m/>
    <m/>
    <m/>
    <n v="0"/>
    <m/>
    <n v="1"/>
    <m/>
    <m/>
    <m/>
    <m/>
    <m/>
    <m/>
    <m/>
    <n v="1"/>
    <n v="1"/>
    <n v="0"/>
    <n v="0"/>
    <n v="0"/>
    <n v="0"/>
    <n v="0"/>
    <n v="0"/>
    <n v="0"/>
    <n v="1"/>
    <x v="1"/>
    <m/>
    <n v="1"/>
    <m/>
    <m/>
    <m/>
    <m/>
    <m/>
    <m/>
    <m/>
    <m/>
    <m/>
    <m/>
    <m/>
    <m/>
    <m/>
    <m/>
    <m/>
    <n v="1"/>
    <n v="1"/>
    <s v="N"/>
    <s v="N"/>
    <s v="N"/>
    <n v="521318"/>
    <n v="175834"/>
    <x v="3"/>
    <x v="9"/>
    <x v="0"/>
    <x v="0"/>
    <s v="White Hart lane, Barnes"/>
    <x v="0"/>
    <x v="0"/>
    <s v="CA33 Mortlake"/>
    <x v="1"/>
    <s v="Y"/>
    <x v="7"/>
    <x v="0"/>
  </r>
  <r>
    <s v="20/1846/FUL"/>
    <x v="4"/>
    <x v="0"/>
    <x v="79"/>
    <d v="2024-02-12T00:00:00"/>
    <d v="2023-09-04T00:00:00"/>
    <m/>
    <x v="1"/>
    <x v="0"/>
    <x v="0"/>
    <m/>
    <x v="3"/>
    <s v="Ground and basement extensions to facilitate change of use of basement and part change of use of ground floor from A1 to C3 to provide a one- bedroom residential unit"/>
    <s v="4 The Broadway, Barnes SW13 0NY"/>
    <s v="SW13 0NY"/>
    <m/>
    <m/>
    <m/>
    <m/>
    <m/>
    <m/>
    <m/>
    <m/>
    <m/>
    <n v="0"/>
    <m/>
    <n v="1"/>
    <m/>
    <m/>
    <m/>
    <m/>
    <m/>
    <m/>
    <m/>
    <n v="1"/>
    <n v="1"/>
    <n v="0"/>
    <n v="0"/>
    <n v="0"/>
    <n v="0"/>
    <n v="0"/>
    <n v="0"/>
    <n v="0"/>
    <n v="1"/>
    <x v="1"/>
    <m/>
    <n v="0.5"/>
    <n v="0.5"/>
    <m/>
    <m/>
    <m/>
    <m/>
    <m/>
    <m/>
    <m/>
    <m/>
    <m/>
    <m/>
    <m/>
    <m/>
    <m/>
    <m/>
    <n v="1"/>
    <n v="1"/>
    <s v="N"/>
    <s v="N"/>
    <s v="N"/>
    <n v="521239"/>
    <n v="176042"/>
    <x v="3"/>
    <x v="9"/>
    <x v="0"/>
    <x v="0"/>
    <s v="White Hart Lane/Mortlake H"/>
    <x v="0"/>
    <x v="0"/>
    <s v="CA33 Mortlake"/>
    <x v="1"/>
    <s v="Y"/>
    <x v="7"/>
    <x v="0"/>
  </r>
  <r>
    <s v="13/1327/FUL"/>
    <x v="1"/>
    <x v="0"/>
    <x v="83"/>
    <d v="2016-09-03T00:00:00"/>
    <d v="2016-08-19T00:00:00"/>
    <m/>
    <x v="1"/>
    <x v="0"/>
    <x v="1"/>
    <m/>
    <x v="3"/>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 142 - 142A Richmond Hill, Richmond_x000a__x000a_"/>
    <m/>
    <m/>
    <m/>
    <m/>
    <m/>
    <n v="2"/>
    <m/>
    <m/>
    <m/>
    <m/>
    <n v="2"/>
    <m/>
    <m/>
    <m/>
    <m/>
    <n v="1"/>
    <m/>
    <m/>
    <m/>
    <m/>
    <n v="1"/>
    <n v="0"/>
    <n v="0"/>
    <n v="0"/>
    <n v="-1"/>
    <n v="0"/>
    <n v="0"/>
    <n v="0"/>
    <n v="0"/>
    <n v="-1"/>
    <x v="1"/>
    <m/>
    <n v="-1"/>
    <m/>
    <m/>
    <m/>
    <m/>
    <m/>
    <m/>
    <m/>
    <m/>
    <m/>
    <m/>
    <m/>
    <m/>
    <m/>
    <m/>
    <m/>
    <n v="-1"/>
    <n v="-1"/>
    <m/>
    <m/>
    <m/>
    <n v="518397"/>
    <n v="173968"/>
    <x v="2"/>
    <x v="3"/>
    <x v="0"/>
    <x v="1"/>
    <m/>
    <x v="1"/>
    <x v="0"/>
    <s v="CA5 Richmond Hill"/>
    <x v="1"/>
    <s v="Y"/>
    <x v="5"/>
    <x v="2"/>
  </r>
  <r>
    <s v="14/2797/P3JPA"/>
    <x v="1"/>
    <x v="1"/>
    <x v="84"/>
    <d v="2017-11-27T00:00:00"/>
    <d v="2017-06-30T00:00:00"/>
    <m/>
    <x v="1"/>
    <x v="0"/>
    <x v="1"/>
    <m/>
    <x v="3"/>
    <s v="Proposed change of use of part of an existing two storey office block (B1a Use Class) to Residential (C3 Use Class) creating 6 No.flats (comprising 1 x 1-bed unit and 5 x 2-bed units)."/>
    <s v="Crane Mews, 32 Gould Road, Twickenham_x000a__x000a_"/>
    <s v="TW2 6RS"/>
    <m/>
    <m/>
    <m/>
    <m/>
    <m/>
    <m/>
    <m/>
    <m/>
    <m/>
    <n v="0"/>
    <m/>
    <n v="1"/>
    <n v="5"/>
    <m/>
    <m/>
    <m/>
    <m/>
    <m/>
    <m/>
    <n v="6"/>
    <n v="1"/>
    <n v="5"/>
    <n v="0"/>
    <n v="0"/>
    <n v="0"/>
    <n v="0"/>
    <n v="0"/>
    <n v="0"/>
    <n v="6"/>
    <x v="1"/>
    <m/>
    <n v="6"/>
    <m/>
    <m/>
    <m/>
    <m/>
    <m/>
    <m/>
    <m/>
    <m/>
    <m/>
    <m/>
    <m/>
    <m/>
    <m/>
    <m/>
    <m/>
    <n v="6"/>
    <n v="6"/>
    <s v="N"/>
    <s v="N"/>
    <s v="N"/>
    <n v="515206"/>
    <n v="173341"/>
    <x v="4"/>
    <x v="7"/>
    <x v="0"/>
    <x v="0"/>
    <m/>
    <x v="1"/>
    <x v="0"/>
    <m/>
    <x v="0"/>
    <s v="Y"/>
    <x v="4"/>
    <x v="0"/>
  </r>
  <r>
    <s v="16/0058/FUL"/>
    <x v="1"/>
    <x v="0"/>
    <x v="85"/>
    <d v="2019-07-14T00:00:00"/>
    <d v="2019-07-10T00:00:00"/>
    <m/>
    <x v="1"/>
    <x v="0"/>
    <x v="0"/>
    <m/>
    <x v="3"/>
    <s v="Change of use of 2nd floor and 3rd floor level from ancillary retail to nine 1 bedroom flats (C3 use) with external alterations and enclosure of walkway at 1st floor, new residential access, bin store, bicycle storage, replacement of plant, new stairs to"/>
    <s v="29 George Street, Richmond TW9 1HY_x000a_"/>
    <s v="TW9 1HY"/>
    <m/>
    <m/>
    <m/>
    <m/>
    <m/>
    <m/>
    <m/>
    <m/>
    <m/>
    <n v="0"/>
    <m/>
    <n v="9"/>
    <m/>
    <m/>
    <m/>
    <m/>
    <m/>
    <m/>
    <m/>
    <n v="9"/>
    <n v="9"/>
    <n v="0"/>
    <n v="0"/>
    <n v="0"/>
    <n v="0"/>
    <n v="0"/>
    <n v="0"/>
    <n v="0"/>
    <n v="9"/>
    <x v="1"/>
    <m/>
    <m/>
    <n v="4.5"/>
    <n v="4.5"/>
    <m/>
    <m/>
    <m/>
    <m/>
    <m/>
    <m/>
    <m/>
    <m/>
    <m/>
    <m/>
    <m/>
    <m/>
    <m/>
    <n v="9"/>
    <n v="9"/>
    <m/>
    <m/>
    <m/>
    <n v="517924"/>
    <n v="174891"/>
    <x v="5"/>
    <x v="10"/>
    <x v="1"/>
    <x v="0"/>
    <m/>
    <x v="1"/>
    <x v="0"/>
    <s v="CA17 Central Richmond"/>
    <x v="1"/>
    <s v="Y"/>
    <x v="5"/>
    <x v="2"/>
  </r>
  <r>
    <s v="16/3625/FUL"/>
    <x v="0"/>
    <x v="0"/>
    <x v="86"/>
    <d v="2020-11-30T00:00:00"/>
    <d v="2018-09-01T00:00:00"/>
    <m/>
    <x v="1"/>
    <x v="0"/>
    <x v="1"/>
    <m/>
    <x v="3"/>
    <s v="Demolition of existing car repair workshop and replacement with 1 no. ground floor B1(a) commercial unit and 1 no. 2 bed residential unit with associated landscaping, car and cycle parking."/>
    <s v="65 Holly Road, Twickenham TW1 4HF_x000a_"/>
    <s v="TW1 4HF"/>
    <m/>
    <m/>
    <m/>
    <m/>
    <m/>
    <m/>
    <m/>
    <m/>
    <m/>
    <n v="0"/>
    <m/>
    <m/>
    <n v="1"/>
    <m/>
    <m/>
    <m/>
    <m/>
    <m/>
    <m/>
    <n v="1"/>
    <n v="0"/>
    <n v="1"/>
    <n v="0"/>
    <n v="0"/>
    <n v="0"/>
    <n v="0"/>
    <n v="0"/>
    <n v="0"/>
    <n v="1"/>
    <x v="1"/>
    <m/>
    <n v="1"/>
    <m/>
    <m/>
    <m/>
    <m/>
    <m/>
    <m/>
    <m/>
    <m/>
    <m/>
    <m/>
    <m/>
    <m/>
    <m/>
    <m/>
    <m/>
    <n v="1"/>
    <n v="1"/>
    <s v="N"/>
    <s v="N"/>
    <s v="N"/>
    <n v="516115"/>
    <n v="173199"/>
    <x v="4"/>
    <x v="6"/>
    <x v="3"/>
    <x v="0"/>
    <m/>
    <x v="1"/>
    <x v="0"/>
    <m/>
    <x v="0"/>
    <s v="Y"/>
    <x v="4"/>
    <x v="0"/>
  </r>
  <r>
    <s v="16/4635/FUL"/>
    <x v="0"/>
    <x v="0"/>
    <x v="87"/>
    <d v="2020-03-07T00:00:00"/>
    <d v="2020-03-01T00:00:00"/>
    <m/>
    <x v="1"/>
    <x v="0"/>
    <x v="0"/>
    <m/>
    <x v="3"/>
    <s v="Construction of a three bedroom single storey dwelling with associated hard and soft landscaping, parking and access road (bollard lit)"/>
    <s v="Land Rear Of 12 To 36 Vincam Close, Twickenham_x000a__x000a_"/>
    <m/>
    <m/>
    <m/>
    <m/>
    <m/>
    <m/>
    <m/>
    <m/>
    <m/>
    <m/>
    <n v="0"/>
    <m/>
    <m/>
    <m/>
    <n v="1"/>
    <m/>
    <m/>
    <m/>
    <m/>
    <m/>
    <n v="1"/>
    <n v="0"/>
    <n v="0"/>
    <n v="1"/>
    <n v="0"/>
    <n v="0"/>
    <n v="0"/>
    <n v="0"/>
    <n v="0"/>
    <n v="1"/>
    <x v="1"/>
    <m/>
    <n v="1"/>
    <m/>
    <m/>
    <m/>
    <m/>
    <m/>
    <m/>
    <m/>
    <m/>
    <m/>
    <m/>
    <m/>
    <m/>
    <m/>
    <m/>
    <m/>
    <n v="1"/>
    <n v="1"/>
    <s v="N"/>
    <s v="N"/>
    <s v="N"/>
    <n v="513432"/>
    <n v="173849"/>
    <x v="0"/>
    <x v="13"/>
    <x v="0"/>
    <x v="0"/>
    <m/>
    <x v="1"/>
    <x v="0"/>
    <m/>
    <x v="0"/>
    <s v="Y"/>
    <x v="0"/>
    <x v="0"/>
  </r>
  <r>
    <s v="17/0323/FUL"/>
    <x v="0"/>
    <x v="0"/>
    <x v="88"/>
    <d v="2021-03-23T00:00:00"/>
    <d v="2021-01-04T00:00:00"/>
    <m/>
    <x v="1"/>
    <x v="0"/>
    <x v="0"/>
    <m/>
    <x v="3"/>
    <s v="Erection of a three-storey building to provide  4 two-bedroom residential units (Class C3) separate refuse facilities and altered parking layout."/>
    <s v="Courtyard Apartments, 70B Hampton Road, Teddington_x000a__x000a_"/>
    <s v="TW11 0JX"/>
    <m/>
    <m/>
    <m/>
    <m/>
    <m/>
    <m/>
    <m/>
    <m/>
    <m/>
    <n v="0"/>
    <m/>
    <m/>
    <n v="4"/>
    <m/>
    <m/>
    <m/>
    <m/>
    <m/>
    <m/>
    <n v="4"/>
    <n v="0"/>
    <n v="4"/>
    <n v="0"/>
    <n v="0"/>
    <n v="0"/>
    <n v="0"/>
    <n v="0"/>
    <n v="0"/>
    <n v="4"/>
    <x v="1"/>
    <m/>
    <m/>
    <n v="2"/>
    <n v="2"/>
    <m/>
    <m/>
    <m/>
    <m/>
    <m/>
    <m/>
    <m/>
    <m/>
    <m/>
    <m/>
    <m/>
    <m/>
    <m/>
    <n v="4"/>
    <n v="4"/>
    <s v="N"/>
    <s v="N"/>
    <s v="N"/>
    <n v="514687"/>
    <n v="171290"/>
    <x v="1"/>
    <x v="14"/>
    <x v="0"/>
    <x v="0"/>
    <m/>
    <x v="1"/>
    <x v="0"/>
    <m/>
    <x v="0"/>
    <s v="Y"/>
    <x v="6"/>
    <x v="0"/>
  </r>
  <r>
    <s v="17/0788/FUL"/>
    <x v="0"/>
    <x v="0"/>
    <x v="89"/>
    <d v="2021-01-08T00:00:00"/>
    <d v="2021-01-07T00:00:00"/>
    <m/>
    <x v="1"/>
    <x v="0"/>
    <x v="0"/>
    <m/>
    <x v="3"/>
    <s v="Demolition of lock up garages to provide 1 no. detached 4 bedroom dwellinghouse with associated parking, cycle and refuse stores, new boundary fence and hard and soft landscaping."/>
    <s v="High Wigsell, 35 Twickenham Road, Teddington_x000a__x000a_"/>
    <s v="TW11"/>
    <m/>
    <m/>
    <m/>
    <m/>
    <m/>
    <m/>
    <m/>
    <m/>
    <m/>
    <n v="0"/>
    <m/>
    <m/>
    <m/>
    <m/>
    <n v="1"/>
    <m/>
    <m/>
    <m/>
    <m/>
    <n v="1"/>
    <n v="0"/>
    <n v="0"/>
    <n v="0"/>
    <n v="1"/>
    <n v="0"/>
    <n v="0"/>
    <n v="0"/>
    <n v="0"/>
    <n v="1"/>
    <x v="1"/>
    <m/>
    <m/>
    <n v="0.5"/>
    <n v="0.5"/>
    <m/>
    <m/>
    <m/>
    <m/>
    <m/>
    <m/>
    <m/>
    <m/>
    <m/>
    <m/>
    <m/>
    <m/>
    <m/>
    <n v="1"/>
    <n v="1"/>
    <s v="N"/>
    <s v="N"/>
    <s v="N"/>
    <n v="516399"/>
    <n v="171470"/>
    <x v="1"/>
    <x v="16"/>
    <x v="0"/>
    <x v="0"/>
    <m/>
    <x v="1"/>
    <x v="0"/>
    <m/>
    <x v="0"/>
    <s v="Y"/>
    <x v="6"/>
    <x v="0"/>
  </r>
  <r>
    <s v="17/1390/FUL"/>
    <x v="0"/>
    <x v="0"/>
    <x v="90"/>
    <d v="2022-05-14T00:00:00"/>
    <d v="2022-03-01T00:00:00"/>
    <m/>
    <x v="1"/>
    <x v="0"/>
    <x v="0"/>
    <m/>
    <x v="3"/>
    <s v="Demolition of builders storage building and erection of one bedroomed  2 storey detached dwellinghouse with basement."/>
    <s v="Land Adjacent To No 1 South Western Road, Twickenham_x000a__x000a_"/>
    <s v="TW1 1LG"/>
    <m/>
    <m/>
    <m/>
    <m/>
    <m/>
    <m/>
    <m/>
    <m/>
    <m/>
    <n v="0"/>
    <m/>
    <n v="1"/>
    <m/>
    <m/>
    <m/>
    <m/>
    <m/>
    <m/>
    <m/>
    <n v="1"/>
    <n v="1"/>
    <n v="0"/>
    <n v="0"/>
    <n v="0"/>
    <n v="0"/>
    <n v="0"/>
    <n v="0"/>
    <n v="0"/>
    <n v="1"/>
    <x v="1"/>
    <m/>
    <n v="1"/>
    <m/>
    <m/>
    <m/>
    <m/>
    <m/>
    <m/>
    <m/>
    <m/>
    <m/>
    <m/>
    <m/>
    <m/>
    <m/>
    <m/>
    <m/>
    <n v="1"/>
    <n v="1"/>
    <s v="N"/>
    <s v="N"/>
    <s v="N"/>
    <n v="516598"/>
    <n v="174330"/>
    <x v="4"/>
    <x v="5"/>
    <x v="0"/>
    <x v="0"/>
    <m/>
    <x v="1"/>
    <x v="0"/>
    <m/>
    <x v="0"/>
    <s v="Y"/>
    <x v="4"/>
    <x v="0"/>
  </r>
  <r>
    <s v="17/3590/FUL"/>
    <x v="0"/>
    <x v="0"/>
    <x v="91"/>
    <d v="2021-07-26T00:00:00"/>
    <d v="2021-07-23T00:00:00"/>
    <m/>
    <x v="1"/>
    <x v="0"/>
    <x v="0"/>
    <m/>
    <x v="3"/>
    <s v="Demolition of the existing garages. Erection of 1 x 2 bed single storey house and 1 x 3 bed single storey house with basement with associated hard and soft landscaping, refuse and cycle stores."/>
    <s v="Garages Rear Of 48-52 Anlaby Road, Teddington_x000a__x000a_"/>
    <s v="TW11 0PP"/>
    <m/>
    <m/>
    <m/>
    <m/>
    <m/>
    <m/>
    <m/>
    <m/>
    <m/>
    <n v="0"/>
    <m/>
    <m/>
    <n v="1"/>
    <n v="1"/>
    <m/>
    <m/>
    <m/>
    <m/>
    <m/>
    <n v="2"/>
    <n v="0"/>
    <n v="1"/>
    <n v="1"/>
    <n v="0"/>
    <n v="0"/>
    <n v="0"/>
    <n v="0"/>
    <n v="0"/>
    <n v="2"/>
    <x v="1"/>
    <m/>
    <m/>
    <n v="1"/>
    <n v="1"/>
    <m/>
    <m/>
    <m/>
    <m/>
    <m/>
    <m/>
    <m/>
    <m/>
    <m/>
    <m/>
    <m/>
    <m/>
    <m/>
    <n v="2"/>
    <n v="2"/>
    <s v="N"/>
    <s v="N"/>
    <s v="N"/>
    <n v="514975"/>
    <n v="171285"/>
    <x v="1"/>
    <x v="14"/>
    <x v="0"/>
    <x v="0"/>
    <m/>
    <x v="1"/>
    <x v="0"/>
    <m/>
    <x v="0"/>
    <s v="Y"/>
    <x v="6"/>
    <x v="0"/>
  </r>
  <r>
    <s v="18/0216/FUL"/>
    <x v="2"/>
    <x v="0"/>
    <x v="92"/>
    <d v="2021-12-05T00:00:00"/>
    <d v="2019-11-11T00:00:00"/>
    <m/>
    <x v="1"/>
    <x v="0"/>
    <x v="0"/>
    <m/>
    <x v="3"/>
    <s v="The division of the existing single dwelling on the upper floors into two dwellings. Rear dormer and roof lights to the front roofslope."/>
    <s v="34 Colston Road, East Sheen SW14 7PG"/>
    <s v="SW14 7PG"/>
    <m/>
    <m/>
    <m/>
    <m/>
    <n v="1"/>
    <m/>
    <m/>
    <m/>
    <m/>
    <n v="1"/>
    <m/>
    <n v="1"/>
    <m/>
    <n v="1"/>
    <m/>
    <m/>
    <m/>
    <m/>
    <m/>
    <n v="2"/>
    <n v="1"/>
    <n v="0"/>
    <n v="1"/>
    <n v="-1"/>
    <n v="0"/>
    <n v="0"/>
    <n v="0"/>
    <n v="0"/>
    <n v="1"/>
    <x v="1"/>
    <m/>
    <m/>
    <n v="1"/>
    <m/>
    <m/>
    <m/>
    <m/>
    <m/>
    <m/>
    <m/>
    <m/>
    <m/>
    <m/>
    <m/>
    <m/>
    <m/>
    <m/>
    <n v="1"/>
    <n v="1"/>
    <s v="N"/>
    <s v="N"/>
    <s v="N"/>
    <n v="520283"/>
    <n v="175305"/>
    <x v="3"/>
    <x v="12"/>
    <x v="2"/>
    <x v="0"/>
    <m/>
    <x v="1"/>
    <x v="0"/>
    <m/>
    <x v="0"/>
    <s v="Y"/>
    <x v="7"/>
    <x v="0"/>
  </r>
  <r>
    <s v="18/1248/FUL"/>
    <x v="1"/>
    <x v="0"/>
    <x v="93"/>
    <d v="2021-12-21T00:00:00"/>
    <d v="2020-09-01T00:00:00"/>
    <m/>
    <x v="1"/>
    <x v="0"/>
    <x v="0"/>
    <m/>
    <x v="3"/>
    <s v="Conversion, refurbishment and extension of existing tyre shop with maisonette above (C3) into two self-contained one bedroom flats (C3)."/>
    <s v="1 Trinity Road, Richmond TW9 2LD"/>
    <s v="TW9 2LD"/>
    <m/>
    <n v="1"/>
    <m/>
    <m/>
    <m/>
    <m/>
    <m/>
    <m/>
    <m/>
    <n v="1"/>
    <m/>
    <n v="2"/>
    <m/>
    <m/>
    <m/>
    <m/>
    <m/>
    <m/>
    <m/>
    <n v="2"/>
    <n v="1"/>
    <n v="0"/>
    <n v="0"/>
    <n v="0"/>
    <n v="0"/>
    <n v="0"/>
    <n v="0"/>
    <n v="0"/>
    <n v="1"/>
    <x v="1"/>
    <m/>
    <m/>
    <n v="1"/>
    <m/>
    <m/>
    <m/>
    <m/>
    <m/>
    <m/>
    <m/>
    <m/>
    <m/>
    <m/>
    <m/>
    <m/>
    <m/>
    <m/>
    <n v="1"/>
    <n v="1"/>
    <s v="N"/>
    <s v="N"/>
    <s v="N"/>
    <n v="518862"/>
    <n v="175562"/>
    <x v="5"/>
    <x v="8"/>
    <x v="0"/>
    <x v="0"/>
    <m/>
    <x v="1"/>
    <x v="0"/>
    <m/>
    <x v="0"/>
    <s v="Y"/>
    <x v="5"/>
    <x v="0"/>
  </r>
  <r>
    <s v="18/3310/FUL"/>
    <x v="0"/>
    <x v="0"/>
    <x v="94"/>
    <d v="2023-09-16T00:00:00"/>
    <d v="2023-09-12T00:00:00"/>
    <m/>
    <x v="1"/>
    <x v="0"/>
    <x v="0"/>
    <m/>
    <x v="3"/>
    <s v="Demolition of existing buildings and structures, and redevelopment of the site to provide a 4-6 storey specialist extra care facility for the elderly with existing health conditions, comprising of 88 units, communal healthcare, therapy, leisure and social"/>
    <s v="Kew Biothane Plant, Melliss Avenue, Kew_x000a__x000a_"/>
    <s v="TW9"/>
    <m/>
    <m/>
    <m/>
    <m/>
    <m/>
    <m/>
    <m/>
    <m/>
    <m/>
    <n v="0"/>
    <m/>
    <n v="13"/>
    <n v="75"/>
    <m/>
    <m/>
    <m/>
    <m/>
    <m/>
    <m/>
    <n v="88"/>
    <n v="13"/>
    <n v="75"/>
    <n v="0"/>
    <n v="0"/>
    <n v="0"/>
    <n v="0"/>
    <n v="0"/>
    <n v="0"/>
    <n v="88"/>
    <x v="1"/>
    <m/>
    <m/>
    <m/>
    <n v="44"/>
    <n v="44"/>
    <m/>
    <m/>
    <m/>
    <m/>
    <m/>
    <m/>
    <m/>
    <m/>
    <m/>
    <m/>
    <m/>
    <m/>
    <n v="88"/>
    <n v="88"/>
    <s v="Y"/>
    <s v="Y"/>
    <s v="N"/>
    <n v="519778"/>
    <n v="176914"/>
    <x v="5"/>
    <x v="15"/>
    <x v="0"/>
    <x v="1"/>
    <m/>
    <x v="1"/>
    <x v="5"/>
    <m/>
    <x v="0"/>
    <s v="Y"/>
    <x v="8"/>
    <x v="0"/>
  </r>
  <r>
    <s v="18/3768/FUL"/>
    <x v="1"/>
    <x v="0"/>
    <x v="95"/>
    <d v="2022-03-26T00:00:00"/>
    <d v="2020-01-13T00:00:00"/>
    <m/>
    <x v="1"/>
    <x v="0"/>
    <x v="1"/>
    <m/>
    <x v="3"/>
    <s v="Demolition of two existing workshop buildings. Change of use from current vacant B1 use to C3. Construction of 2No. semi-detached 5-bedroom family houses consisting of 2 storeys plus loft space with integral garaging.  Associated hard &amp; soft landscaping t"/>
    <s v="58 Oldfield Road, Hampton TW12 2AE"/>
    <s v="TW12 2AE"/>
    <m/>
    <m/>
    <m/>
    <m/>
    <m/>
    <m/>
    <m/>
    <m/>
    <m/>
    <n v="0"/>
    <m/>
    <m/>
    <m/>
    <m/>
    <m/>
    <n v="2"/>
    <m/>
    <m/>
    <m/>
    <n v="2"/>
    <n v="0"/>
    <n v="0"/>
    <n v="0"/>
    <n v="0"/>
    <n v="2"/>
    <n v="0"/>
    <n v="0"/>
    <n v="0"/>
    <n v="2"/>
    <x v="1"/>
    <m/>
    <m/>
    <m/>
    <n v="1"/>
    <n v="1"/>
    <m/>
    <m/>
    <m/>
    <m/>
    <m/>
    <m/>
    <m/>
    <m/>
    <m/>
    <m/>
    <m/>
    <m/>
    <n v="2"/>
    <n v="2"/>
    <s v="N"/>
    <s v="N"/>
    <s v="N"/>
    <n v="513264"/>
    <n v="169738"/>
    <x v="1"/>
    <x v="2"/>
    <x v="0"/>
    <x v="0"/>
    <m/>
    <x v="1"/>
    <x v="0"/>
    <m/>
    <x v="0"/>
    <s v="Y"/>
    <x v="1"/>
    <x v="0"/>
  </r>
  <r>
    <s v="18/3930/FUL"/>
    <x v="0"/>
    <x v="0"/>
    <x v="96"/>
    <d v="2022-10-17T00:00:00"/>
    <d v="2022-09-07T00:00:00"/>
    <m/>
    <x v="1"/>
    <x v="0"/>
    <x v="0"/>
    <m/>
    <x v="3"/>
    <s v="Demolition of existing garage and erection of 1No. 2 storey with habitable roofspace 4 bed dwelling with associated hard and soft landscaping. Alterations to existing crossover and creation of a new crossover in front of No.38 Langham Road to facilitate p"/>
    <s v="38 Langham Road, Teddington TW11 9HQ"/>
    <s v="TW11 9HQ"/>
    <m/>
    <m/>
    <m/>
    <m/>
    <m/>
    <m/>
    <m/>
    <m/>
    <m/>
    <n v="0"/>
    <m/>
    <m/>
    <m/>
    <m/>
    <n v="1"/>
    <m/>
    <m/>
    <m/>
    <m/>
    <n v="1"/>
    <n v="0"/>
    <n v="0"/>
    <n v="0"/>
    <n v="1"/>
    <n v="0"/>
    <n v="0"/>
    <n v="0"/>
    <n v="0"/>
    <n v="1"/>
    <x v="1"/>
    <m/>
    <n v="1"/>
    <m/>
    <m/>
    <m/>
    <m/>
    <m/>
    <m/>
    <m/>
    <m/>
    <m/>
    <m/>
    <m/>
    <m/>
    <m/>
    <m/>
    <m/>
    <n v="1"/>
    <n v="1"/>
    <s v="N"/>
    <s v="N"/>
    <s v="N"/>
    <n v="516550"/>
    <n v="171027"/>
    <x v="1"/>
    <x v="11"/>
    <x v="0"/>
    <x v="0"/>
    <m/>
    <x v="1"/>
    <x v="0"/>
    <m/>
    <x v="0"/>
    <s v="Y"/>
    <x v="6"/>
    <x v="1"/>
  </r>
  <r>
    <s v="18/3950/FUL"/>
    <x v="1"/>
    <x v="0"/>
    <x v="97"/>
    <d v="2022-07-15T00:00:00"/>
    <d v="2021-02-22T00:00:00"/>
    <m/>
    <x v="1"/>
    <x v="5"/>
    <x v="0"/>
    <m/>
    <x v="3"/>
    <s v="(1) Conversion of the existing health facilities (use class D1) to a mixed-use development providing 71 no. residential apartments (use class C3) and 500 sqm of D1 (Health) floorspace.  _x000a_(2) Restoration, alteration, extensions and demolition (mainly of later additions) to the existing buildings, new build and provision of a lower ground floor basement (car parking, plant and servicing) and associated landscaping._x000a_(3) Listed building consent for the refurbishment and restoration of Shaftesbury House (Grade II listed), conversion of existing health facilities (use class D1) to residential apartments (use class C3) and all ancillary and associated works."/>
    <s v="Richmond Royal Hospital, Kew Foot Road, Richmond, TW9 2TE_x000a_"/>
    <s v="TW9 2TE"/>
    <m/>
    <m/>
    <m/>
    <m/>
    <m/>
    <m/>
    <m/>
    <m/>
    <m/>
    <n v="0"/>
    <s v="Y"/>
    <n v="7"/>
    <n v="3"/>
    <n v="1"/>
    <m/>
    <m/>
    <m/>
    <m/>
    <m/>
    <n v="11"/>
    <n v="7"/>
    <n v="3"/>
    <n v="1"/>
    <n v="0"/>
    <n v="0"/>
    <n v="0"/>
    <n v="0"/>
    <n v="0"/>
    <n v="11"/>
    <x v="1"/>
    <m/>
    <m/>
    <n v="5.5"/>
    <n v="5.5"/>
    <m/>
    <m/>
    <m/>
    <m/>
    <m/>
    <m/>
    <m/>
    <m/>
    <m/>
    <m/>
    <m/>
    <m/>
    <m/>
    <n v="11"/>
    <n v="11"/>
    <s v="N"/>
    <s v="N"/>
    <s v="N"/>
    <n v="518144"/>
    <n v="175553"/>
    <x v="5"/>
    <x v="8"/>
    <x v="0"/>
    <x v="0"/>
    <m/>
    <x v="1"/>
    <x v="0"/>
    <s v="CA36 Kew Foot Road"/>
    <x v="1"/>
    <s v="Y"/>
    <x v="5"/>
    <x v="0"/>
  </r>
  <r>
    <s v="18/3950/FUL"/>
    <x v="1"/>
    <x v="0"/>
    <x v="97"/>
    <d v="2022-07-15T00:00:00"/>
    <d v="2021-02-22T00:00:00"/>
    <m/>
    <x v="1"/>
    <x v="6"/>
    <x v="0"/>
    <m/>
    <x v="3"/>
    <s v="(1) Conversion of the existing health facilities (use class D1) to a mixed-use development providing 71 no. residential apartments (use class C3) and 500 sqm of D1 (Health) floorspace.  _x000a_(2) Restoration, alteration, extensions and demolition (mainly of later additions) to the existing buildings, new build and provision of a lower ground floor basement (car parking, plant and servicing) and associated landscaping._x000a_(3) Listed building consent for the refurbishment and restoration of Shaftesbury House (Grade II listed), conversion of existing health facilities (use class D1) to residential apartments (use class C3) and all ancillary and associated works."/>
    <s v="Richmond Royal Hospital, Kew Foot Road, Richmond, TW9 2TE_x000a_"/>
    <s v="TW9 2TE"/>
    <m/>
    <m/>
    <m/>
    <m/>
    <m/>
    <m/>
    <m/>
    <m/>
    <m/>
    <n v="0"/>
    <s v="Y"/>
    <n v="4"/>
    <m/>
    <m/>
    <m/>
    <m/>
    <m/>
    <m/>
    <m/>
    <n v="4"/>
    <n v="4"/>
    <n v="0"/>
    <n v="0"/>
    <n v="0"/>
    <n v="0"/>
    <n v="0"/>
    <n v="0"/>
    <n v="0"/>
    <n v="4"/>
    <x v="1"/>
    <m/>
    <m/>
    <n v="2"/>
    <n v="2"/>
    <m/>
    <m/>
    <m/>
    <m/>
    <m/>
    <m/>
    <m/>
    <m/>
    <m/>
    <m/>
    <m/>
    <m/>
    <m/>
    <n v="4"/>
    <n v="4"/>
    <s v="N"/>
    <s v="N"/>
    <s v="N"/>
    <n v="518144"/>
    <n v="175553"/>
    <x v="5"/>
    <x v="8"/>
    <x v="0"/>
    <x v="0"/>
    <m/>
    <x v="1"/>
    <x v="0"/>
    <s v="CA36 Kew Foot Road"/>
    <x v="1"/>
    <s v="Y"/>
    <x v="5"/>
    <x v="0"/>
  </r>
  <r>
    <s v="18/3950/FUL"/>
    <x v="1"/>
    <x v="0"/>
    <x v="97"/>
    <d v="2022-07-15T00:00:00"/>
    <d v="2021-02-22T00:00:00"/>
    <m/>
    <x v="1"/>
    <x v="0"/>
    <x v="0"/>
    <m/>
    <x v="3"/>
    <s v="(1) Conversion of the existing health facilities (use class D1) to a mixed-use development providing 71 no. residential apartments (use class C3) and 500 sqm of D1 (Health) floorspace.  _x000a_(2) Restoration, alteration, extensions and demolition (mainly of later additions) to the existing buildings, new build and provision of a lower ground floor basement (car parking, plant and servicing) and associated landscaping._x000a_(3) Listed building consent for the refurbishment and restoration of Shaftesbury House (Grade II listed), conversion of existing health facilities (use class D1) to residential apartments (use class C3) and all ancillary and associated works."/>
    <s v="Richmond Royal Hospital, Kew Foot Road, Richmond, TW9 2TE_x000a_"/>
    <s v="TW9 2TE"/>
    <m/>
    <m/>
    <m/>
    <m/>
    <m/>
    <m/>
    <m/>
    <m/>
    <m/>
    <n v="0"/>
    <m/>
    <n v="22"/>
    <n v="30"/>
    <n v="2"/>
    <n v="2"/>
    <m/>
    <m/>
    <m/>
    <m/>
    <n v="56"/>
    <n v="22"/>
    <n v="30"/>
    <n v="2"/>
    <n v="2"/>
    <n v="0"/>
    <n v="0"/>
    <n v="0"/>
    <n v="0"/>
    <n v="56"/>
    <x v="1"/>
    <m/>
    <m/>
    <n v="28"/>
    <n v="28"/>
    <m/>
    <m/>
    <m/>
    <m/>
    <m/>
    <m/>
    <m/>
    <m/>
    <m/>
    <m/>
    <m/>
    <m/>
    <m/>
    <n v="56"/>
    <n v="56"/>
    <s v="N"/>
    <s v="N"/>
    <s v="N"/>
    <n v="518144"/>
    <n v="175553"/>
    <x v="5"/>
    <x v="8"/>
    <x v="0"/>
    <x v="0"/>
    <m/>
    <x v="1"/>
    <x v="0"/>
    <s v="CA36 Kew Foot Road"/>
    <x v="1"/>
    <s v="Y"/>
    <x v="5"/>
    <x v="0"/>
  </r>
  <r>
    <s v="19/0111/FUL"/>
    <x v="4"/>
    <x v="0"/>
    <x v="98"/>
    <d v="2022-12-12T00:00:00"/>
    <d v="2020-03-30T00:00:00"/>
    <m/>
    <x v="1"/>
    <x v="1"/>
    <x v="0"/>
    <m/>
    <x v="3"/>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 Lower Teddington Road, Hampton Wick_x000a__x000a_"/>
    <s v="KT1"/>
    <m/>
    <m/>
    <m/>
    <m/>
    <m/>
    <m/>
    <m/>
    <m/>
    <m/>
    <n v="0"/>
    <s v="Y"/>
    <n v="3"/>
    <n v="3"/>
    <m/>
    <m/>
    <m/>
    <m/>
    <m/>
    <m/>
    <n v="6"/>
    <n v="3"/>
    <n v="3"/>
    <n v="0"/>
    <n v="0"/>
    <n v="0"/>
    <n v="0"/>
    <n v="0"/>
    <n v="0"/>
    <n v="6"/>
    <x v="1"/>
    <m/>
    <n v="3"/>
    <n v="3"/>
    <m/>
    <m/>
    <m/>
    <m/>
    <m/>
    <m/>
    <m/>
    <m/>
    <m/>
    <m/>
    <m/>
    <m/>
    <m/>
    <m/>
    <n v="6"/>
    <n v="6"/>
    <s v="N"/>
    <s v="N"/>
    <s v="N"/>
    <n v="517598"/>
    <n v="169722"/>
    <x v="1"/>
    <x v="11"/>
    <x v="0"/>
    <x v="0"/>
    <m/>
    <x v="1"/>
    <x v="0"/>
    <s v="CA18 Hampton Wick"/>
    <x v="1"/>
    <s v="Y"/>
    <x v="6"/>
    <x v="0"/>
  </r>
  <r>
    <s v="19/0111/FUL"/>
    <x v="4"/>
    <x v="0"/>
    <x v="98"/>
    <d v="2022-12-12T00:00:00"/>
    <d v="2020-03-30T00:00:00"/>
    <m/>
    <x v="1"/>
    <x v="0"/>
    <x v="0"/>
    <m/>
    <x v="3"/>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 Lower Teddington Road, Hampton Wick_x000a__x000a_"/>
    <s v="KT1"/>
    <m/>
    <n v="7"/>
    <m/>
    <m/>
    <m/>
    <m/>
    <m/>
    <m/>
    <m/>
    <n v="7"/>
    <m/>
    <n v="2"/>
    <n v="4"/>
    <m/>
    <m/>
    <m/>
    <m/>
    <m/>
    <m/>
    <n v="6"/>
    <n v="-5"/>
    <n v="4"/>
    <n v="0"/>
    <n v="0"/>
    <n v="0"/>
    <n v="0"/>
    <n v="0"/>
    <n v="0"/>
    <n v="-1"/>
    <x v="1"/>
    <m/>
    <n v="-0.5"/>
    <n v="-0.5"/>
    <m/>
    <m/>
    <m/>
    <m/>
    <m/>
    <m/>
    <m/>
    <m/>
    <m/>
    <m/>
    <m/>
    <m/>
    <m/>
    <m/>
    <n v="-1"/>
    <n v="-1"/>
    <s v="N"/>
    <s v="N"/>
    <s v="N"/>
    <n v="517598"/>
    <n v="169722"/>
    <x v="1"/>
    <x v="11"/>
    <x v="0"/>
    <x v="0"/>
    <m/>
    <x v="1"/>
    <x v="0"/>
    <s v="CA18 Hampton Wick"/>
    <x v="1"/>
    <s v="Y"/>
    <x v="6"/>
    <x v="0"/>
  </r>
  <r>
    <s v="19/0175/FUL"/>
    <x v="0"/>
    <x v="0"/>
    <x v="99"/>
    <d v="2022-05-09T00:00:00"/>
    <d v="2020-11-20T00:00:00"/>
    <m/>
    <x v="1"/>
    <x v="0"/>
    <x v="0"/>
    <m/>
    <x v="3"/>
    <s v="Demolition of existing one-bedroom, two-storey dwelling and construction of one-bedroom, one-person single-storey dwelling."/>
    <s v="The Haven, Eel Pie Island, Twickenham TW1 3DY"/>
    <s v="TW1 3DY"/>
    <m/>
    <n v="1"/>
    <m/>
    <m/>
    <m/>
    <m/>
    <m/>
    <m/>
    <m/>
    <n v="1"/>
    <m/>
    <n v="1"/>
    <m/>
    <m/>
    <m/>
    <m/>
    <m/>
    <m/>
    <m/>
    <n v="1"/>
    <n v="0"/>
    <n v="0"/>
    <n v="0"/>
    <n v="0"/>
    <n v="0"/>
    <n v="0"/>
    <n v="0"/>
    <n v="0"/>
    <n v="0"/>
    <x v="1"/>
    <m/>
    <n v="0"/>
    <m/>
    <m/>
    <m/>
    <m/>
    <m/>
    <m/>
    <m/>
    <m/>
    <m/>
    <m/>
    <m/>
    <m/>
    <m/>
    <m/>
    <m/>
    <n v="0"/>
    <n v="0"/>
    <s v="N"/>
    <s v="N"/>
    <s v="N"/>
    <n v="516414"/>
    <n v="173065"/>
    <x v="4"/>
    <x v="6"/>
    <x v="0"/>
    <x v="1"/>
    <m/>
    <x v="1"/>
    <x v="0"/>
    <s v="CA8 Twickenham Riverside"/>
    <x v="1"/>
    <s v="Y"/>
    <x v="4"/>
    <x v="0"/>
  </r>
  <r>
    <s v="19/0911/FUL"/>
    <x v="3"/>
    <x v="0"/>
    <x v="100"/>
    <d v="2023-02-05T00:00:00"/>
    <d v="2023-02-03T00:00:00"/>
    <m/>
    <x v="1"/>
    <x v="0"/>
    <x v="0"/>
    <m/>
    <x v="3"/>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m/>
    <n v="0"/>
    <m/>
    <m/>
    <n v="2"/>
    <m/>
    <m/>
    <m/>
    <m/>
    <m/>
    <m/>
    <n v="2"/>
    <n v="0"/>
    <n v="2"/>
    <n v="0"/>
    <n v="0"/>
    <n v="0"/>
    <n v="0"/>
    <n v="0"/>
    <n v="0"/>
    <n v="2"/>
    <x v="1"/>
    <m/>
    <n v="1"/>
    <n v="1"/>
    <m/>
    <m/>
    <m/>
    <m/>
    <m/>
    <m/>
    <m/>
    <m/>
    <m/>
    <m/>
    <m/>
    <m/>
    <m/>
    <m/>
    <n v="2"/>
    <n v="2"/>
    <s v="N"/>
    <s v="N"/>
    <s v="N"/>
    <n v="517543"/>
    <n v="169767"/>
    <x v="1"/>
    <x v="11"/>
    <x v="0"/>
    <x v="0"/>
    <m/>
    <x v="1"/>
    <x v="0"/>
    <m/>
    <x v="0"/>
    <s v="Y"/>
    <x v="6"/>
    <x v="0"/>
  </r>
  <r>
    <s v="19/0954/VRC"/>
    <x v="0"/>
    <x v="0"/>
    <x v="101"/>
    <d v="2022-10-16T00:00:00"/>
    <d v="2021-07-06T00:00:00"/>
    <m/>
    <x v="1"/>
    <x v="0"/>
    <x v="0"/>
    <m/>
    <x v="3"/>
    <s v="Minor material amendment to application ref 16/3290/FUL (Partial demolition of an existing building and the creation of 3 new dwelling houses and associated works) by variation of appeal decision condition 2 (approved drawing numbers) to allow for externa"/>
    <s v="45 The Vineyard, Richmond TW10 6AS_x000a_"/>
    <s v="TW10 6AS"/>
    <m/>
    <m/>
    <n v="2"/>
    <n v="1"/>
    <m/>
    <m/>
    <m/>
    <m/>
    <m/>
    <n v="3"/>
    <m/>
    <m/>
    <m/>
    <m/>
    <n v="3"/>
    <m/>
    <m/>
    <m/>
    <m/>
    <n v="3"/>
    <n v="0"/>
    <n v="-2"/>
    <n v="-1"/>
    <n v="3"/>
    <n v="0"/>
    <n v="0"/>
    <n v="0"/>
    <n v="0"/>
    <n v="0"/>
    <x v="1"/>
    <m/>
    <n v="0"/>
    <m/>
    <m/>
    <m/>
    <m/>
    <m/>
    <m/>
    <m/>
    <m/>
    <m/>
    <m/>
    <m/>
    <m/>
    <m/>
    <m/>
    <m/>
    <n v="0"/>
    <n v="0"/>
    <s v="N"/>
    <s v="N"/>
    <s v="N"/>
    <n v="518209"/>
    <n v="174625"/>
    <x v="5"/>
    <x v="10"/>
    <x v="0"/>
    <x v="0"/>
    <m/>
    <x v="1"/>
    <x v="0"/>
    <s v="CA30 St Matthias Richmond"/>
    <x v="1"/>
    <s v="Y"/>
    <x v="5"/>
    <x v="0"/>
  </r>
  <r>
    <s v="19/1065/VRC"/>
    <x v="0"/>
    <x v="0"/>
    <x v="102"/>
    <d v="2022-07-10T00:00:00"/>
    <d v="2020-05-21T00:00:00"/>
    <m/>
    <x v="1"/>
    <x v="0"/>
    <x v="0"/>
    <m/>
    <x v="3"/>
    <s v="Minor material amendment to planning permission 17/4358/VRC (which varied/removed approved conditions attached to planning permission ref: 08/1760/EXT dated 30.06.2017) and as further amended by 17/4358/NMA to enable minor changes to Block A of the staff"/>
    <s v="St Pauls School, Lonsdale Road, Barnes SW13 9JT_x000a_"/>
    <s v="SW13 9JT"/>
    <m/>
    <n v="8"/>
    <n v="2"/>
    <n v="4"/>
    <n v="2"/>
    <m/>
    <m/>
    <m/>
    <m/>
    <n v="16"/>
    <m/>
    <n v="7"/>
    <n v="5"/>
    <n v="6"/>
    <m/>
    <m/>
    <m/>
    <m/>
    <m/>
    <n v="18"/>
    <n v="-1"/>
    <n v="3"/>
    <n v="2"/>
    <n v="-2"/>
    <n v="0"/>
    <n v="0"/>
    <n v="0"/>
    <n v="0"/>
    <n v="2"/>
    <x v="1"/>
    <m/>
    <n v="1"/>
    <n v="1"/>
    <m/>
    <m/>
    <m/>
    <m/>
    <m/>
    <m/>
    <m/>
    <m/>
    <m/>
    <m/>
    <m/>
    <m/>
    <m/>
    <m/>
    <n v="2"/>
    <n v="2"/>
    <s v="N"/>
    <s v="N"/>
    <s v="N"/>
    <n v="522473"/>
    <n v="178000"/>
    <x v="3"/>
    <x v="4"/>
    <x v="0"/>
    <x v="1"/>
    <m/>
    <x v="1"/>
    <x v="0"/>
    <m/>
    <x v="0"/>
    <s v="Y"/>
    <x v="3"/>
    <x v="2"/>
  </r>
  <r>
    <s v="19/1162/FUL"/>
    <x v="4"/>
    <x v="0"/>
    <x v="103"/>
    <d v="2023-03-20T00:00:00"/>
    <d v="2020-10-01T00:00:00"/>
    <m/>
    <x v="1"/>
    <x v="0"/>
    <x v="0"/>
    <m/>
    <x v="3"/>
    <s v="Part change of use of ground floor and rear garden from A1 to C3 (residential use) and replacement window on ground floor rear elevation to facilitate the conversion of existing 1 x 3 bed flat into 2 x 2 bed flats and associated cycle and refuse stores (R"/>
    <s v="82 - 84 Hill Rise, Richmond_x000a__x000a_"/>
    <s v="TW10 6UB"/>
    <m/>
    <m/>
    <m/>
    <n v="1"/>
    <m/>
    <m/>
    <m/>
    <m/>
    <m/>
    <n v="1"/>
    <m/>
    <m/>
    <n v="2"/>
    <m/>
    <m/>
    <m/>
    <m/>
    <m/>
    <m/>
    <n v="2"/>
    <n v="0"/>
    <n v="2"/>
    <n v="-1"/>
    <n v="0"/>
    <n v="0"/>
    <n v="0"/>
    <n v="0"/>
    <n v="0"/>
    <n v="1"/>
    <x v="1"/>
    <m/>
    <n v="0.5"/>
    <n v="0.5"/>
    <m/>
    <m/>
    <m/>
    <m/>
    <m/>
    <m/>
    <m/>
    <m/>
    <m/>
    <m/>
    <m/>
    <m/>
    <m/>
    <m/>
    <n v="1"/>
    <n v="1"/>
    <s v="N"/>
    <s v="N"/>
    <s v="N"/>
    <n v="517949"/>
    <n v="174506"/>
    <x v="5"/>
    <x v="10"/>
    <x v="1"/>
    <x v="0"/>
    <m/>
    <x v="1"/>
    <x v="0"/>
    <s v="CA5 Richmond Hill"/>
    <x v="1"/>
    <s v="Y"/>
    <x v="5"/>
    <x v="0"/>
  </r>
  <r>
    <s v="19/1731/FUL"/>
    <x v="0"/>
    <x v="0"/>
    <x v="104"/>
    <d v="2022-08-21T00:00:00"/>
    <d v="2022-09-01T00:00:00"/>
    <m/>
    <x v="1"/>
    <x v="0"/>
    <x v="0"/>
    <m/>
    <x v="3"/>
    <s v="Demolition of existing dwellinghouse and erection of replacement two storey 4 bedroom dwellinghouse with associated hard and soft landscaping and cycle and refuse store. Replacement boundary fence/gates."/>
    <s v="17A Tower Road, Twickenham TW1 4PD"/>
    <s v="TW1 4PD"/>
    <m/>
    <m/>
    <n v="1"/>
    <m/>
    <m/>
    <m/>
    <m/>
    <m/>
    <m/>
    <n v="1"/>
    <m/>
    <m/>
    <m/>
    <m/>
    <n v="1"/>
    <m/>
    <m/>
    <m/>
    <m/>
    <n v="1"/>
    <n v="0"/>
    <n v="-1"/>
    <n v="0"/>
    <n v="1"/>
    <n v="0"/>
    <n v="0"/>
    <n v="0"/>
    <n v="0"/>
    <n v="0"/>
    <x v="1"/>
    <m/>
    <n v="0"/>
    <m/>
    <m/>
    <m/>
    <m/>
    <m/>
    <m/>
    <m/>
    <m/>
    <m/>
    <m/>
    <m/>
    <m/>
    <m/>
    <m/>
    <m/>
    <n v="0"/>
    <n v="0"/>
    <s v="N"/>
    <s v="N"/>
    <s v="N"/>
    <n v="515806"/>
    <n v="172455"/>
    <x v="4"/>
    <x v="7"/>
    <x v="0"/>
    <x v="0"/>
    <m/>
    <x v="1"/>
    <x v="0"/>
    <m/>
    <x v="0"/>
    <s v="Y"/>
    <x v="4"/>
    <x v="0"/>
  </r>
  <r>
    <s v="19/1890/FUL"/>
    <x v="0"/>
    <x v="0"/>
    <x v="105"/>
    <d v="2023-06-08T00:00:00"/>
    <d v="2022-04-16T00:00:00"/>
    <m/>
    <x v="1"/>
    <x v="0"/>
    <x v="0"/>
    <m/>
    <x v="3"/>
    <s v="Erection of two pairs of semi-detached 4 bedroom dwellings and associated parking and landscaping following the demolition of the existing property."/>
    <s v="224 Hospital Bridge Road, Twickenham TW2 6LF"/>
    <s v="TW2 6LF"/>
    <m/>
    <m/>
    <m/>
    <n v="1"/>
    <m/>
    <m/>
    <m/>
    <m/>
    <m/>
    <n v="1"/>
    <m/>
    <m/>
    <m/>
    <m/>
    <n v="4"/>
    <m/>
    <m/>
    <m/>
    <m/>
    <n v="4"/>
    <n v="0"/>
    <n v="0"/>
    <n v="-1"/>
    <n v="4"/>
    <n v="0"/>
    <n v="0"/>
    <n v="0"/>
    <n v="0"/>
    <n v="3"/>
    <x v="1"/>
    <m/>
    <n v="3"/>
    <m/>
    <m/>
    <m/>
    <m/>
    <m/>
    <m/>
    <m/>
    <m/>
    <m/>
    <m/>
    <m/>
    <m/>
    <m/>
    <m/>
    <m/>
    <n v="3"/>
    <n v="3"/>
    <s v="N"/>
    <s v="N"/>
    <s v="N"/>
    <n v="513614"/>
    <n v="173545"/>
    <x v="0"/>
    <x v="0"/>
    <x v="0"/>
    <x v="0"/>
    <m/>
    <x v="1"/>
    <x v="0"/>
    <m/>
    <x v="0"/>
    <s v="Y"/>
    <x v="0"/>
    <x v="0"/>
  </r>
  <r>
    <s v="19/2199/FUL"/>
    <x v="0"/>
    <x v="0"/>
    <x v="106"/>
    <d v="2024-01-13T00:00:00"/>
    <d v="2023-06-12T00:00:00"/>
    <m/>
    <x v="1"/>
    <x v="0"/>
    <x v="0"/>
    <m/>
    <x v="3"/>
    <s v="Erection of a two-storey building with a basement level providing a commercial unit (Flexible Use Class B1 or D1) on part ground floor and basement levels and two flats (2 x 2-beds) on ground and upper floors.  Associated cycle and refuse stores."/>
    <s v="14 St Leonards Road, East Sheen SW14 7LY"/>
    <s v="SW14 7LY"/>
    <m/>
    <m/>
    <m/>
    <m/>
    <m/>
    <m/>
    <m/>
    <m/>
    <m/>
    <n v="0"/>
    <m/>
    <m/>
    <n v="2"/>
    <m/>
    <m/>
    <m/>
    <m/>
    <m/>
    <m/>
    <n v="2"/>
    <n v="0"/>
    <n v="2"/>
    <n v="0"/>
    <n v="0"/>
    <n v="0"/>
    <n v="0"/>
    <n v="0"/>
    <n v="0"/>
    <n v="2"/>
    <x v="1"/>
    <m/>
    <n v="1"/>
    <n v="1"/>
    <m/>
    <m/>
    <m/>
    <m/>
    <m/>
    <m/>
    <m/>
    <m/>
    <m/>
    <m/>
    <m/>
    <m/>
    <m/>
    <m/>
    <n v="2"/>
    <n v="2"/>
    <s v="N"/>
    <s v="N"/>
    <s v="N"/>
    <n v="520452"/>
    <n v="175621"/>
    <x v="3"/>
    <x v="12"/>
    <x v="0"/>
    <x v="0"/>
    <m/>
    <x v="1"/>
    <x v="0"/>
    <s v="CA70 Sheen Lane Mortlake"/>
    <x v="1"/>
    <s v="Y"/>
    <x v="7"/>
    <x v="0"/>
  </r>
  <r>
    <s v="19/2471/FUL"/>
    <x v="3"/>
    <x v="0"/>
    <x v="107"/>
    <d v="2023-05-06T00:00:00"/>
    <d v="2023-03-01T00:00:00"/>
    <m/>
    <x v="1"/>
    <x v="0"/>
    <x v="0"/>
    <m/>
    <x v="3"/>
    <s v="Demoltion of existing staircase/structures to rear. Construction of a part 3 part 2 storey rear extension to provide 2 x new flats and roof terrace (1 x studio and 1 x 1 bed flat) and associated bin store, cycle parking and hard and soft landscaping."/>
    <s v="121 High Street, Whitton, Twickenham TW2 7LG_x000a_"/>
    <s v="TW2 7LG"/>
    <m/>
    <m/>
    <m/>
    <m/>
    <m/>
    <m/>
    <m/>
    <m/>
    <m/>
    <n v="0"/>
    <m/>
    <n v="2"/>
    <m/>
    <m/>
    <m/>
    <m/>
    <m/>
    <m/>
    <m/>
    <n v="2"/>
    <n v="2"/>
    <n v="0"/>
    <n v="0"/>
    <n v="0"/>
    <n v="0"/>
    <n v="0"/>
    <n v="0"/>
    <n v="0"/>
    <n v="2"/>
    <x v="1"/>
    <m/>
    <n v="2"/>
    <m/>
    <m/>
    <m/>
    <m/>
    <m/>
    <m/>
    <m/>
    <m/>
    <m/>
    <m/>
    <m/>
    <m/>
    <m/>
    <m/>
    <m/>
    <n v="2"/>
    <n v="2"/>
    <s v="N"/>
    <s v="N"/>
    <s v="N"/>
    <n v="514218"/>
    <n v="173596"/>
    <x v="0"/>
    <x v="13"/>
    <x v="5"/>
    <x v="0"/>
    <m/>
    <x v="1"/>
    <x v="0"/>
    <m/>
    <x v="0"/>
    <s v="Y"/>
    <x v="0"/>
    <x v="0"/>
  </r>
  <r>
    <s v="19/2789/FUL"/>
    <x v="0"/>
    <x v="0"/>
    <x v="108"/>
    <d v="2023-06-19T00:00:00"/>
    <d v="2023-06-09T00:00:00"/>
    <m/>
    <x v="1"/>
    <x v="3"/>
    <x v="0"/>
    <m/>
    <x v="3"/>
    <s v="Demolition of existing commercial building and erection of building to provide 15 affordable residential units, together with 12 parking spaces and communal amenity space."/>
    <s v="Lockcorp House, 75 Norcutt Road, Twickenham TW2 6SR"/>
    <s v="TW2 6SR"/>
    <m/>
    <m/>
    <m/>
    <m/>
    <m/>
    <m/>
    <m/>
    <m/>
    <m/>
    <n v="0"/>
    <s v="Y"/>
    <n v="6"/>
    <n v="6"/>
    <n v="3"/>
    <m/>
    <m/>
    <m/>
    <m/>
    <m/>
    <n v="15"/>
    <n v="6"/>
    <n v="6"/>
    <n v="3"/>
    <n v="0"/>
    <n v="0"/>
    <n v="0"/>
    <n v="0"/>
    <n v="0"/>
    <n v="15"/>
    <x v="1"/>
    <m/>
    <m/>
    <n v="7.5"/>
    <n v="7.5"/>
    <m/>
    <m/>
    <m/>
    <m/>
    <m/>
    <m/>
    <m/>
    <m/>
    <m/>
    <m/>
    <m/>
    <m/>
    <m/>
    <n v="15"/>
    <n v="15"/>
    <s v="N"/>
    <s v="N"/>
    <s v="N"/>
    <n v="515337"/>
    <n v="173383"/>
    <x v="4"/>
    <x v="7"/>
    <x v="0"/>
    <x v="0"/>
    <m/>
    <x v="1"/>
    <x v="0"/>
    <m/>
    <x v="0"/>
    <s v="Y"/>
    <x v="4"/>
    <x v="0"/>
  </r>
  <r>
    <s v="19/3616/FUL"/>
    <x v="0"/>
    <x v="0"/>
    <x v="109"/>
    <d v="2024-03-03T00:00:00"/>
    <d v="2024-01-10T00:00:00"/>
    <m/>
    <x v="1"/>
    <x v="4"/>
    <x v="0"/>
    <m/>
    <x v="3"/>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_x000a_"/>
    <s v="TW1 4LJ"/>
    <m/>
    <m/>
    <m/>
    <m/>
    <m/>
    <m/>
    <m/>
    <m/>
    <m/>
    <n v="0"/>
    <s v="Y"/>
    <n v="10"/>
    <m/>
    <m/>
    <m/>
    <m/>
    <m/>
    <m/>
    <m/>
    <n v="10"/>
    <n v="10"/>
    <n v="0"/>
    <n v="0"/>
    <n v="0"/>
    <n v="0"/>
    <n v="0"/>
    <n v="0"/>
    <n v="0"/>
    <n v="10"/>
    <x v="1"/>
    <m/>
    <m/>
    <m/>
    <m/>
    <n v="5"/>
    <n v="5"/>
    <m/>
    <m/>
    <m/>
    <m/>
    <m/>
    <m/>
    <m/>
    <m/>
    <m/>
    <m/>
    <m/>
    <n v="10"/>
    <n v="10"/>
    <s v="N"/>
    <s v="N"/>
    <s v="N"/>
    <n v="516060"/>
    <n v="173599"/>
    <x v="4"/>
    <x v="6"/>
    <x v="3"/>
    <x v="0"/>
    <m/>
    <x v="1"/>
    <x v="0"/>
    <m/>
    <x v="0"/>
    <s v="Y"/>
    <x v="4"/>
    <x v="0"/>
  </r>
  <r>
    <s v="19/3616/FUL"/>
    <x v="0"/>
    <x v="0"/>
    <x v="109"/>
    <d v="2024-03-03T00:00:00"/>
    <d v="2024-01-10T00:00:00"/>
    <m/>
    <x v="1"/>
    <x v="0"/>
    <x v="0"/>
    <m/>
    <x v="3"/>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_x000a_"/>
    <s v="TW1 4LJ"/>
    <m/>
    <m/>
    <m/>
    <m/>
    <m/>
    <m/>
    <m/>
    <m/>
    <m/>
    <n v="0"/>
    <m/>
    <n v="28"/>
    <n v="8"/>
    <m/>
    <m/>
    <m/>
    <m/>
    <m/>
    <m/>
    <n v="36"/>
    <n v="28"/>
    <n v="8"/>
    <n v="0"/>
    <n v="0"/>
    <n v="0"/>
    <n v="0"/>
    <n v="0"/>
    <n v="0"/>
    <n v="36"/>
    <x v="1"/>
    <m/>
    <m/>
    <m/>
    <m/>
    <n v="18"/>
    <n v="18"/>
    <m/>
    <m/>
    <m/>
    <m/>
    <m/>
    <m/>
    <m/>
    <m/>
    <m/>
    <m/>
    <m/>
    <n v="36"/>
    <n v="36"/>
    <s v="N"/>
    <s v="N"/>
    <s v="N"/>
    <n v="516060"/>
    <n v="173599"/>
    <x v="4"/>
    <x v="6"/>
    <x v="3"/>
    <x v="0"/>
    <m/>
    <x v="1"/>
    <x v="0"/>
    <m/>
    <x v="0"/>
    <s v="Y"/>
    <x v="4"/>
    <x v="0"/>
  </r>
  <r>
    <s v="19/3857/FUL"/>
    <x v="4"/>
    <x v="0"/>
    <x v="110"/>
    <d v="2023-06-18T00:00:00"/>
    <d v="2023-05-15T00:00:00"/>
    <m/>
    <x v="1"/>
    <x v="0"/>
    <x v="0"/>
    <m/>
    <x v="3"/>
    <s v="Part two storey, part first floor infill, part second floor rear extensions and extensions / alterations to the roof to facilitate the conversion of existing 1 x studio and 1 x 2 bed flat into four flats (2 x studio and 2 x 1 bed) and increase in retail f"/>
    <s v="20 London Road, Twickenham TW1 3RR"/>
    <s v="TW1 3RR"/>
    <m/>
    <n v="1"/>
    <n v="1"/>
    <m/>
    <m/>
    <m/>
    <m/>
    <m/>
    <m/>
    <n v="2"/>
    <m/>
    <n v="4"/>
    <m/>
    <m/>
    <m/>
    <m/>
    <m/>
    <m/>
    <m/>
    <n v="4"/>
    <n v="3"/>
    <n v="-1"/>
    <n v="0"/>
    <n v="0"/>
    <n v="0"/>
    <n v="0"/>
    <n v="0"/>
    <n v="0"/>
    <n v="2"/>
    <x v="1"/>
    <m/>
    <n v="1"/>
    <n v="1"/>
    <m/>
    <m/>
    <m/>
    <m/>
    <m/>
    <m/>
    <m/>
    <m/>
    <m/>
    <m/>
    <m/>
    <m/>
    <m/>
    <m/>
    <n v="2"/>
    <n v="2"/>
    <s v="N"/>
    <s v="N"/>
    <s v="N"/>
    <n v="516259"/>
    <n v="173377"/>
    <x v="4"/>
    <x v="6"/>
    <x v="3"/>
    <x v="0"/>
    <m/>
    <x v="1"/>
    <x v="0"/>
    <s v="CA8 Twickenham Riverside"/>
    <x v="1"/>
    <s v="Y"/>
    <x v="4"/>
    <x v="0"/>
  </r>
  <r>
    <s v="19/3905/FUL"/>
    <x v="3"/>
    <x v="0"/>
    <x v="26"/>
    <d v="2023-10-22T00:00:00"/>
    <d v="2022-02-01T00:00:00"/>
    <m/>
    <x v="1"/>
    <x v="0"/>
    <x v="0"/>
    <m/>
    <x v="3"/>
    <s v="Replacement shopfront, replacement windows, 2 no. rooflights on front roof slope, new basement level with lightwells and rear staircase ground floor side/rear extension and 3 rear dormer roof extension to facilitate the provision of 1 no. retail unit and"/>
    <s v="422 Upper Richmond Road West, East Sheen"/>
    <s v="SW14 7JX"/>
    <m/>
    <m/>
    <m/>
    <m/>
    <m/>
    <m/>
    <m/>
    <m/>
    <m/>
    <n v="0"/>
    <m/>
    <n v="4"/>
    <m/>
    <m/>
    <m/>
    <m/>
    <m/>
    <m/>
    <m/>
    <n v="4"/>
    <n v="4"/>
    <n v="0"/>
    <n v="0"/>
    <n v="0"/>
    <n v="0"/>
    <n v="0"/>
    <n v="0"/>
    <n v="0"/>
    <n v="4"/>
    <x v="1"/>
    <m/>
    <m/>
    <n v="2"/>
    <n v="2"/>
    <m/>
    <m/>
    <m/>
    <m/>
    <m/>
    <m/>
    <m/>
    <m/>
    <m/>
    <m/>
    <m/>
    <m/>
    <m/>
    <n v="4"/>
    <n v="4"/>
    <s v="N"/>
    <s v="N"/>
    <s v="N"/>
    <n v="519849"/>
    <n v="175357"/>
    <x v="5"/>
    <x v="8"/>
    <x v="0"/>
    <x v="0"/>
    <m/>
    <x v="1"/>
    <x v="0"/>
    <m/>
    <x v="0"/>
    <s v="Y"/>
    <x v="7"/>
    <x v="0"/>
  </r>
  <r>
    <s v="20/0145/FUL"/>
    <x v="2"/>
    <x v="0"/>
    <x v="111"/>
    <d v="2023-10-05T00:00:00"/>
    <d v="2023-10-05T00:00:00"/>
    <m/>
    <x v="1"/>
    <x v="0"/>
    <x v="0"/>
    <m/>
    <x v="3"/>
    <s v="3,2m rear extension and division of a single flat into 2 flats."/>
    <s v="133A Percy Road, Twickenham TW2 6HT"/>
    <s v="TW2 6HT"/>
    <m/>
    <m/>
    <m/>
    <m/>
    <n v="1"/>
    <m/>
    <m/>
    <m/>
    <m/>
    <n v="1"/>
    <m/>
    <n v="1"/>
    <n v="1"/>
    <m/>
    <m/>
    <m/>
    <m/>
    <m/>
    <m/>
    <n v="2"/>
    <n v="1"/>
    <n v="1"/>
    <n v="0"/>
    <n v="-1"/>
    <n v="0"/>
    <n v="0"/>
    <n v="0"/>
    <n v="0"/>
    <n v="1"/>
    <x v="1"/>
    <m/>
    <n v="1"/>
    <m/>
    <m/>
    <m/>
    <m/>
    <m/>
    <m/>
    <m/>
    <m/>
    <m/>
    <m/>
    <m/>
    <m/>
    <m/>
    <m/>
    <m/>
    <n v="1"/>
    <n v="1"/>
    <s v="N"/>
    <s v="N"/>
    <s v="N"/>
    <n v="514206"/>
    <n v="173520"/>
    <x v="0"/>
    <x v="0"/>
    <x v="5"/>
    <x v="0"/>
    <m/>
    <x v="1"/>
    <x v="0"/>
    <m/>
    <x v="0"/>
    <s v="Y"/>
    <x v="0"/>
    <x v="0"/>
  </r>
  <r>
    <s v="20/0539/FUL"/>
    <x v="0"/>
    <x v="0"/>
    <x v="112"/>
    <d v="2025-04-04T00:00:00"/>
    <d v="2023-03-10T00:00:00"/>
    <m/>
    <x v="1"/>
    <x v="6"/>
    <x v="0"/>
    <m/>
    <x v="3"/>
    <s v="Demolition of all existing buildings; erection of two 3-storey buildings comprising 30 residential dwellings in total (6 x1 bedroom, 17 x 2 bedroom &amp; 7 x 3 bedroom); erection of single storey nursery building (294 sqm in total) alterations to existing acc"/>
    <s v="The Strathmore Centre, Strathmore Road, Teddington TW11 8UH_x000a_"/>
    <s v="TW11 8UH"/>
    <s v="Block A"/>
    <m/>
    <m/>
    <m/>
    <m/>
    <m/>
    <m/>
    <m/>
    <m/>
    <n v="0"/>
    <s v="Y"/>
    <n v="2"/>
    <n v="4"/>
    <m/>
    <m/>
    <m/>
    <m/>
    <m/>
    <m/>
    <n v="6"/>
    <n v="2"/>
    <n v="4"/>
    <n v="0"/>
    <n v="0"/>
    <n v="0"/>
    <n v="0"/>
    <n v="0"/>
    <n v="0"/>
    <n v="6"/>
    <x v="1"/>
    <m/>
    <m/>
    <n v="6"/>
    <m/>
    <m/>
    <m/>
    <m/>
    <m/>
    <m/>
    <m/>
    <m/>
    <m/>
    <m/>
    <m/>
    <m/>
    <m/>
    <m/>
    <n v="6"/>
    <n v="6"/>
    <s v="N"/>
    <s v="N"/>
    <s v="N"/>
    <n v="515141"/>
    <n v="171791"/>
    <x v="1"/>
    <x v="14"/>
    <x v="0"/>
    <x v="0"/>
    <m/>
    <x v="1"/>
    <x v="0"/>
    <m/>
    <x v="0"/>
    <s v="Y"/>
    <x v="6"/>
    <x v="0"/>
  </r>
  <r>
    <s v="20/0539/FUL"/>
    <x v="0"/>
    <x v="0"/>
    <x v="112"/>
    <d v="2025-04-04T00:00:00"/>
    <d v="2023-03-10T00:00:00"/>
    <m/>
    <x v="1"/>
    <x v="1"/>
    <x v="0"/>
    <m/>
    <x v="3"/>
    <s v="Demolition of all existing buildings; erection of two 3-storey buildings comprising 30 residential dwellings in total (6 x1 bedroom, 17 x 2 bedroom &amp; 7 x 3 bedroom); erection of single storey nursery building (294 sqm in total) alterations to existing acc"/>
    <s v="The Strathmore Centre, Strathmore Road, Teddington TW11 8UH_x000a_"/>
    <s v="TW11 8UH"/>
    <s v="Block B"/>
    <m/>
    <m/>
    <m/>
    <m/>
    <m/>
    <m/>
    <m/>
    <m/>
    <n v="0"/>
    <s v="Y"/>
    <n v="4"/>
    <n v="13"/>
    <n v="7"/>
    <m/>
    <m/>
    <m/>
    <m/>
    <m/>
    <n v="24"/>
    <n v="4"/>
    <n v="13"/>
    <n v="7"/>
    <n v="0"/>
    <n v="0"/>
    <n v="0"/>
    <n v="0"/>
    <n v="0"/>
    <n v="24"/>
    <x v="1"/>
    <m/>
    <m/>
    <n v="24"/>
    <m/>
    <m/>
    <m/>
    <m/>
    <m/>
    <m/>
    <m/>
    <m/>
    <m/>
    <m/>
    <m/>
    <m/>
    <m/>
    <m/>
    <n v="24"/>
    <n v="24"/>
    <s v="N"/>
    <s v="N"/>
    <s v="N"/>
    <n v="515141"/>
    <n v="171791"/>
    <x v="1"/>
    <x v="14"/>
    <x v="0"/>
    <x v="0"/>
    <m/>
    <x v="1"/>
    <x v="0"/>
    <m/>
    <x v="0"/>
    <s v="Y"/>
    <x v="6"/>
    <x v="0"/>
  </r>
  <r>
    <s v="20/0773/FUL"/>
    <x v="0"/>
    <x v="0"/>
    <x v="113"/>
    <d v="2023-07-08T00:00:00"/>
    <d v="2020-09-08T00:00:00"/>
    <m/>
    <x v="1"/>
    <x v="0"/>
    <x v="0"/>
    <m/>
    <x v="3"/>
    <s v="Erection of 1no. single storey 2 bed dwellinghouse with associated cycle and refuse stores"/>
    <s v="Land At Railway Side, Barnes"/>
    <s v="SW13 0AL"/>
    <m/>
    <m/>
    <m/>
    <m/>
    <m/>
    <m/>
    <m/>
    <m/>
    <m/>
    <n v="0"/>
    <m/>
    <m/>
    <n v="1"/>
    <m/>
    <m/>
    <m/>
    <m/>
    <m/>
    <m/>
    <n v="1"/>
    <n v="0"/>
    <n v="1"/>
    <n v="0"/>
    <n v="0"/>
    <n v="0"/>
    <n v="0"/>
    <n v="0"/>
    <n v="0"/>
    <n v="1"/>
    <x v="1"/>
    <m/>
    <n v="1"/>
    <m/>
    <m/>
    <m/>
    <m/>
    <m/>
    <m/>
    <m/>
    <m/>
    <m/>
    <m/>
    <m/>
    <m/>
    <m/>
    <m/>
    <m/>
    <n v="1"/>
    <n v="1"/>
    <s v="N"/>
    <s v="N"/>
    <s v="N"/>
    <n v="521729"/>
    <n v="176011"/>
    <x v="3"/>
    <x v="9"/>
    <x v="0"/>
    <x v="0"/>
    <m/>
    <x v="1"/>
    <x v="0"/>
    <s v="CA16 Thorne Passage Mortlake"/>
    <x v="1"/>
    <s v="Y"/>
    <x v="3"/>
    <x v="0"/>
  </r>
  <r>
    <s v="20/1223/FUL"/>
    <x v="0"/>
    <x v="0"/>
    <x v="114"/>
    <d v="2023-08-10T00:00:00"/>
    <d v="2023-03-31T00:00:00"/>
    <m/>
    <x v="1"/>
    <x v="0"/>
    <x v="0"/>
    <m/>
    <x v="3"/>
    <s v="The construction of a two storey 4 bedroom dwelling with a basement level following the demolition of the existing house and garage."/>
    <s v="90 Ormond Avenue, Hampton TW12 2RX_x000a_"/>
    <s v="TW12 2RX"/>
    <m/>
    <m/>
    <m/>
    <m/>
    <n v="1"/>
    <m/>
    <m/>
    <m/>
    <m/>
    <n v="1"/>
    <m/>
    <m/>
    <m/>
    <m/>
    <n v="1"/>
    <m/>
    <m/>
    <m/>
    <m/>
    <n v="1"/>
    <n v="0"/>
    <n v="0"/>
    <n v="0"/>
    <n v="0"/>
    <n v="0"/>
    <n v="0"/>
    <n v="0"/>
    <n v="0"/>
    <n v="0"/>
    <x v="1"/>
    <m/>
    <n v="0"/>
    <m/>
    <m/>
    <m/>
    <m/>
    <m/>
    <m/>
    <m/>
    <m/>
    <m/>
    <m/>
    <m/>
    <m/>
    <m/>
    <m/>
    <m/>
    <n v="0"/>
    <n v="0"/>
    <s v="N"/>
    <s v="N"/>
    <s v="N"/>
    <n v="513542"/>
    <n v="169839"/>
    <x v="1"/>
    <x v="2"/>
    <x v="0"/>
    <x v="0"/>
    <m/>
    <x v="1"/>
    <x v="0"/>
    <m/>
    <x v="0"/>
    <s v="Y"/>
    <x v="1"/>
    <x v="0"/>
  </r>
  <r>
    <s v="20/2345/FUL"/>
    <x v="0"/>
    <x v="0"/>
    <x v="115"/>
    <d v="2024-08-02T00:00:00"/>
    <d v="2022-08-31T00:00:00"/>
    <m/>
    <x v="1"/>
    <x v="0"/>
    <x v="0"/>
    <m/>
    <x v="3"/>
    <s v="Erection of a new 3 bedroom disabled dwelling with mezzanine, dormer room and carers' accommodation and retrospective permission for the demolition of fire destroyed bungalow."/>
    <s v="31A Whitton Waye, Whitton TW3 2LT_x000a_"/>
    <s v="TW3 2LT"/>
    <m/>
    <m/>
    <m/>
    <n v="1"/>
    <m/>
    <m/>
    <m/>
    <m/>
    <m/>
    <n v="1"/>
    <m/>
    <m/>
    <m/>
    <m/>
    <m/>
    <n v="1"/>
    <m/>
    <m/>
    <m/>
    <n v="1"/>
    <n v="0"/>
    <n v="0"/>
    <n v="-1"/>
    <n v="0"/>
    <n v="1"/>
    <n v="0"/>
    <n v="0"/>
    <n v="0"/>
    <n v="0"/>
    <x v="1"/>
    <m/>
    <n v="0"/>
    <m/>
    <m/>
    <m/>
    <m/>
    <m/>
    <m/>
    <m/>
    <m/>
    <m/>
    <m/>
    <m/>
    <m/>
    <m/>
    <m/>
    <m/>
    <n v="0"/>
    <n v="0"/>
    <s v="N"/>
    <s v="N"/>
    <s v="N"/>
    <n v="513403"/>
    <n v="174165"/>
    <x v="0"/>
    <x v="13"/>
    <x v="0"/>
    <x v="0"/>
    <m/>
    <x v="1"/>
    <x v="0"/>
    <m/>
    <x v="0"/>
    <s v="Y"/>
    <x v="0"/>
    <x v="0"/>
  </r>
  <r>
    <s v="20/2902/FUL"/>
    <x v="0"/>
    <x v="0"/>
    <x v="116"/>
    <d v="2024-10-28T00:00:00"/>
    <d v="2022-10-21T00:00:00"/>
    <m/>
    <x v="1"/>
    <x v="0"/>
    <x v="0"/>
    <m/>
    <x v="3"/>
    <s v="New 2-storey detached house with associated parking to replace existing bungalow."/>
    <s v="60A Wensleydale Road, Hampton TW12 2LX"/>
    <s v="TW12 2LX"/>
    <m/>
    <m/>
    <m/>
    <n v="1"/>
    <m/>
    <m/>
    <m/>
    <m/>
    <m/>
    <n v="1"/>
    <m/>
    <m/>
    <m/>
    <m/>
    <m/>
    <n v="1"/>
    <m/>
    <m/>
    <m/>
    <n v="1"/>
    <n v="0"/>
    <n v="0"/>
    <n v="-1"/>
    <n v="0"/>
    <n v="1"/>
    <n v="0"/>
    <n v="0"/>
    <n v="0"/>
    <n v="0"/>
    <x v="1"/>
    <m/>
    <n v="0"/>
    <m/>
    <m/>
    <m/>
    <m/>
    <m/>
    <m/>
    <m/>
    <m/>
    <m/>
    <m/>
    <m/>
    <m/>
    <m/>
    <m/>
    <m/>
    <n v="0"/>
    <n v="0"/>
    <s v="N"/>
    <s v="N"/>
    <s v="N"/>
    <n v="513562"/>
    <n v="170238"/>
    <x v="1"/>
    <x v="2"/>
    <x v="0"/>
    <x v="0"/>
    <m/>
    <x v="1"/>
    <x v="0"/>
    <m/>
    <x v="0"/>
    <s v="Y"/>
    <x v="1"/>
    <x v="0"/>
  </r>
  <r>
    <s v="20/3495/FUL"/>
    <x v="1"/>
    <x v="0"/>
    <x v="117"/>
    <d v="2024-03-08T00:00:00"/>
    <d v="2024-01-24T00:00:00"/>
    <m/>
    <x v="1"/>
    <x v="0"/>
    <x v="0"/>
    <m/>
    <x v="3"/>
    <s v="Conversion of existing ancillary residential accommodation to a single-family dwelling house with minor external alterations, associated parking, refuse and cycle enclosures."/>
    <s v="Land To Rear Of 24 Marchmont Road, Richmond TW10 6HQ"/>
    <s v="TW10 6HQ"/>
    <m/>
    <m/>
    <m/>
    <m/>
    <m/>
    <m/>
    <m/>
    <m/>
    <m/>
    <n v="0"/>
    <m/>
    <n v="1"/>
    <m/>
    <m/>
    <m/>
    <m/>
    <m/>
    <m/>
    <m/>
    <n v="1"/>
    <n v="1"/>
    <n v="0"/>
    <n v="0"/>
    <n v="0"/>
    <n v="0"/>
    <n v="0"/>
    <n v="0"/>
    <n v="0"/>
    <n v="1"/>
    <x v="1"/>
    <m/>
    <n v="1"/>
    <m/>
    <m/>
    <m/>
    <m/>
    <m/>
    <m/>
    <m/>
    <m/>
    <m/>
    <m/>
    <m/>
    <m/>
    <m/>
    <m/>
    <m/>
    <n v="1"/>
    <n v="1"/>
    <s v="N"/>
    <s v="N"/>
    <s v="N"/>
    <n v="518831"/>
    <n v="174557"/>
    <x v="5"/>
    <x v="10"/>
    <x v="0"/>
    <x v="0"/>
    <m/>
    <x v="1"/>
    <x v="0"/>
    <m/>
    <x v="0"/>
    <s v="Y"/>
    <x v="5"/>
    <x v="0"/>
  </r>
  <r>
    <s v="20/3641/FUL"/>
    <x v="0"/>
    <x v="0"/>
    <x v="118"/>
    <d v="2024-05-12T00:00:00"/>
    <d v="2023-08-11T00:00:00"/>
    <m/>
    <x v="1"/>
    <x v="0"/>
    <x v="0"/>
    <m/>
    <x v="3"/>
    <s v="Demolition of existing semi-detached bungalow and garage replacement detached dwelling house (Class C3) comprising ground, first floor and accommodation within the roof space."/>
    <s v="2 Chestnut Avenue, Hampton TW12 2NU"/>
    <s v="TW12 2NU"/>
    <m/>
    <m/>
    <n v="1"/>
    <m/>
    <m/>
    <m/>
    <m/>
    <m/>
    <m/>
    <n v="1"/>
    <m/>
    <m/>
    <m/>
    <m/>
    <m/>
    <n v="1"/>
    <m/>
    <m/>
    <m/>
    <n v="1"/>
    <n v="0"/>
    <n v="-1"/>
    <n v="0"/>
    <n v="0"/>
    <n v="1"/>
    <n v="0"/>
    <n v="0"/>
    <n v="0"/>
    <n v="0"/>
    <x v="1"/>
    <m/>
    <n v="0"/>
    <m/>
    <m/>
    <m/>
    <m/>
    <m/>
    <m/>
    <m/>
    <m/>
    <m/>
    <m/>
    <m/>
    <m/>
    <m/>
    <m/>
    <m/>
    <n v="0"/>
    <n v="0"/>
    <s v="N"/>
    <s v="N"/>
    <s v="N"/>
    <n v="513278"/>
    <n v="170135"/>
    <x v="1"/>
    <x v="2"/>
    <x v="0"/>
    <x v="0"/>
    <m/>
    <x v="1"/>
    <x v="0"/>
    <m/>
    <x v="0"/>
    <s v="Y"/>
    <x v="1"/>
    <x v="0"/>
  </r>
  <r>
    <s v="21/0129/PS192"/>
    <x v="1"/>
    <x v="0"/>
    <x v="119"/>
    <d v="2024-02-16T00:00:00"/>
    <d v="2021-12-01T00:00:00"/>
    <m/>
    <x v="1"/>
    <x v="0"/>
    <x v="0"/>
    <m/>
    <x v="3"/>
    <s v="Conversion of the existing 4-storey Use Class A2 unit to mixed-use, comprising an A2 unit at ground floor and two residential flats above on the second, third, and fourth floors."/>
    <s v="1 London Road, Twickenham TW1 3SX"/>
    <s v="TW1 3SX"/>
    <m/>
    <m/>
    <m/>
    <m/>
    <m/>
    <m/>
    <m/>
    <m/>
    <m/>
    <n v="0"/>
    <m/>
    <n v="1"/>
    <n v="1"/>
    <m/>
    <m/>
    <m/>
    <m/>
    <m/>
    <m/>
    <n v="2"/>
    <n v="1"/>
    <n v="1"/>
    <n v="0"/>
    <n v="0"/>
    <n v="0"/>
    <n v="0"/>
    <n v="0"/>
    <n v="0"/>
    <n v="2"/>
    <x v="1"/>
    <m/>
    <n v="1"/>
    <n v="1"/>
    <m/>
    <m/>
    <m/>
    <m/>
    <m/>
    <m/>
    <m/>
    <m/>
    <m/>
    <m/>
    <m/>
    <m/>
    <m/>
    <m/>
    <n v="2"/>
    <n v="2"/>
    <s v="N"/>
    <s v="N"/>
    <s v="N"/>
    <n v="516260"/>
    <n v="173296"/>
    <x v="4"/>
    <x v="6"/>
    <x v="3"/>
    <x v="0"/>
    <m/>
    <x v="1"/>
    <x v="0"/>
    <s v="CA8 Twickenham Riverside"/>
    <x v="1"/>
    <s v="Y"/>
    <x v="4"/>
    <x v="0"/>
  </r>
  <r>
    <s v="21/1087/GPD15"/>
    <x v="1"/>
    <x v="1"/>
    <x v="120"/>
    <d v="2024-05-19T00:00:00"/>
    <d v="2024-02-02T00:00:00"/>
    <m/>
    <x v="1"/>
    <x v="0"/>
    <x v="0"/>
    <m/>
    <x v="3"/>
    <s v="The proposed works is for the change of use of existing Class E office use on first floor to provide C3 3 x 1 bedroom units and a 1 x 2 bedroom unit"/>
    <s v="55 - 61 Heath Road, Twickenham_x000a__x000a_"/>
    <s v="TW1 4AW"/>
    <m/>
    <m/>
    <m/>
    <m/>
    <m/>
    <m/>
    <m/>
    <m/>
    <m/>
    <n v="0"/>
    <m/>
    <n v="3"/>
    <n v="1"/>
    <m/>
    <m/>
    <m/>
    <m/>
    <m/>
    <m/>
    <n v="4"/>
    <n v="3"/>
    <n v="1"/>
    <n v="0"/>
    <n v="0"/>
    <n v="0"/>
    <n v="0"/>
    <n v="0"/>
    <n v="0"/>
    <n v="4"/>
    <x v="1"/>
    <m/>
    <n v="4"/>
    <m/>
    <m/>
    <m/>
    <m/>
    <m/>
    <m/>
    <m/>
    <m/>
    <m/>
    <m/>
    <m/>
    <m/>
    <m/>
    <m/>
    <m/>
    <n v="4"/>
    <n v="4"/>
    <s v="N"/>
    <s v="N"/>
    <s v="N"/>
    <n v="515975"/>
    <n v="173091"/>
    <x v="4"/>
    <x v="7"/>
    <x v="3"/>
    <x v="0"/>
    <m/>
    <x v="1"/>
    <x v="0"/>
    <m/>
    <x v="0"/>
    <s v="Y"/>
    <x v="4"/>
    <x v="0"/>
  </r>
  <r>
    <s v="21/1841/FUL"/>
    <x v="0"/>
    <x v="0"/>
    <x v="50"/>
    <d v="2026-02-16T00:00:00"/>
    <d v="2023-06-01T00:00:00"/>
    <m/>
    <x v="1"/>
    <x v="0"/>
    <x v="0"/>
    <m/>
    <x v="3"/>
    <s v="Demolition of existing car showroom and partial demolition of ancillary offices to facilitate the construction of 4 semi-detached houses with associated landscaping and car parking spaces, construction of a new vehicle access._x000d_"/>
    <s v="45 - 49 Station Road, Hampton TW12 2BT_x000a_"/>
    <s v="TW12 2BT"/>
    <m/>
    <m/>
    <m/>
    <m/>
    <m/>
    <m/>
    <m/>
    <m/>
    <m/>
    <n v="0"/>
    <m/>
    <m/>
    <m/>
    <n v="4"/>
    <m/>
    <m/>
    <m/>
    <m/>
    <m/>
    <n v="4"/>
    <n v="0"/>
    <n v="0"/>
    <n v="4"/>
    <n v="0"/>
    <n v="0"/>
    <n v="0"/>
    <n v="0"/>
    <n v="0"/>
    <n v="4"/>
    <x v="1"/>
    <m/>
    <n v="4"/>
    <m/>
    <m/>
    <m/>
    <m/>
    <m/>
    <m/>
    <m/>
    <m/>
    <m/>
    <m/>
    <m/>
    <m/>
    <m/>
    <m/>
    <m/>
    <n v="4"/>
    <n v="4"/>
    <s v="N"/>
    <s v="N"/>
    <s v="N"/>
    <n v="513825"/>
    <n v="169567"/>
    <x v="1"/>
    <x v="2"/>
    <x v="0"/>
    <x v="0"/>
    <m/>
    <x v="1"/>
    <x v="0"/>
    <s v="CA12 Hampton Village"/>
    <x v="1"/>
    <s v="Y"/>
    <x v="1"/>
    <x v="0"/>
  </r>
  <r>
    <s v="21/1925/GPD15"/>
    <x v="1"/>
    <x v="1"/>
    <x v="121"/>
    <d v="2026-05-24T00:00:00"/>
    <d v="2023-12-18T00:00:00"/>
    <m/>
    <x v="1"/>
    <x v="0"/>
    <x v="0"/>
    <m/>
    <x v="3"/>
    <s v="Change of use of the existing office to create three dwellings"/>
    <s v="1A Rosedale Road, Richmond TW9 2SX_x000a_"/>
    <s v="TW9 2SX"/>
    <m/>
    <m/>
    <m/>
    <m/>
    <m/>
    <m/>
    <m/>
    <m/>
    <m/>
    <n v="0"/>
    <m/>
    <n v="2"/>
    <n v="1"/>
    <m/>
    <m/>
    <m/>
    <m/>
    <m/>
    <m/>
    <n v="3"/>
    <n v="2"/>
    <n v="1"/>
    <n v="0"/>
    <n v="0"/>
    <n v="0"/>
    <n v="0"/>
    <n v="0"/>
    <n v="0"/>
    <n v="3"/>
    <x v="1"/>
    <m/>
    <n v="3"/>
    <m/>
    <m/>
    <m/>
    <m/>
    <m/>
    <m/>
    <m/>
    <m/>
    <m/>
    <m/>
    <m/>
    <m/>
    <m/>
    <m/>
    <m/>
    <n v="3"/>
    <n v="3"/>
    <s v="N"/>
    <s v="N"/>
    <s v="N"/>
    <n v="518108"/>
    <n v="175469"/>
    <x v="5"/>
    <x v="8"/>
    <x v="0"/>
    <x v="0"/>
    <m/>
    <x v="1"/>
    <x v="0"/>
    <s v="CA36 Kew Foot Road"/>
    <x v="1"/>
    <s v="Y"/>
    <x v="5"/>
    <x v="0"/>
  </r>
  <r>
    <s v="21/2151/FUL"/>
    <x v="0"/>
    <x v="0"/>
    <x v="122"/>
    <d v="2025-08-10T00:00:00"/>
    <d v="2023-10-16T00:00:00"/>
    <m/>
    <x v="1"/>
    <x v="0"/>
    <x v="0"/>
    <m/>
    <x v="3"/>
    <s v="Demolition of the existing three storey house and erection of a replacement two storey plus basement single family dwelling with associated hard and soft landscpaing and refuse store."/>
    <s v="40 West Temple Sheen, East Sheen SW14 7AP_x000a_"/>
    <s v="SW14 7AP"/>
    <m/>
    <m/>
    <m/>
    <m/>
    <m/>
    <n v="1"/>
    <m/>
    <m/>
    <m/>
    <n v="1"/>
    <m/>
    <m/>
    <m/>
    <m/>
    <m/>
    <n v="1"/>
    <m/>
    <m/>
    <m/>
    <n v="1"/>
    <n v="0"/>
    <n v="0"/>
    <n v="0"/>
    <n v="0"/>
    <n v="0"/>
    <n v="0"/>
    <n v="0"/>
    <n v="0"/>
    <n v="0"/>
    <x v="1"/>
    <m/>
    <n v="0"/>
    <m/>
    <m/>
    <m/>
    <m/>
    <m/>
    <m/>
    <m/>
    <m/>
    <m/>
    <m/>
    <m/>
    <m/>
    <m/>
    <m/>
    <m/>
    <n v="0"/>
    <n v="0"/>
    <s v="N"/>
    <s v="N"/>
    <s v="N"/>
    <n v="519892"/>
    <n v="174721"/>
    <x v="3"/>
    <x v="12"/>
    <x v="0"/>
    <x v="0"/>
    <m/>
    <x v="1"/>
    <x v="0"/>
    <m/>
    <x v="0"/>
    <s v="Y"/>
    <x v="7"/>
    <x v="0"/>
  </r>
  <r>
    <s v="21/2208/FUL"/>
    <x v="0"/>
    <x v="0"/>
    <x v="123"/>
    <d v="2026-04-05T00:00:00"/>
    <d v="2024-01-07T00:00:00"/>
    <m/>
    <x v="1"/>
    <x v="4"/>
    <x v="0"/>
    <m/>
    <x v="3"/>
    <s v="Erection of three-storey building comprising six residential apartments (3 x 1 bed/1 person, 2 x 1 bed/2 person, 1 x 1 person M(4)3);  landscaping including private amenity space and ecological enhancement; secure cycle and refuse storage structures."/>
    <s v="Potterill Court, Harlequin Road, Teddington_x000a__x000a_"/>
    <s v="TW11 9BY"/>
    <m/>
    <m/>
    <m/>
    <m/>
    <m/>
    <m/>
    <m/>
    <m/>
    <m/>
    <n v="0"/>
    <s v="Y"/>
    <n v="6"/>
    <m/>
    <m/>
    <m/>
    <m/>
    <m/>
    <m/>
    <m/>
    <n v="6"/>
    <n v="6"/>
    <n v="0"/>
    <n v="0"/>
    <n v="0"/>
    <n v="0"/>
    <n v="0"/>
    <n v="0"/>
    <n v="0"/>
    <n v="6"/>
    <x v="1"/>
    <m/>
    <n v="3.5"/>
    <n v="3.5"/>
    <m/>
    <m/>
    <m/>
    <m/>
    <m/>
    <m/>
    <m/>
    <m/>
    <m/>
    <m/>
    <m/>
    <m/>
    <m/>
    <m/>
    <n v="7"/>
    <n v="7"/>
    <s v="N"/>
    <s v="N"/>
    <s v="N"/>
    <n v="516721"/>
    <n v="170449"/>
    <x v="1"/>
    <x v="11"/>
    <x v="0"/>
    <x v="0"/>
    <m/>
    <x v="1"/>
    <x v="0"/>
    <m/>
    <x v="0"/>
    <s v="Y"/>
    <x v="6"/>
    <x v="0"/>
  </r>
  <r>
    <s v="21/2282/FUL"/>
    <x v="0"/>
    <x v="0"/>
    <x v="124"/>
    <d v="2026-01-30T00:00:00"/>
    <d v="2023-12-15T00:00:00"/>
    <m/>
    <x v="1"/>
    <x v="4"/>
    <x v="0"/>
    <m/>
    <x v="3"/>
    <s v="Erection of a two-storey building comprising 4 residential apartments ( 3 x 1 bed/1 person units and 1 x 1 bed/1 person M(4)3 unit); landscaping including private amenity space and ecological enhancement; secure cycle and refuse storage structures."/>
    <s v="Land Adjacent 12 Willow Avenue, Barnes"/>
    <s v="SW13 0LT"/>
    <m/>
    <m/>
    <m/>
    <m/>
    <m/>
    <m/>
    <m/>
    <m/>
    <m/>
    <n v="0"/>
    <s v="Y"/>
    <n v="4"/>
    <m/>
    <m/>
    <m/>
    <m/>
    <m/>
    <m/>
    <m/>
    <n v="4"/>
    <n v="4"/>
    <n v="0"/>
    <n v="0"/>
    <n v="0"/>
    <n v="0"/>
    <n v="0"/>
    <n v="0"/>
    <n v="0"/>
    <n v="4"/>
    <x v="1"/>
    <m/>
    <m/>
    <n v="4"/>
    <m/>
    <m/>
    <m/>
    <m/>
    <m/>
    <m/>
    <m/>
    <m/>
    <m/>
    <m/>
    <m/>
    <m/>
    <m/>
    <m/>
    <n v="4"/>
    <n v="4"/>
    <s v="N"/>
    <s v="N"/>
    <s v="N"/>
    <n v="521875"/>
    <n v="176053"/>
    <x v="3"/>
    <x v="9"/>
    <x v="0"/>
    <x v="0"/>
    <m/>
    <x v="1"/>
    <x v="0"/>
    <m/>
    <x v="0"/>
    <s v="Y"/>
    <x v="3"/>
    <x v="0"/>
  </r>
  <r>
    <s v="21/2642/FUL"/>
    <x v="1"/>
    <x v="0"/>
    <x v="125"/>
    <d v="2025-04-08T00:00:00"/>
    <d v="2023-07-28T00:00:00"/>
    <m/>
    <x v="1"/>
    <x v="5"/>
    <x v="0"/>
    <m/>
    <x v="3"/>
    <s v="Change of use to four C3 residential units for supported living together with external alterations including changes to the roof form and a first floor extension"/>
    <s v="67A Holly Road, Twickenham TW1 4HF"/>
    <s v="TW1 4HF"/>
    <m/>
    <m/>
    <m/>
    <m/>
    <m/>
    <m/>
    <m/>
    <m/>
    <m/>
    <n v="0"/>
    <s v="Y"/>
    <n v="4"/>
    <m/>
    <m/>
    <m/>
    <m/>
    <m/>
    <m/>
    <m/>
    <n v="4"/>
    <n v="4"/>
    <n v="0"/>
    <n v="0"/>
    <n v="0"/>
    <n v="0"/>
    <n v="0"/>
    <n v="0"/>
    <n v="0"/>
    <n v="4"/>
    <x v="1"/>
    <m/>
    <n v="4"/>
    <m/>
    <m/>
    <m/>
    <m/>
    <m/>
    <m/>
    <m/>
    <m/>
    <m/>
    <m/>
    <m/>
    <m/>
    <m/>
    <m/>
    <m/>
    <n v="4"/>
    <n v="4"/>
    <s v="N"/>
    <s v="Y"/>
    <s v="N"/>
    <n v="516114"/>
    <n v="173184"/>
    <x v="4"/>
    <x v="6"/>
    <x v="3"/>
    <x v="0"/>
    <m/>
    <x v="1"/>
    <x v="0"/>
    <m/>
    <x v="0"/>
    <s v="Y"/>
    <x v="4"/>
    <x v="0"/>
  </r>
  <r>
    <s v="21/3136/FUL"/>
    <x v="0"/>
    <x v="0"/>
    <x v="126"/>
    <d v="2026-02-28T00:00:00"/>
    <d v="2024-03-03T00:00:00"/>
    <m/>
    <x v="1"/>
    <x v="5"/>
    <x v="0"/>
    <m/>
    <x v="3"/>
    <s v="Demolition of existing college buildings, removal of hard-surfacing, site clearance and groundworks together with the redevelopment of the site to provide new residential units; together with associated parking, cycle parking, open space and landscaping."/>
    <s v="Richmond Upon Thames College, Langhorn Drive, Twickenham TW2 7SJ_x000a_"/>
    <s v="TW2 7SJ"/>
    <m/>
    <m/>
    <m/>
    <m/>
    <m/>
    <m/>
    <m/>
    <m/>
    <m/>
    <n v="0"/>
    <s v="Y"/>
    <n v="8"/>
    <n v="13"/>
    <n v="7"/>
    <m/>
    <m/>
    <m/>
    <m/>
    <m/>
    <n v="28"/>
    <n v="8"/>
    <n v="13"/>
    <n v="7"/>
    <n v="0"/>
    <n v="0"/>
    <n v="0"/>
    <n v="0"/>
    <n v="0"/>
    <n v="28"/>
    <x v="1"/>
    <m/>
    <n v="9.3000000000000007"/>
    <n v="9.3000000000000007"/>
    <n v="9.4"/>
    <m/>
    <m/>
    <m/>
    <m/>
    <m/>
    <m/>
    <m/>
    <m/>
    <m/>
    <m/>
    <m/>
    <m/>
    <m/>
    <n v="28"/>
    <n v="28"/>
    <s v="N"/>
    <s v="N"/>
    <s v="N"/>
    <n v="515278"/>
    <n v="173797"/>
    <x v="4"/>
    <x v="5"/>
    <x v="0"/>
    <x v="0"/>
    <m/>
    <x v="1"/>
    <x v="0"/>
    <m/>
    <x v="0"/>
    <s v="Y"/>
    <x v="4"/>
    <x v="0"/>
  </r>
  <r>
    <s v="21/3136/FUL"/>
    <x v="0"/>
    <x v="0"/>
    <x v="126"/>
    <d v="2026-02-28T00:00:00"/>
    <d v="2024-03-03T00:00:00"/>
    <m/>
    <x v="1"/>
    <x v="6"/>
    <x v="0"/>
    <m/>
    <x v="3"/>
    <s v="Demolition of existing college buildings, removal of hard-surfacing, site clearance and groundworks together with the redevelopment of the site to provide new residential units; together with associated parking, cycle parking, open space and landscaping."/>
    <s v="Richmond Upon Thames College, Langhorn Drive, Twickenham TW2 7SJ_x000a_"/>
    <s v="TW2 7SJ"/>
    <m/>
    <m/>
    <m/>
    <m/>
    <m/>
    <m/>
    <m/>
    <m/>
    <m/>
    <n v="0"/>
    <s v="Y"/>
    <n v="29"/>
    <n v="41"/>
    <n v="10"/>
    <m/>
    <m/>
    <m/>
    <m/>
    <m/>
    <n v="80"/>
    <n v="29"/>
    <n v="41"/>
    <n v="10"/>
    <n v="0"/>
    <n v="0"/>
    <n v="0"/>
    <n v="0"/>
    <n v="0"/>
    <n v="80"/>
    <x v="1"/>
    <m/>
    <n v="26.6"/>
    <n v="26.7"/>
    <n v="26.7"/>
    <m/>
    <m/>
    <m/>
    <m/>
    <m/>
    <m/>
    <m/>
    <m/>
    <m/>
    <m/>
    <m/>
    <m/>
    <m/>
    <n v="80"/>
    <n v="80"/>
    <s v="N"/>
    <s v="N"/>
    <s v="N"/>
    <n v="515278"/>
    <n v="173797"/>
    <x v="4"/>
    <x v="5"/>
    <x v="0"/>
    <x v="0"/>
    <m/>
    <x v="1"/>
    <x v="0"/>
    <m/>
    <x v="0"/>
    <s v="Y"/>
    <x v="4"/>
    <x v="0"/>
  </r>
  <r>
    <s v="21/3136/FUL"/>
    <x v="0"/>
    <x v="0"/>
    <x v="126"/>
    <d v="2026-02-28T00:00:00"/>
    <d v="2024-03-03T00:00:00"/>
    <m/>
    <x v="1"/>
    <x v="0"/>
    <x v="0"/>
    <m/>
    <x v="3"/>
    <s v="Demolition of existing college buildings, removal of hard-surfacing, site clearance and groundworks together with the redevelopment of the site to provide new residential units; together with associated parking, cycle parking, open space and landscaping."/>
    <s v="Richmond Upon Thames College, Langhorn Drive, Twickenham TW2 7SJ_x000a_"/>
    <s v="TW2 7SJ"/>
    <m/>
    <m/>
    <m/>
    <m/>
    <m/>
    <m/>
    <m/>
    <m/>
    <m/>
    <n v="0"/>
    <m/>
    <n v="39"/>
    <n v="31"/>
    <n v="26"/>
    <n v="8"/>
    <m/>
    <m/>
    <m/>
    <m/>
    <n v="104"/>
    <n v="39"/>
    <n v="31"/>
    <n v="26"/>
    <n v="8"/>
    <n v="0"/>
    <n v="0"/>
    <n v="0"/>
    <n v="0"/>
    <n v="104"/>
    <x v="1"/>
    <m/>
    <n v="34.6"/>
    <n v="34.700000000000003"/>
    <n v="34.700000000000003"/>
    <m/>
    <m/>
    <m/>
    <m/>
    <m/>
    <m/>
    <m/>
    <m/>
    <m/>
    <m/>
    <m/>
    <m/>
    <m/>
    <n v="104.00000000000001"/>
    <n v="104.00000000000001"/>
    <s v="N"/>
    <s v="N"/>
    <s v="N"/>
    <n v="515278"/>
    <n v="173797"/>
    <x v="4"/>
    <x v="5"/>
    <x v="0"/>
    <x v="0"/>
    <m/>
    <x v="1"/>
    <x v="0"/>
    <m/>
    <x v="0"/>
    <s v="Y"/>
    <x v="4"/>
    <x v="0"/>
  </r>
  <r>
    <s v="21/3140/FUL"/>
    <x v="0"/>
    <x v="0"/>
    <x v="42"/>
    <d v="2025-08-12T00:00:00"/>
    <d v="2023-12-01T00:00:00"/>
    <m/>
    <x v="1"/>
    <x v="0"/>
    <x v="0"/>
    <m/>
    <x v="3"/>
    <s v="Demolition of 3 houses and construction of 8 new houses at 38 to 42 Vincam close"/>
    <s v="38 - 42 Vincam Close, Twickenham_x000a__x000a_"/>
    <m/>
    <m/>
    <m/>
    <n v="1"/>
    <n v="1"/>
    <m/>
    <n v="1"/>
    <m/>
    <m/>
    <m/>
    <n v="3"/>
    <m/>
    <m/>
    <m/>
    <n v="6"/>
    <n v="2"/>
    <m/>
    <m/>
    <m/>
    <m/>
    <n v="8"/>
    <n v="0"/>
    <n v="-1"/>
    <n v="5"/>
    <n v="2"/>
    <n v="-1"/>
    <n v="0"/>
    <n v="0"/>
    <n v="0"/>
    <n v="5"/>
    <x v="1"/>
    <m/>
    <n v="5"/>
    <m/>
    <m/>
    <m/>
    <m/>
    <m/>
    <m/>
    <m/>
    <m/>
    <m/>
    <m/>
    <m/>
    <m/>
    <m/>
    <m/>
    <m/>
    <n v="5"/>
    <n v="5"/>
    <s v="N"/>
    <s v="N"/>
    <s v="N"/>
    <n v="513356"/>
    <n v="173823"/>
    <x v="0"/>
    <x v="13"/>
    <x v="0"/>
    <x v="0"/>
    <m/>
    <x v="1"/>
    <x v="0"/>
    <m/>
    <x v="0"/>
    <s v="Y"/>
    <x v="0"/>
    <x v="0"/>
  </r>
  <r>
    <s v="21/3188/FUL"/>
    <x v="0"/>
    <x v="0"/>
    <x v="49"/>
    <d v="2025-08-26T00:00:00"/>
    <d v="2023-09-04T00:00:00"/>
    <m/>
    <x v="1"/>
    <x v="0"/>
    <x v="0"/>
    <m/>
    <x v="3"/>
    <s v="Erection of 7 residential units (4 x 1 and 2 bed flats and 3 x 3 bed houses) with ground floor Class E commercial business and service space (73.3m2) including associated works."/>
    <s v="Adjacent To 118 Kneller Road, Twickenham TW2 7DX_x000a_"/>
    <s v="TW10 6UB"/>
    <m/>
    <m/>
    <m/>
    <m/>
    <m/>
    <m/>
    <m/>
    <m/>
    <m/>
    <n v="0"/>
    <m/>
    <n v="2"/>
    <n v="2"/>
    <n v="3"/>
    <m/>
    <m/>
    <m/>
    <m/>
    <m/>
    <n v="7"/>
    <n v="2"/>
    <n v="2"/>
    <n v="3"/>
    <n v="0"/>
    <n v="0"/>
    <n v="0"/>
    <n v="0"/>
    <n v="0"/>
    <n v="7"/>
    <x v="1"/>
    <m/>
    <n v="1.75"/>
    <n v="1.75"/>
    <n v="1.75"/>
    <n v="1.75"/>
    <m/>
    <m/>
    <m/>
    <m/>
    <m/>
    <m/>
    <m/>
    <m/>
    <m/>
    <m/>
    <m/>
    <m/>
    <n v="7"/>
    <n v="7"/>
    <s v="N"/>
    <s v="N"/>
    <s v="N"/>
    <n v="514498"/>
    <n v="174249"/>
    <x v="0"/>
    <x v="13"/>
    <x v="0"/>
    <x v="0"/>
    <m/>
    <x v="1"/>
    <x v="0"/>
    <m/>
    <x v="0"/>
    <s v="Y"/>
    <x v="0"/>
    <x v="0"/>
  </r>
  <r>
    <s v="21/4119/FUL"/>
    <x v="0"/>
    <x v="0"/>
    <x v="127"/>
    <d v="2025-08-05T00:00:00"/>
    <d v="2023-03-01T00:00:00"/>
    <m/>
    <x v="1"/>
    <x v="0"/>
    <x v="0"/>
    <m/>
    <x v="3"/>
    <s v="Construction of new detached family home following demolition of existing detached bungalow."/>
    <s v="92 Sandy Lane, Teddington TW11 0DF_x000a_"/>
    <s v="TW11 0DF"/>
    <m/>
    <m/>
    <m/>
    <n v="1"/>
    <m/>
    <m/>
    <m/>
    <m/>
    <m/>
    <n v="1"/>
    <m/>
    <m/>
    <m/>
    <m/>
    <n v="1"/>
    <m/>
    <m/>
    <m/>
    <m/>
    <n v="1"/>
    <n v="0"/>
    <n v="0"/>
    <n v="-1"/>
    <n v="1"/>
    <n v="0"/>
    <n v="0"/>
    <n v="0"/>
    <n v="0"/>
    <n v="0"/>
    <x v="1"/>
    <m/>
    <n v="0"/>
    <m/>
    <m/>
    <m/>
    <m/>
    <m/>
    <m/>
    <m/>
    <m/>
    <m/>
    <m/>
    <m/>
    <m/>
    <m/>
    <m/>
    <m/>
    <n v="0"/>
    <n v="0"/>
    <s v="N"/>
    <s v="N"/>
    <s v="N"/>
    <n v="516237"/>
    <n v="170397"/>
    <x v="1"/>
    <x v="16"/>
    <x v="0"/>
    <x v="0"/>
    <m/>
    <x v="1"/>
    <x v="0"/>
    <m/>
    <x v="0"/>
    <s v="Y"/>
    <x v="6"/>
    <x v="0"/>
  </r>
  <r>
    <s v="21/4123/GPD26"/>
    <x v="1"/>
    <x v="1"/>
    <x v="128"/>
    <d v="2025-01-21T00:00:00"/>
    <d v="2023-01-10T00:00:00"/>
    <m/>
    <x v="1"/>
    <x v="0"/>
    <x v="0"/>
    <m/>
    <x v="3"/>
    <s v="Change of use and conversion of Unit H from Use Class E office to Use Class C3 dwelling house, with ground level car and cycle parking and refuse storage."/>
    <s v="Unit H, 42 Upper Richmond Road West, East Sheen SW14 8DD_x000a_"/>
    <s v="SW14 8DD"/>
    <m/>
    <m/>
    <m/>
    <m/>
    <m/>
    <m/>
    <m/>
    <m/>
    <m/>
    <n v="0"/>
    <m/>
    <n v="1"/>
    <m/>
    <m/>
    <m/>
    <m/>
    <m/>
    <m/>
    <m/>
    <n v="1"/>
    <n v="1"/>
    <n v="0"/>
    <n v="0"/>
    <n v="0"/>
    <n v="0"/>
    <n v="0"/>
    <n v="0"/>
    <n v="0"/>
    <n v="1"/>
    <x v="1"/>
    <m/>
    <n v="1"/>
    <m/>
    <m/>
    <m/>
    <m/>
    <m/>
    <m/>
    <m/>
    <m/>
    <m/>
    <m/>
    <m/>
    <m/>
    <m/>
    <m/>
    <m/>
    <n v="1"/>
    <n v="1"/>
    <s v="N"/>
    <s v="N"/>
    <s v="N"/>
    <n v="521328"/>
    <n v="175496"/>
    <x v="3"/>
    <x v="9"/>
    <x v="0"/>
    <x v="0"/>
    <m/>
    <x v="1"/>
    <x v="0"/>
    <m/>
    <x v="0"/>
    <s v="Y"/>
    <x v="7"/>
    <x v="0"/>
  </r>
  <r>
    <s v="22/0304/GPD26"/>
    <x v="1"/>
    <x v="1"/>
    <x v="44"/>
    <d v="2025-03-24T00:00:00"/>
    <d v="2023-01-10T00:00:00"/>
    <m/>
    <x v="1"/>
    <x v="0"/>
    <x v="0"/>
    <m/>
    <x v="3"/>
    <s v="Change of use from class E office to single dwellinghouse, with ground level car and cycle parking and refuse storage."/>
    <s v="Unit J1 And J2, 42 Upper Richmond Road West, East Sheen SW14 8DD_x000a_"/>
    <s v="SW14 8DD"/>
    <m/>
    <m/>
    <m/>
    <m/>
    <m/>
    <m/>
    <m/>
    <m/>
    <m/>
    <n v="0"/>
    <m/>
    <m/>
    <n v="1"/>
    <m/>
    <m/>
    <m/>
    <m/>
    <m/>
    <m/>
    <n v="1"/>
    <n v="0"/>
    <n v="1"/>
    <n v="0"/>
    <n v="0"/>
    <n v="0"/>
    <n v="0"/>
    <n v="0"/>
    <n v="0"/>
    <n v="1"/>
    <x v="1"/>
    <m/>
    <n v="1"/>
    <m/>
    <m/>
    <m/>
    <m/>
    <m/>
    <m/>
    <m/>
    <m/>
    <m/>
    <m/>
    <m/>
    <m/>
    <m/>
    <m/>
    <m/>
    <n v="1"/>
    <n v="1"/>
    <s v="N"/>
    <s v="N"/>
    <s v="N"/>
    <n v="521328"/>
    <n v="175496"/>
    <x v="3"/>
    <x v="9"/>
    <x v="0"/>
    <x v="0"/>
    <m/>
    <x v="1"/>
    <x v="0"/>
    <m/>
    <x v="0"/>
    <s v="Y"/>
    <x v="7"/>
    <x v="0"/>
  </r>
  <r>
    <s v="22/0399/FUL"/>
    <x v="0"/>
    <x v="0"/>
    <x v="129"/>
    <d v="2025-11-07T00:00:00"/>
    <d v="2024-03-01T00:00:00"/>
    <m/>
    <x v="1"/>
    <x v="7"/>
    <x v="0"/>
    <m/>
    <x v="3"/>
    <s v="Construction of a part 1/2/3 storey building including basement level to provide 14 co-living units (sui generis) and associated hard and soft landscaping, cycle and refuse stores"/>
    <s v="47A 47 And 49 Lower Mortlake Road, Richmond_x000a__x000a_"/>
    <s v="TW9 2LW"/>
    <m/>
    <m/>
    <m/>
    <m/>
    <m/>
    <m/>
    <m/>
    <m/>
    <m/>
    <n v="0"/>
    <m/>
    <n v="14"/>
    <m/>
    <m/>
    <m/>
    <m/>
    <m/>
    <m/>
    <m/>
    <n v="14"/>
    <n v="14"/>
    <n v="0"/>
    <n v="0"/>
    <n v="0"/>
    <n v="0"/>
    <n v="0"/>
    <n v="0"/>
    <n v="0"/>
    <n v="14"/>
    <x v="1"/>
    <m/>
    <n v="7"/>
    <n v="7"/>
    <m/>
    <m/>
    <m/>
    <m/>
    <m/>
    <m/>
    <m/>
    <m/>
    <m/>
    <m/>
    <m/>
    <m/>
    <m/>
    <m/>
    <n v="14"/>
    <n v="14"/>
    <s v="N"/>
    <s v="N"/>
    <s v="Y"/>
    <n v="518347"/>
    <n v="175427"/>
    <x v="5"/>
    <x v="8"/>
    <x v="0"/>
    <x v="0"/>
    <m/>
    <x v="1"/>
    <x v="0"/>
    <m/>
    <x v="0"/>
    <s v="Y"/>
    <x v="5"/>
    <x v="0"/>
  </r>
  <r>
    <s v="22/0754/FUL"/>
    <x v="0"/>
    <x v="0"/>
    <x v="35"/>
    <d v="2025-08-26T00:00:00"/>
    <d v="2023-02-24T00:00:00"/>
    <m/>
    <x v="1"/>
    <x v="0"/>
    <x v="0"/>
    <m/>
    <x v="3"/>
    <s v="Demolition and reconstruction of a terraced property with basement, ground and loft extensions."/>
    <s v="28 Westfields Avenue, Barnes SW13 0AU_x000a_"/>
    <s v="SW13 0AU"/>
    <m/>
    <m/>
    <m/>
    <n v="1"/>
    <m/>
    <m/>
    <m/>
    <m/>
    <m/>
    <n v="1"/>
    <m/>
    <m/>
    <m/>
    <n v="1"/>
    <m/>
    <m/>
    <m/>
    <m/>
    <m/>
    <n v="1"/>
    <n v="0"/>
    <n v="0"/>
    <n v="0"/>
    <n v="0"/>
    <n v="0"/>
    <n v="0"/>
    <n v="0"/>
    <n v="0"/>
    <n v="0"/>
    <x v="1"/>
    <m/>
    <n v="0"/>
    <m/>
    <m/>
    <m/>
    <m/>
    <m/>
    <m/>
    <m/>
    <m/>
    <m/>
    <m/>
    <m/>
    <m/>
    <m/>
    <m/>
    <m/>
    <n v="0"/>
    <n v="0"/>
    <s v="N"/>
    <s v="N"/>
    <s v="N"/>
    <n v="521430"/>
    <n v="175853"/>
    <x v="3"/>
    <x v="9"/>
    <x v="0"/>
    <x v="0"/>
    <m/>
    <x v="1"/>
    <x v="0"/>
    <s v="CA16 Thorne Passage Mortlake"/>
    <x v="1"/>
    <s v="Y"/>
    <x v="3"/>
    <x v="0"/>
  </r>
  <r>
    <s v="22/1458/FUL"/>
    <x v="0"/>
    <x v="0"/>
    <x v="130"/>
    <d v="2026-09-06T00:00:00"/>
    <d v="2023-12-01T00:00:00"/>
    <m/>
    <x v="1"/>
    <x v="0"/>
    <x v="0"/>
    <m/>
    <x v="3"/>
    <s v="Erect new end-of-terrace dwelling. Part removal of ground floor rear extension on existing dwellinghouse (amended description)."/>
    <s v="57 Warwick Road, Twickenham TW2 6SW_x000a_"/>
    <s v="TW2 6SW"/>
    <m/>
    <m/>
    <m/>
    <m/>
    <m/>
    <m/>
    <m/>
    <m/>
    <m/>
    <n v="0"/>
    <m/>
    <m/>
    <n v="1"/>
    <m/>
    <m/>
    <m/>
    <m/>
    <m/>
    <m/>
    <n v="1"/>
    <n v="0"/>
    <n v="1"/>
    <n v="0"/>
    <n v="0"/>
    <n v="0"/>
    <n v="0"/>
    <n v="0"/>
    <n v="0"/>
    <n v="1"/>
    <x v="1"/>
    <m/>
    <n v="1"/>
    <m/>
    <m/>
    <m/>
    <m/>
    <m/>
    <m/>
    <m/>
    <m/>
    <m/>
    <m/>
    <m/>
    <m/>
    <m/>
    <m/>
    <m/>
    <n v="1"/>
    <n v="1"/>
    <s v="N"/>
    <s v="N"/>
    <s v="N"/>
    <n v="515446"/>
    <n v="173215"/>
    <x v="4"/>
    <x v="7"/>
    <x v="0"/>
    <x v="0"/>
    <m/>
    <x v="1"/>
    <x v="0"/>
    <s v="CA72 Hamilton Road Twickenham"/>
    <x v="1"/>
    <s v="Y"/>
    <x v="4"/>
    <x v="1"/>
  </r>
  <r>
    <s v="22/1711/FUL"/>
    <x v="0"/>
    <x v="0"/>
    <x v="131"/>
    <d v="2026-04-20T00:00:00"/>
    <d v="2023-11-01T00:00:00"/>
    <m/>
    <x v="1"/>
    <x v="0"/>
    <x v="0"/>
    <m/>
    <x v="3"/>
    <s v="Demolition of existing building. Erection of 2 semi-detached houses with associated landscaping, parking, and refuse/cycle storage._x000d_"/>
    <s v="116A Amyand Park Road, Twickenham TW1 3HP"/>
    <s v="TW1 3HP"/>
    <m/>
    <m/>
    <m/>
    <n v="1"/>
    <m/>
    <m/>
    <m/>
    <m/>
    <m/>
    <n v="1"/>
    <m/>
    <m/>
    <m/>
    <n v="2"/>
    <m/>
    <m/>
    <m/>
    <m/>
    <m/>
    <n v="2"/>
    <n v="0"/>
    <n v="0"/>
    <n v="1"/>
    <n v="0"/>
    <n v="0"/>
    <n v="0"/>
    <n v="0"/>
    <n v="0"/>
    <n v="1"/>
    <x v="1"/>
    <m/>
    <n v="1"/>
    <m/>
    <m/>
    <m/>
    <m/>
    <m/>
    <m/>
    <m/>
    <m/>
    <m/>
    <m/>
    <m/>
    <m/>
    <m/>
    <m/>
    <m/>
    <n v="1"/>
    <n v="1"/>
    <s v="N"/>
    <s v="N"/>
    <s v="N"/>
    <n v="516560"/>
    <n v="173850"/>
    <x v="4"/>
    <x v="6"/>
    <x v="0"/>
    <x v="0"/>
    <m/>
    <x v="1"/>
    <x v="0"/>
    <m/>
    <x v="0"/>
    <s v="Y"/>
    <x v="4"/>
    <x v="1"/>
  </r>
  <r>
    <s v="22/1742/FUL"/>
    <x v="0"/>
    <x v="0"/>
    <x v="132"/>
    <d v="2025-12-09T00:00:00"/>
    <d v="2024-01-29T00:00:00"/>
    <m/>
    <x v="1"/>
    <x v="0"/>
    <x v="0"/>
    <m/>
    <x v="3"/>
    <s v="Demolition of existing building and erection of two semi-detached houses"/>
    <s v="34 Udney Park Road, Teddington TW11 9BG_x000a_"/>
    <s v="TW11 9BG"/>
    <m/>
    <m/>
    <m/>
    <n v="1"/>
    <m/>
    <m/>
    <m/>
    <m/>
    <m/>
    <n v="1"/>
    <m/>
    <m/>
    <m/>
    <m/>
    <n v="2"/>
    <m/>
    <m/>
    <m/>
    <m/>
    <n v="2"/>
    <n v="0"/>
    <n v="0"/>
    <n v="-1"/>
    <n v="2"/>
    <n v="0"/>
    <n v="0"/>
    <n v="0"/>
    <n v="0"/>
    <n v="1"/>
    <x v="1"/>
    <m/>
    <n v="1"/>
    <m/>
    <m/>
    <m/>
    <m/>
    <m/>
    <m/>
    <m/>
    <m/>
    <m/>
    <m/>
    <m/>
    <m/>
    <m/>
    <m/>
    <m/>
    <n v="1"/>
    <n v="1"/>
    <s v="N"/>
    <s v="N"/>
    <s v="N"/>
    <n v="516303"/>
    <n v="170784"/>
    <x v="1"/>
    <x v="16"/>
    <x v="0"/>
    <x v="0"/>
    <m/>
    <x v="1"/>
    <x v="0"/>
    <m/>
    <x v="0"/>
    <s v="Y"/>
    <x v="6"/>
    <x v="0"/>
  </r>
  <r>
    <s v="22/2082/FUL"/>
    <x v="0"/>
    <x v="0"/>
    <x v="133"/>
    <d v="2026-01-19T00:00:00"/>
    <d v="2023-10-23T00:00:00"/>
    <m/>
    <x v="1"/>
    <x v="5"/>
    <x v="0"/>
    <m/>
    <x v="3"/>
    <s v="Demolition of 17 existing garages and erection of five one-bed single-storey dwellings (almshouses) for the over 65s."/>
    <s v="Garages Rear Of 20 - 34 St Marys Grove, Richmond_x000a__x000a_"/>
    <s v="TW9 1UY"/>
    <m/>
    <m/>
    <m/>
    <m/>
    <m/>
    <m/>
    <m/>
    <m/>
    <m/>
    <n v="0"/>
    <s v="Y"/>
    <n v="5"/>
    <m/>
    <m/>
    <m/>
    <m/>
    <m/>
    <m/>
    <m/>
    <n v="5"/>
    <n v="5"/>
    <n v="0"/>
    <n v="0"/>
    <n v="0"/>
    <n v="0"/>
    <n v="0"/>
    <n v="0"/>
    <n v="0"/>
    <n v="5"/>
    <x v="1"/>
    <m/>
    <n v="2.5"/>
    <n v="2.5"/>
    <m/>
    <m/>
    <m/>
    <m/>
    <m/>
    <m/>
    <m/>
    <m/>
    <m/>
    <m/>
    <m/>
    <m/>
    <m/>
    <m/>
    <n v="5"/>
    <n v="5"/>
    <s v="Y"/>
    <s v="N"/>
    <s v="N"/>
    <n v="518758"/>
    <n v="175172"/>
    <x v="5"/>
    <x v="8"/>
    <x v="0"/>
    <x v="0"/>
    <m/>
    <x v="1"/>
    <x v="0"/>
    <s v="CA31 Sheen Road Richmond"/>
    <x v="1"/>
    <s v="Y"/>
    <x v="5"/>
    <x v="0"/>
  </r>
  <r>
    <s v="22/2337/GPD26"/>
    <x v="2"/>
    <x v="1"/>
    <x v="47"/>
    <d v="2025-09-16T00:00:00"/>
    <d v="2023-01-16T00:00:00"/>
    <m/>
    <x v="1"/>
    <x v="0"/>
    <x v="0"/>
    <m/>
    <x v="3"/>
    <s v="Conversion of 3 Friars Lane to provide 2no. flats"/>
    <s v="3 Friars Lane, Richmond TW9 1NL_x000a_"/>
    <s v="TW9 1NL"/>
    <m/>
    <m/>
    <m/>
    <m/>
    <m/>
    <m/>
    <m/>
    <m/>
    <m/>
    <n v="0"/>
    <m/>
    <n v="2"/>
    <m/>
    <m/>
    <m/>
    <m/>
    <m/>
    <m/>
    <m/>
    <n v="2"/>
    <n v="2"/>
    <n v="0"/>
    <n v="0"/>
    <n v="0"/>
    <n v="0"/>
    <n v="0"/>
    <n v="0"/>
    <n v="0"/>
    <n v="2"/>
    <x v="1"/>
    <m/>
    <n v="2"/>
    <m/>
    <m/>
    <m/>
    <m/>
    <m/>
    <m/>
    <m/>
    <m/>
    <m/>
    <m/>
    <m/>
    <m/>
    <m/>
    <m/>
    <m/>
    <n v="2"/>
    <n v="2"/>
    <s v="N"/>
    <s v="N"/>
    <s v="N"/>
    <n v="517628"/>
    <n v="174828"/>
    <x v="5"/>
    <x v="10"/>
    <x v="0"/>
    <x v="0"/>
    <m/>
    <x v="1"/>
    <x v="0"/>
    <s v="CA3 Richmond Green"/>
    <x v="1"/>
    <s v="Y"/>
    <x v="5"/>
    <x v="0"/>
  </r>
  <r>
    <s v="22/2338/GPD26"/>
    <x v="1"/>
    <x v="1"/>
    <x v="47"/>
    <d v="2025-09-16T00:00:00"/>
    <d v="2023-01-16T00:00:00"/>
    <m/>
    <x v="1"/>
    <x v="0"/>
    <x v="0"/>
    <m/>
    <x v="3"/>
    <s v="Conversion of part of 4 Friars Lane to provide 1no. flat"/>
    <s v="4 Friars Lane, Richmond TW9 1NL"/>
    <s v="TW9 1NL"/>
    <m/>
    <m/>
    <m/>
    <m/>
    <m/>
    <m/>
    <m/>
    <m/>
    <m/>
    <n v="0"/>
    <m/>
    <m/>
    <n v="1"/>
    <m/>
    <m/>
    <m/>
    <m/>
    <m/>
    <m/>
    <n v="1"/>
    <n v="0"/>
    <n v="1"/>
    <n v="0"/>
    <n v="0"/>
    <n v="0"/>
    <n v="0"/>
    <n v="0"/>
    <n v="0"/>
    <n v="1"/>
    <x v="1"/>
    <m/>
    <n v="1"/>
    <m/>
    <m/>
    <m/>
    <m/>
    <m/>
    <m/>
    <m/>
    <m/>
    <m/>
    <m/>
    <m/>
    <m/>
    <m/>
    <m/>
    <m/>
    <n v="1"/>
    <n v="1"/>
    <s v="N"/>
    <s v="N"/>
    <s v="N"/>
    <n v="517623"/>
    <n v="174826"/>
    <x v="5"/>
    <x v="10"/>
    <x v="0"/>
    <x v="0"/>
    <m/>
    <x v="1"/>
    <x v="0"/>
    <s v="CA3 Richmond Green"/>
    <x v="1"/>
    <s v="Y"/>
    <x v="5"/>
    <x v="0"/>
  </r>
  <r>
    <s v="22/2628/FUL"/>
    <x v="2"/>
    <x v="0"/>
    <x v="134"/>
    <d v="2025-11-16T00:00:00"/>
    <d v="2023-01-09T00:00:00"/>
    <m/>
    <x v="1"/>
    <x v="0"/>
    <x v="0"/>
    <m/>
    <x v="3"/>
    <s v="New single storey side extension, new verandah roof, replacement fenestration to all elevations, new rooflights to existing rear extension, new roof dormers and associated landscaping to facilitate the conversion of existing 2 properties into 1 dwellinghouse. Extension to existing basement, new car stacker.  Installation of 2 x ASHPs, 3 x AC units and associated enclosure in garden."/>
    <s v="174 Kew Road, Kew, Richmond TW9 2AS_x000a_"/>
    <s v="TW9 2AS"/>
    <m/>
    <m/>
    <m/>
    <n v="1"/>
    <m/>
    <n v="1"/>
    <m/>
    <m/>
    <m/>
    <n v="2"/>
    <m/>
    <m/>
    <m/>
    <m/>
    <m/>
    <m/>
    <m/>
    <m/>
    <n v="1"/>
    <n v="1"/>
    <n v="0"/>
    <n v="0"/>
    <n v="-1"/>
    <n v="0"/>
    <n v="-1"/>
    <n v="0"/>
    <n v="0"/>
    <n v="1"/>
    <n v="-1"/>
    <x v="1"/>
    <m/>
    <n v="-1"/>
    <m/>
    <m/>
    <m/>
    <m/>
    <m/>
    <m/>
    <m/>
    <m/>
    <m/>
    <m/>
    <m/>
    <m/>
    <m/>
    <m/>
    <m/>
    <n v="-1"/>
    <n v="-1"/>
    <s v="N"/>
    <s v="N"/>
    <s v="N"/>
    <n v="518640"/>
    <n v="175931"/>
    <x v="5"/>
    <x v="8"/>
    <x v="0"/>
    <x v="0"/>
    <m/>
    <x v="1"/>
    <x v="0"/>
    <s v="CA55 Kew Road"/>
    <x v="1"/>
    <s v="Y"/>
    <x v="8"/>
    <x v="0"/>
  </r>
  <r>
    <s v="22/3002/GPD26"/>
    <x v="1"/>
    <x v="1"/>
    <x v="135"/>
    <d v="2025-11-20T00:00:00"/>
    <d v="2023-01-16T00:00:00"/>
    <m/>
    <x v="1"/>
    <x v="0"/>
    <x v="0"/>
    <m/>
    <x v="3"/>
    <s v="Conversion of offices on ground floor (Class E Use) to 1no. residential dwelling (Class C3 Use)"/>
    <s v="Friars Way, The Green, Richmond TW9 1NQ_x000a_"/>
    <s v="TW9 1NQ"/>
    <m/>
    <m/>
    <m/>
    <m/>
    <m/>
    <m/>
    <m/>
    <m/>
    <m/>
    <n v="0"/>
    <m/>
    <n v="1"/>
    <m/>
    <m/>
    <m/>
    <m/>
    <m/>
    <m/>
    <m/>
    <n v="1"/>
    <n v="1"/>
    <n v="0"/>
    <n v="0"/>
    <n v="0"/>
    <n v="0"/>
    <n v="0"/>
    <n v="0"/>
    <n v="0"/>
    <n v="1"/>
    <x v="1"/>
    <m/>
    <n v="1"/>
    <m/>
    <m/>
    <m/>
    <m/>
    <m/>
    <m/>
    <m/>
    <m/>
    <m/>
    <m/>
    <m/>
    <m/>
    <m/>
    <m/>
    <m/>
    <n v="1"/>
    <n v="1"/>
    <s v="N"/>
    <s v="N"/>
    <s v="N"/>
    <n v="517638"/>
    <n v="174846"/>
    <x v="5"/>
    <x v="10"/>
    <x v="0"/>
    <x v="0"/>
    <m/>
    <x v="1"/>
    <x v="0"/>
    <s v="CA3 Richmond Green"/>
    <x v="1"/>
    <s v="Y"/>
    <x v="5"/>
    <x v="0"/>
  </r>
  <r>
    <s v="22/3626/GPD26"/>
    <x v="1"/>
    <x v="1"/>
    <x v="55"/>
    <d v="2026-01-26T00:00:00"/>
    <d v="2023-01-26T00:00:00"/>
    <m/>
    <x v="1"/>
    <x v="0"/>
    <x v="0"/>
    <m/>
    <x v="3"/>
    <s v="Conversion of first and second floor office accommodation to provide 2no. flats"/>
    <s v="2 Friars Lane, Richmond TW9 1NL_x000a_"/>
    <s v="TW9 1NL"/>
    <m/>
    <m/>
    <m/>
    <m/>
    <m/>
    <m/>
    <m/>
    <m/>
    <m/>
    <n v="0"/>
    <m/>
    <n v="2"/>
    <m/>
    <m/>
    <m/>
    <m/>
    <m/>
    <m/>
    <m/>
    <n v="2"/>
    <n v="2"/>
    <n v="0"/>
    <n v="0"/>
    <n v="0"/>
    <n v="0"/>
    <n v="0"/>
    <n v="0"/>
    <n v="0"/>
    <n v="2"/>
    <x v="1"/>
    <m/>
    <n v="2"/>
    <m/>
    <m/>
    <m/>
    <m/>
    <m/>
    <m/>
    <m/>
    <m/>
    <m/>
    <m/>
    <m/>
    <m/>
    <m/>
    <m/>
    <m/>
    <n v="2"/>
    <n v="2"/>
    <s v="N"/>
    <s v="N"/>
    <s v="N"/>
    <n v="517631"/>
    <n v="174833"/>
    <x v="5"/>
    <x v="10"/>
    <x v="0"/>
    <x v="0"/>
    <m/>
    <x v="1"/>
    <x v="0"/>
    <s v="CA3 Richmond Green"/>
    <x v="1"/>
    <s v="Y"/>
    <x v="5"/>
    <x v="0"/>
  </r>
  <r>
    <s v="22/3810/FUL"/>
    <x v="0"/>
    <x v="0"/>
    <x v="136"/>
    <d v="2026-12-21T00:00:00"/>
    <d v="2024-03-01T00:00:00"/>
    <m/>
    <x v="1"/>
    <x v="0"/>
    <x v="0"/>
    <m/>
    <x v="3"/>
    <s v="Erection of a single storey, detached, two-bedroom dwelling finished with green roof and associated cycle parking, refuse storage and landscaping."/>
    <s v="Land Rear Of 185 Waldegrave Road, Teddington_x000a_"/>
    <s v="TW11 8LU"/>
    <m/>
    <m/>
    <m/>
    <m/>
    <m/>
    <m/>
    <m/>
    <m/>
    <m/>
    <n v="0"/>
    <m/>
    <m/>
    <n v="1"/>
    <m/>
    <m/>
    <m/>
    <m/>
    <m/>
    <m/>
    <n v="1"/>
    <n v="0"/>
    <n v="1"/>
    <n v="0"/>
    <n v="0"/>
    <n v="0"/>
    <n v="0"/>
    <n v="0"/>
    <n v="0"/>
    <n v="1"/>
    <x v="1"/>
    <m/>
    <n v="0.5"/>
    <n v="0.5"/>
    <m/>
    <m/>
    <m/>
    <m/>
    <m/>
    <m/>
    <m/>
    <m/>
    <m/>
    <m/>
    <m/>
    <m/>
    <m/>
    <m/>
    <n v="1"/>
    <n v="1"/>
    <s v="N"/>
    <s v="N"/>
    <s v="N"/>
    <n v="515563"/>
    <n v="171631"/>
    <x v="1"/>
    <x v="16"/>
    <x v="0"/>
    <x v="0"/>
    <m/>
    <x v="1"/>
    <x v="0"/>
    <m/>
    <x v="0"/>
    <s v="Y"/>
    <x v="6"/>
    <x v="0"/>
  </r>
  <r>
    <s v="23/0253/GPD26"/>
    <x v="1"/>
    <x v="1"/>
    <x v="137"/>
    <d v="2026-03-13T00:00:00"/>
    <d v="2024-01-08T00:00:00"/>
    <m/>
    <x v="1"/>
    <x v="0"/>
    <x v="0"/>
    <m/>
    <x v="3"/>
    <s v="Conversion of first floor to two self-contained residential flats"/>
    <s v="26A York Street, Twickenham TW1 3LJ_x000a_"/>
    <s v="TW1 3LJ"/>
    <m/>
    <m/>
    <m/>
    <m/>
    <m/>
    <m/>
    <m/>
    <m/>
    <m/>
    <n v="0"/>
    <m/>
    <n v="2"/>
    <m/>
    <m/>
    <m/>
    <m/>
    <m/>
    <m/>
    <m/>
    <n v="2"/>
    <n v="2"/>
    <n v="0"/>
    <n v="0"/>
    <n v="0"/>
    <n v="0"/>
    <n v="0"/>
    <n v="0"/>
    <n v="0"/>
    <n v="2"/>
    <x v="1"/>
    <m/>
    <m/>
    <n v="2"/>
    <m/>
    <m/>
    <m/>
    <m/>
    <m/>
    <m/>
    <m/>
    <m/>
    <m/>
    <m/>
    <m/>
    <m/>
    <m/>
    <m/>
    <n v="2"/>
    <n v="2"/>
    <s v="N"/>
    <s v="N"/>
    <s v="N"/>
    <n v="516335"/>
    <n v="173355"/>
    <x v="4"/>
    <x v="6"/>
    <x v="3"/>
    <x v="0"/>
    <m/>
    <x v="1"/>
    <x v="0"/>
    <s v="CA8 Twickenham Riverside"/>
    <x v="1"/>
    <s v="Y"/>
    <x v="4"/>
    <x v="0"/>
  </r>
  <r>
    <s v="23/0399/FUL"/>
    <x v="0"/>
    <x v="0"/>
    <x v="138"/>
    <d v="2024-09-30T00:00:00"/>
    <d v="2023-11-01T00:00:00"/>
    <m/>
    <x v="1"/>
    <x v="0"/>
    <x v="0"/>
    <m/>
    <x v="3"/>
    <s v="Demolition of the Existing house and outbuildings and replacement with a Single Family Dwelling"/>
    <s v="19 Nylands Avenue, Kew, Richmond TW9 4HH_x000a_"/>
    <s v="TW9 4HH"/>
    <m/>
    <m/>
    <m/>
    <m/>
    <m/>
    <n v="1"/>
    <m/>
    <m/>
    <m/>
    <n v="1"/>
    <m/>
    <m/>
    <m/>
    <m/>
    <m/>
    <m/>
    <n v="1"/>
    <m/>
    <m/>
    <n v="1"/>
    <n v="0"/>
    <n v="0"/>
    <n v="0"/>
    <n v="0"/>
    <n v="-1"/>
    <n v="1"/>
    <n v="0"/>
    <n v="0"/>
    <n v="0"/>
    <x v="1"/>
    <m/>
    <n v="0"/>
    <m/>
    <m/>
    <m/>
    <m/>
    <m/>
    <m/>
    <m/>
    <m/>
    <m/>
    <m/>
    <m/>
    <m/>
    <m/>
    <m/>
    <m/>
    <n v="0"/>
    <n v="0"/>
    <s v="N"/>
    <s v="N"/>
    <s v="N"/>
    <n v="519305"/>
    <n v="176468"/>
    <x v="5"/>
    <x v="15"/>
    <x v="0"/>
    <x v="0"/>
    <m/>
    <x v="1"/>
    <x v="0"/>
    <m/>
    <x v="0"/>
    <s v="Y"/>
    <x v="8"/>
    <x v="0"/>
  </r>
  <r>
    <s v="23/0679/FUL"/>
    <x v="1"/>
    <x v="0"/>
    <x v="139"/>
    <d v="2026-06-23T00:00:00"/>
    <d v="2023-11-27T00:00:00"/>
    <m/>
    <x v="1"/>
    <x v="0"/>
    <x v="0"/>
    <m/>
    <x v="3"/>
    <s v="Reversion of 2 bedroom flat, converted in 1990s, back to use as part of Park Lane Stables to accommodate DDA compliant w.c., counselling room, reception area and stable for 'Cuddle Horse' and associated works to improve accessibility and usability. Change"/>
    <s v="Park Lane Stables, Park Lane, Teddington TW11 0HY_x000a_"/>
    <s v="TW11 0HY"/>
    <m/>
    <m/>
    <n v="1"/>
    <m/>
    <m/>
    <m/>
    <m/>
    <m/>
    <m/>
    <n v="1"/>
    <m/>
    <m/>
    <m/>
    <m/>
    <m/>
    <m/>
    <m/>
    <m/>
    <m/>
    <n v="0"/>
    <n v="0"/>
    <n v="-1"/>
    <n v="0"/>
    <n v="0"/>
    <n v="0"/>
    <n v="0"/>
    <n v="0"/>
    <n v="0"/>
    <n v="-1"/>
    <x v="1"/>
    <m/>
    <n v="-1"/>
    <m/>
    <m/>
    <m/>
    <m/>
    <m/>
    <m/>
    <m/>
    <m/>
    <m/>
    <m/>
    <m/>
    <m/>
    <m/>
    <m/>
    <m/>
    <n v="-1"/>
    <n v="-1"/>
    <m/>
    <m/>
    <m/>
    <n v="515689"/>
    <n v="170740"/>
    <x v="1"/>
    <x v="16"/>
    <x v="0"/>
    <x v="0"/>
    <m/>
    <x v="1"/>
    <x v="0"/>
    <m/>
    <x v="0"/>
    <s v="Y"/>
    <x v="6"/>
    <x v="2"/>
  </r>
  <r>
    <s v="23/1118/FUL"/>
    <x v="1"/>
    <x v="0"/>
    <x v="140"/>
    <d v="2026-08-17T00:00:00"/>
    <d v="2024-01-16T00:00:00"/>
    <m/>
    <x v="1"/>
    <x v="0"/>
    <x v="0"/>
    <m/>
    <x v="3"/>
    <s v="Conversion of redundant garage to 1bedroom flat with associated external alterations together with the provision of bin and cycle storage."/>
    <s v="2 Friars Lane, Richmond TW9 1NL_x000a_"/>
    <s v="TW9 1NL"/>
    <m/>
    <m/>
    <m/>
    <m/>
    <m/>
    <m/>
    <m/>
    <m/>
    <m/>
    <n v="0"/>
    <m/>
    <n v="1"/>
    <m/>
    <m/>
    <m/>
    <m/>
    <m/>
    <m/>
    <m/>
    <n v="1"/>
    <n v="1"/>
    <n v="0"/>
    <n v="0"/>
    <n v="0"/>
    <n v="0"/>
    <n v="0"/>
    <n v="0"/>
    <n v="0"/>
    <n v="1"/>
    <x v="1"/>
    <m/>
    <n v="1"/>
    <m/>
    <m/>
    <m/>
    <m/>
    <m/>
    <m/>
    <m/>
    <m/>
    <m/>
    <m/>
    <m/>
    <m/>
    <m/>
    <m/>
    <m/>
    <n v="1"/>
    <n v="1"/>
    <s v="N"/>
    <s v="N"/>
    <s v="N"/>
    <n v="517631"/>
    <n v="174833"/>
    <x v="5"/>
    <x v="10"/>
    <x v="0"/>
    <x v="0"/>
    <m/>
    <x v="1"/>
    <x v="0"/>
    <s v="CA3 Richmond Green"/>
    <x v="1"/>
    <s v="Y"/>
    <x v="5"/>
    <x v="0"/>
  </r>
  <r>
    <s v="23/1154/FUL"/>
    <x v="4"/>
    <x v="0"/>
    <x v="141"/>
    <d v="2027-01-30T00:00:00"/>
    <d v="2024-01-30T00:00:00"/>
    <m/>
    <x v="1"/>
    <x v="0"/>
    <x v="0"/>
    <m/>
    <x v="3"/>
    <s v="Proposed single storey extensions, single storey roof canopy &amp; roof space conversion to existing workshop to rear (part-retrospective); 3 No. residential unit infill over access road to front; adjustment to access point with dropped kerb; plus cycle parki"/>
    <s v="31 Stanley Road, Teddington TW11 8TP_x000a_"/>
    <s v="TW11 8TP"/>
    <m/>
    <m/>
    <m/>
    <m/>
    <m/>
    <m/>
    <m/>
    <m/>
    <m/>
    <n v="0"/>
    <m/>
    <n v="2"/>
    <m/>
    <n v="1"/>
    <m/>
    <m/>
    <m/>
    <m/>
    <m/>
    <n v="3"/>
    <n v="2"/>
    <n v="0"/>
    <n v="1"/>
    <n v="0"/>
    <n v="0"/>
    <n v="0"/>
    <n v="0"/>
    <n v="0"/>
    <n v="3"/>
    <x v="1"/>
    <m/>
    <n v="1.5"/>
    <n v="1.5"/>
    <m/>
    <m/>
    <m/>
    <m/>
    <m/>
    <m/>
    <m/>
    <m/>
    <m/>
    <m/>
    <m/>
    <m/>
    <m/>
    <m/>
    <n v="3"/>
    <n v="3"/>
    <s v="N"/>
    <s v="N"/>
    <s v="N"/>
    <n v="515296"/>
    <n v="171228"/>
    <x v="1"/>
    <x v="14"/>
    <x v="0"/>
    <x v="0"/>
    <m/>
    <x v="1"/>
    <x v="0"/>
    <m/>
    <x v="0"/>
    <s v="Y"/>
    <x v="6"/>
    <x v="0"/>
  </r>
  <r>
    <s v="23/1495/GPD26"/>
    <x v="1"/>
    <x v="1"/>
    <x v="142"/>
    <d v="2026-07-24T00:00:00"/>
    <d v="2024-02-01T00:00:00"/>
    <m/>
    <x v="1"/>
    <x v="0"/>
    <x v="0"/>
    <m/>
    <x v="3"/>
    <s v="Prior approval for change of use from Commercial, Business and Service (Use Class E) to Dwellinghouses (Use Class C3) to form 3 dwellings. _x000d_"/>
    <s v="25 Church Road, Teddington TW11 8PF_x000a_"/>
    <s v="TW11 8PF"/>
    <m/>
    <m/>
    <m/>
    <m/>
    <m/>
    <m/>
    <m/>
    <m/>
    <m/>
    <n v="0"/>
    <m/>
    <n v="2"/>
    <n v="1"/>
    <m/>
    <m/>
    <m/>
    <m/>
    <m/>
    <m/>
    <n v="3"/>
    <n v="2"/>
    <n v="1"/>
    <n v="0"/>
    <n v="0"/>
    <n v="0"/>
    <n v="0"/>
    <n v="0"/>
    <n v="0"/>
    <n v="3"/>
    <x v="1"/>
    <m/>
    <n v="3"/>
    <m/>
    <m/>
    <m/>
    <m/>
    <m/>
    <m/>
    <m/>
    <m/>
    <m/>
    <m/>
    <m/>
    <m/>
    <m/>
    <m/>
    <m/>
    <n v="3"/>
    <n v="3"/>
    <s v="N"/>
    <s v="N"/>
    <s v="N"/>
    <n v="515664"/>
    <n v="171121"/>
    <x v="1"/>
    <x v="16"/>
    <x v="0"/>
    <x v="0"/>
    <m/>
    <x v="1"/>
    <x v="0"/>
    <s v="CA85 Church Road"/>
    <x v="1"/>
    <s v="Y"/>
    <x v="6"/>
    <x v="0"/>
  </r>
  <r>
    <s v="23/1863/GPD26"/>
    <x v="1"/>
    <x v="1"/>
    <x v="143"/>
    <d v="2026-08-29T00:00:00"/>
    <d v="2024-02-01T00:00:00"/>
    <m/>
    <x v="1"/>
    <x v="0"/>
    <x v="0"/>
    <m/>
    <x v="3"/>
    <s v="Prior approval under The Town and Country Planning (General Permitted Development etc.) (England) (Amendment) Order 2021 Under Part 3, Schedule 2, Class MA for a change of use of a building and any land within its curtilage from a use falling within E to"/>
    <s v="25 Church Road, Teddington TW11 8PF_x000a_"/>
    <s v="TW11 8PF"/>
    <m/>
    <m/>
    <m/>
    <m/>
    <m/>
    <m/>
    <m/>
    <m/>
    <m/>
    <n v="0"/>
    <m/>
    <n v="4"/>
    <m/>
    <m/>
    <m/>
    <m/>
    <m/>
    <m/>
    <m/>
    <n v="4"/>
    <n v="4"/>
    <n v="0"/>
    <n v="0"/>
    <n v="0"/>
    <n v="0"/>
    <n v="0"/>
    <n v="0"/>
    <n v="0"/>
    <n v="4"/>
    <x v="1"/>
    <m/>
    <n v="4"/>
    <m/>
    <m/>
    <m/>
    <m/>
    <m/>
    <m/>
    <m/>
    <m/>
    <m/>
    <m/>
    <m/>
    <m/>
    <m/>
    <m/>
    <m/>
    <n v="4"/>
    <n v="4"/>
    <s v="N"/>
    <s v="N"/>
    <s v="N"/>
    <n v="515664"/>
    <n v="171121"/>
    <x v="1"/>
    <x v="16"/>
    <x v="0"/>
    <x v="0"/>
    <m/>
    <x v="1"/>
    <x v="0"/>
    <s v="CA85 Church Road"/>
    <x v="1"/>
    <s v="Y"/>
    <x v="6"/>
    <x v="0"/>
  </r>
  <r>
    <s v="23/1865/GPD26"/>
    <x v="1"/>
    <x v="1"/>
    <x v="143"/>
    <d v="2026-08-29T00:00:00"/>
    <d v="2024-02-01T00:00:00"/>
    <m/>
    <x v="1"/>
    <x v="0"/>
    <x v="0"/>
    <m/>
    <x v="3"/>
    <s v="Prior approval under The Town and Country Planning (General Permitted Development etc.) (England) (Amendment) Order 2021 Under Part 3, Schedule 2, Class MA for a change of use of a building and any land within its curtilage from a use falling within E to"/>
    <s v="25 Church Road, Teddington TW11 8PF_x000a_"/>
    <s v="TW11 8PF"/>
    <m/>
    <m/>
    <m/>
    <m/>
    <m/>
    <m/>
    <m/>
    <m/>
    <m/>
    <n v="0"/>
    <m/>
    <n v="1"/>
    <m/>
    <m/>
    <m/>
    <m/>
    <m/>
    <m/>
    <m/>
    <n v="1"/>
    <n v="1"/>
    <n v="0"/>
    <n v="0"/>
    <n v="0"/>
    <n v="0"/>
    <n v="0"/>
    <n v="0"/>
    <n v="0"/>
    <n v="1"/>
    <x v="1"/>
    <m/>
    <n v="1"/>
    <m/>
    <m/>
    <m/>
    <m/>
    <m/>
    <m/>
    <m/>
    <m/>
    <m/>
    <m/>
    <m/>
    <m/>
    <m/>
    <m/>
    <m/>
    <n v="1"/>
    <n v="1"/>
    <s v="N"/>
    <s v="N"/>
    <s v="N"/>
    <n v="515664"/>
    <n v="171121"/>
    <x v="1"/>
    <x v="16"/>
    <x v="0"/>
    <x v="0"/>
    <m/>
    <x v="1"/>
    <x v="0"/>
    <s v="CA85 Church Road"/>
    <x v="1"/>
    <s v="Y"/>
    <x v="6"/>
    <x v="0"/>
  </r>
  <r>
    <s v="23/2944/GPD26"/>
    <x v="1"/>
    <x v="1"/>
    <x v="144"/>
    <d v="2026-12-22T00:00:00"/>
    <d v="2024-02-01T00:00:00"/>
    <m/>
    <x v="1"/>
    <x v="0"/>
    <x v="0"/>
    <m/>
    <x v="3"/>
    <s v="Change of Use of Existing Ground Floor Class Use E (Office) to Class Use C3 (Dwelling)."/>
    <s v="44 Church Road, Teddington TW11 8PB_x000a_"/>
    <s v="TW11 8PB"/>
    <m/>
    <m/>
    <m/>
    <m/>
    <m/>
    <m/>
    <m/>
    <m/>
    <m/>
    <n v="0"/>
    <m/>
    <m/>
    <n v="1"/>
    <m/>
    <m/>
    <m/>
    <m/>
    <m/>
    <m/>
    <n v="1"/>
    <n v="0"/>
    <n v="1"/>
    <n v="0"/>
    <n v="0"/>
    <n v="0"/>
    <n v="0"/>
    <n v="0"/>
    <n v="0"/>
    <n v="1"/>
    <x v="1"/>
    <m/>
    <n v="1"/>
    <m/>
    <m/>
    <m/>
    <m/>
    <m/>
    <m/>
    <m/>
    <m/>
    <m/>
    <m/>
    <m/>
    <m/>
    <m/>
    <m/>
    <m/>
    <n v="1"/>
    <n v="1"/>
    <s v="N"/>
    <s v="N"/>
    <s v="N"/>
    <n v="515687"/>
    <n v="171148"/>
    <x v="1"/>
    <x v="16"/>
    <x v="0"/>
    <x v="0"/>
    <m/>
    <x v="1"/>
    <x v="0"/>
    <s v="CA85 Church Road"/>
    <x v="1"/>
    <s v="Y"/>
    <x v="6"/>
    <x v="0"/>
  </r>
  <r>
    <s v="19/3632/FUL"/>
    <x v="3"/>
    <x v="0"/>
    <x v="145"/>
    <d v="2023-11-02T00:00:00"/>
    <d v="2023-11-01T00:00:00"/>
    <m/>
    <x v="1"/>
    <x v="0"/>
    <x v="0"/>
    <m/>
    <x v="3"/>
    <s v="Loft conversion to no. 1 and no. 3 Cromwell Road to provide 2 x 1 person studios with external extensions (side dormer roof extensions) and alterations with internal remodeling and ancillary cycle and refuse storage."/>
    <s v="1 - 3 Cromwell Road, Teddington_x000a__x000a_"/>
    <s v="TW11 9EQ"/>
    <m/>
    <m/>
    <m/>
    <m/>
    <m/>
    <m/>
    <m/>
    <m/>
    <m/>
    <n v="0"/>
    <m/>
    <n v="2"/>
    <m/>
    <m/>
    <m/>
    <m/>
    <m/>
    <m/>
    <m/>
    <n v="2"/>
    <n v="2"/>
    <n v="0"/>
    <n v="0"/>
    <n v="0"/>
    <n v="0"/>
    <n v="0"/>
    <n v="0"/>
    <n v="0"/>
    <n v="2"/>
    <x v="1"/>
    <m/>
    <n v="1"/>
    <n v="1"/>
    <m/>
    <m/>
    <m/>
    <m/>
    <m/>
    <m/>
    <m/>
    <m/>
    <m/>
    <m/>
    <m/>
    <m/>
    <m/>
    <m/>
    <n v="2"/>
    <n v="2"/>
    <s v="N"/>
    <s v="N"/>
    <s v="N"/>
    <n v="516132"/>
    <n v="170736"/>
    <x v="1"/>
    <x v="16"/>
    <x v="0"/>
    <x v="2"/>
    <e v="#N/A"/>
    <x v="1"/>
    <x v="6"/>
    <e v="#N/A"/>
    <x v="0"/>
    <e v="#N/A"/>
    <x v="6"/>
    <x v="0"/>
  </r>
  <r>
    <s v="21/1174/FUL"/>
    <x v="0"/>
    <x v="0"/>
    <x v="136"/>
    <d v="2026-12-21T00:00:00"/>
    <d v="2024-01-15T00:00:00"/>
    <m/>
    <x v="1"/>
    <x v="0"/>
    <x v="0"/>
    <m/>
    <x v="3"/>
    <s v="Single storey rear extension to existing dwelling. New attached two-storey dwelling with habitable roof space, 2No. parking spaces, associated landscaping and re-located crossover."/>
    <s v="21 River Way, Twickenham TW2 5JP"/>
    <s v="TW2 5JP"/>
    <m/>
    <m/>
    <m/>
    <m/>
    <m/>
    <m/>
    <m/>
    <m/>
    <m/>
    <n v="0"/>
    <m/>
    <m/>
    <m/>
    <n v="1"/>
    <m/>
    <m/>
    <m/>
    <m/>
    <m/>
    <n v="1"/>
    <n v="0"/>
    <n v="0"/>
    <n v="1"/>
    <n v="0"/>
    <n v="0"/>
    <n v="0"/>
    <n v="0"/>
    <n v="0"/>
    <n v="1"/>
    <x v="1"/>
    <m/>
    <m/>
    <n v="1"/>
    <m/>
    <m/>
    <m/>
    <m/>
    <m/>
    <m/>
    <m/>
    <m/>
    <m/>
    <m/>
    <m/>
    <m/>
    <m/>
    <m/>
    <n v="1"/>
    <n v="1"/>
    <s v="N"/>
    <s v="N"/>
    <s v="N"/>
    <n v="513620"/>
    <n v="172514"/>
    <x v="4"/>
    <x v="17"/>
    <x v="0"/>
    <x v="2"/>
    <e v="#N/A"/>
    <x v="1"/>
    <x v="6"/>
    <e v="#N/A"/>
    <x v="0"/>
    <e v="#N/A"/>
    <x v="4"/>
    <x v="0"/>
  </r>
  <r>
    <s v="22/1082/FUL"/>
    <x v="0"/>
    <x v="0"/>
    <x v="146"/>
    <d v="2026-06-20T00:00:00"/>
    <m/>
    <m/>
    <x v="2"/>
    <x v="0"/>
    <x v="0"/>
    <m/>
    <x v="3"/>
    <s v="Redevelopment of existing vacant car parking site to provide a two-storey one-bedroom detached dwellinghouse."/>
    <s v="Land Off_x000d_Taylor Close_x000d_Hampton Hill_x000d__x000d_"/>
    <s v="TW12 1HL"/>
    <m/>
    <m/>
    <m/>
    <m/>
    <m/>
    <m/>
    <m/>
    <m/>
    <m/>
    <n v="0"/>
    <s v="N"/>
    <n v="1"/>
    <m/>
    <m/>
    <m/>
    <m/>
    <m/>
    <m/>
    <m/>
    <n v="1"/>
    <n v="1"/>
    <n v="0"/>
    <n v="0"/>
    <n v="0"/>
    <n v="0"/>
    <n v="0"/>
    <n v="0"/>
    <n v="0"/>
    <n v="1"/>
    <x v="1"/>
    <m/>
    <n v="0.25"/>
    <n v="0.25"/>
    <n v="0.25"/>
    <n v="0.25"/>
    <m/>
    <m/>
    <m/>
    <m/>
    <m/>
    <m/>
    <m/>
    <m/>
    <m/>
    <m/>
    <m/>
    <m/>
    <n v="1"/>
    <n v="1"/>
    <s v="N"/>
    <s v="N"/>
    <s v="N"/>
    <n v="514372"/>
    <n v="171120"/>
    <x v="1"/>
    <x v="14"/>
    <x v="0"/>
    <x v="0"/>
    <s v="High Street, Hampton Hill"/>
    <x v="0"/>
    <x v="0"/>
    <m/>
    <x v="0"/>
    <m/>
    <x v="1"/>
    <x v="0"/>
  </r>
  <r>
    <s v="22/1278/GPD26"/>
    <x v="1"/>
    <x v="1"/>
    <x v="147"/>
    <d v="2025-06-20T00:00:00"/>
    <m/>
    <m/>
    <x v="2"/>
    <x v="0"/>
    <x v="0"/>
    <m/>
    <x v="3"/>
    <s v="Change of use from offices in building of 67-71 High Street to seven residential flats (three 1-bed, three 2-bed, one 3-bed)"/>
    <s v="67 - 71 High Street, Hampton Hill, Hampton TW12 1NH"/>
    <s v="TW12 1NH"/>
    <m/>
    <m/>
    <m/>
    <m/>
    <m/>
    <m/>
    <m/>
    <m/>
    <m/>
    <n v="0"/>
    <s v="N"/>
    <n v="3"/>
    <n v="3"/>
    <n v="1"/>
    <m/>
    <m/>
    <m/>
    <m/>
    <m/>
    <n v="7"/>
    <n v="3"/>
    <n v="3"/>
    <n v="1"/>
    <n v="0"/>
    <n v="0"/>
    <n v="0"/>
    <n v="0"/>
    <n v="0"/>
    <n v="7"/>
    <x v="1"/>
    <m/>
    <m/>
    <n v="7"/>
    <m/>
    <m/>
    <m/>
    <m/>
    <m/>
    <m/>
    <m/>
    <m/>
    <m/>
    <m/>
    <m/>
    <m/>
    <m/>
    <m/>
    <n v="7"/>
    <n v="7"/>
    <s v="N"/>
    <s v="N"/>
    <s v="N"/>
    <n v="514266"/>
    <n v="170834"/>
    <x v="1"/>
    <x v="14"/>
    <x v="0"/>
    <x v="0"/>
    <s v="High Street, Hampton Hill"/>
    <x v="0"/>
    <x v="0"/>
    <s v="CA38 High Street Hampton Hill"/>
    <x v="1"/>
    <m/>
    <x v="1"/>
    <x v="0"/>
  </r>
  <r>
    <s v="22/2876/GPD26"/>
    <x v="1"/>
    <x v="1"/>
    <x v="148"/>
    <d v="2025-12-12T00:00:00"/>
    <m/>
    <m/>
    <x v="2"/>
    <x v="0"/>
    <x v="0"/>
    <m/>
    <x v="3"/>
    <s v="Change of use of vacant office building to two flats_x000d_"/>
    <s v="Mega House, 159A High Street, Hampton Hill TW12 1NL_x000a_"/>
    <s v="TW12 1NL"/>
    <m/>
    <m/>
    <m/>
    <m/>
    <m/>
    <m/>
    <m/>
    <m/>
    <m/>
    <n v="0"/>
    <s v="N"/>
    <m/>
    <n v="2"/>
    <m/>
    <m/>
    <m/>
    <m/>
    <m/>
    <m/>
    <n v="2"/>
    <n v="0"/>
    <n v="2"/>
    <n v="0"/>
    <n v="0"/>
    <n v="0"/>
    <n v="0"/>
    <n v="0"/>
    <n v="0"/>
    <n v="2"/>
    <x v="1"/>
    <m/>
    <m/>
    <n v="2"/>
    <m/>
    <m/>
    <m/>
    <m/>
    <m/>
    <m/>
    <m/>
    <m/>
    <m/>
    <m/>
    <m/>
    <m/>
    <m/>
    <m/>
    <n v="2"/>
    <n v="2"/>
    <s v="N"/>
    <s v="N"/>
    <s v="N"/>
    <n v="514405"/>
    <n v="171101"/>
    <x v="1"/>
    <x v="14"/>
    <x v="0"/>
    <x v="0"/>
    <s v="High Street, Hampton Hill"/>
    <x v="0"/>
    <x v="0"/>
    <s v="CA38 High Street Hampton Hill"/>
    <x v="1"/>
    <m/>
    <x v="1"/>
    <x v="0"/>
  </r>
  <r>
    <s v="18/0693/FUL"/>
    <x v="0"/>
    <x v="0"/>
    <x v="149"/>
    <d v="2026-10-27T00:00:00"/>
    <m/>
    <m/>
    <x v="2"/>
    <x v="0"/>
    <x v="0"/>
    <m/>
    <x v="3"/>
    <s v="Erection of a two storey house with additional rooms in the roof at the corner of St James's Road and Park Road (currently part of the plot of 59 Park Road). Alterations to boundary wall to facilitate the creation of new access from St James Road together"/>
    <s v="59 Park Road, Hampton Hill TW12 1HX_x000a_"/>
    <s v="TW12 1HX"/>
    <m/>
    <m/>
    <m/>
    <m/>
    <m/>
    <m/>
    <m/>
    <m/>
    <m/>
    <n v="0"/>
    <m/>
    <m/>
    <m/>
    <m/>
    <m/>
    <n v="1"/>
    <m/>
    <m/>
    <m/>
    <n v="1"/>
    <n v="0"/>
    <n v="0"/>
    <n v="0"/>
    <n v="0"/>
    <n v="1"/>
    <n v="0"/>
    <n v="0"/>
    <n v="0"/>
    <n v="1"/>
    <x v="1"/>
    <m/>
    <n v="0.25"/>
    <n v="0.25"/>
    <n v="0.25"/>
    <n v="0.25"/>
    <m/>
    <m/>
    <m/>
    <m/>
    <m/>
    <m/>
    <m/>
    <m/>
    <m/>
    <m/>
    <m/>
    <m/>
    <n v="1"/>
    <n v="1"/>
    <s v="N"/>
    <s v="N"/>
    <s v="N"/>
    <n v="513964"/>
    <n v="171432"/>
    <x v="1"/>
    <x v="14"/>
    <x v="0"/>
    <x v="0"/>
    <m/>
    <x v="1"/>
    <x v="0"/>
    <m/>
    <x v="0"/>
    <m/>
    <x v="1"/>
    <x v="1"/>
  </r>
  <r>
    <s v="20/2118/FUL"/>
    <x v="1"/>
    <x v="0"/>
    <x v="150"/>
    <d v="2024-09-30T00:00:00"/>
    <m/>
    <m/>
    <x v="2"/>
    <x v="0"/>
    <x v="0"/>
    <m/>
    <x v="3"/>
    <s v="Fenestration alterations to rear and side elevation to facilitate change of use of rear part of premises from Class E (Retail) to C3 to create 1 x 1 bed flat and associated refuse and cycle store."/>
    <s v="301 Richmond Road, Kingston Upon Thames KT2 5QU"/>
    <s v="KT2 5QU"/>
    <m/>
    <m/>
    <m/>
    <m/>
    <m/>
    <m/>
    <m/>
    <m/>
    <m/>
    <n v="0"/>
    <m/>
    <n v="1"/>
    <m/>
    <m/>
    <m/>
    <m/>
    <m/>
    <m/>
    <m/>
    <n v="1"/>
    <n v="1"/>
    <n v="0"/>
    <n v="0"/>
    <n v="0"/>
    <n v="0"/>
    <n v="0"/>
    <n v="0"/>
    <n v="0"/>
    <n v="1"/>
    <x v="1"/>
    <m/>
    <n v="0.25"/>
    <n v="0.25"/>
    <n v="0.25"/>
    <n v="0.25"/>
    <m/>
    <m/>
    <m/>
    <m/>
    <m/>
    <m/>
    <m/>
    <m/>
    <m/>
    <m/>
    <m/>
    <m/>
    <n v="1"/>
    <n v="1"/>
    <s v="N"/>
    <s v="N"/>
    <s v="N"/>
    <n v="517763"/>
    <n v="171531"/>
    <x v="2"/>
    <x v="3"/>
    <x v="0"/>
    <x v="0"/>
    <m/>
    <x v="1"/>
    <x v="0"/>
    <m/>
    <x v="0"/>
    <m/>
    <x v="2"/>
    <x v="0"/>
  </r>
  <r>
    <s v="21/1328/FUL"/>
    <x v="0"/>
    <x v="0"/>
    <x v="46"/>
    <d v="2025-04-21T00:00:00"/>
    <m/>
    <m/>
    <x v="2"/>
    <x v="0"/>
    <x v="0"/>
    <m/>
    <x v="3"/>
    <s v="Part three storey part single storey extension to provide an additional retail unit (Class E) at ground floor and 1 x residential dwelling on upper floors.  Alterations to bay windows at 171 Ashburnham Road.  Associated hard and soft landscaping works inc"/>
    <s v="Land South Of 171 And 171 Ashburnham Road, Ham_x000a__x000a_"/>
    <s v="TW10 7NR"/>
    <m/>
    <m/>
    <m/>
    <m/>
    <m/>
    <m/>
    <m/>
    <m/>
    <m/>
    <n v="0"/>
    <m/>
    <m/>
    <n v="1"/>
    <m/>
    <m/>
    <m/>
    <m/>
    <m/>
    <m/>
    <n v="1"/>
    <n v="0"/>
    <n v="1"/>
    <n v="0"/>
    <n v="0"/>
    <n v="0"/>
    <n v="0"/>
    <n v="0"/>
    <n v="0"/>
    <n v="1"/>
    <x v="1"/>
    <m/>
    <n v="0.25"/>
    <n v="0.25"/>
    <n v="0.25"/>
    <n v="0.25"/>
    <m/>
    <m/>
    <m/>
    <m/>
    <m/>
    <m/>
    <m/>
    <m/>
    <m/>
    <m/>
    <m/>
    <m/>
    <n v="1"/>
    <n v="1"/>
    <s v="N"/>
    <s v="N"/>
    <s v="N"/>
    <n v="516850"/>
    <n v="172139"/>
    <x v="2"/>
    <x v="3"/>
    <x v="0"/>
    <x v="0"/>
    <m/>
    <x v="1"/>
    <x v="0"/>
    <m/>
    <x v="0"/>
    <m/>
    <x v="2"/>
    <x v="0"/>
  </r>
  <r>
    <s v="21/2225/FUL"/>
    <x v="0"/>
    <x v="0"/>
    <x v="46"/>
    <d v="2025-04-21T00:00:00"/>
    <m/>
    <m/>
    <x v="2"/>
    <x v="0"/>
    <x v="0"/>
    <m/>
    <x v="3"/>
    <s v="Demolition of existing building and erection of replacement 5 bedroom dwelling including associated hard and soft landscaping, cycle store and outbuilding"/>
    <s v="22 Parke Road, Barnes SW13 9NG"/>
    <s v="SW13 9NG"/>
    <m/>
    <m/>
    <m/>
    <m/>
    <n v="1"/>
    <m/>
    <m/>
    <m/>
    <m/>
    <n v="1"/>
    <m/>
    <m/>
    <m/>
    <m/>
    <m/>
    <n v="1"/>
    <m/>
    <m/>
    <m/>
    <n v="1"/>
    <n v="0"/>
    <n v="0"/>
    <n v="0"/>
    <n v="-1"/>
    <n v="1"/>
    <n v="0"/>
    <n v="0"/>
    <n v="0"/>
    <n v="0"/>
    <x v="1"/>
    <m/>
    <n v="0"/>
    <m/>
    <m/>
    <m/>
    <m/>
    <m/>
    <m/>
    <m/>
    <m/>
    <m/>
    <m/>
    <m/>
    <m/>
    <m/>
    <m/>
    <m/>
    <n v="0"/>
    <n v="0"/>
    <s v="N"/>
    <s v="N"/>
    <s v="N"/>
    <n v="522088"/>
    <n v="177109"/>
    <x v="3"/>
    <x v="4"/>
    <x v="0"/>
    <x v="0"/>
    <m/>
    <x v="1"/>
    <x v="0"/>
    <m/>
    <x v="0"/>
    <m/>
    <x v="3"/>
    <x v="0"/>
  </r>
  <r>
    <s v="22/1219/FUL"/>
    <x v="2"/>
    <x v="0"/>
    <x v="151"/>
    <d v="2026-09-28T00:00:00"/>
    <m/>
    <m/>
    <x v="2"/>
    <x v="0"/>
    <x v="0"/>
    <m/>
    <x v="3"/>
    <s v="Subdivision of the existing dwelling into 2no. self-contained flats along with the construction of a rear extension, single storey infill extensions and 2x dormer windows with associated parking and amenity space."/>
    <s v="602 Hanworth Road_x000a_Whitton_x000a_Hounslow_x000a_TW4 5LJ_x000a_"/>
    <s v="TW4 5LJ"/>
    <m/>
    <m/>
    <m/>
    <n v="1"/>
    <m/>
    <m/>
    <m/>
    <m/>
    <m/>
    <n v="1"/>
    <s v="N"/>
    <m/>
    <n v="2"/>
    <m/>
    <m/>
    <m/>
    <m/>
    <m/>
    <m/>
    <n v="2"/>
    <n v="0"/>
    <n v="2"/>
    <n v="-1"/>
    <n v="0"/>
    <n v="0"/>
    <n v="0"/>
    <n v="0"/>
    <n v="0"/>
    <n v="1"/>
    <x v="1"/>
    <m/>
    <n v="0.25"/>
    <n v="0.25"/>
    <n v="0.25"/>
    <n v="0.25"/>
    <m/>
    <m/>
    <m/>
    <m/>
    <m/>
    <m/>
    <m/>
    <m/>
    <m/>
    <m/>
    <m/>
    <m/>
    <n v="1"/>
    <n v="1"/>
    <s v="N"/>
    <s v="N"/>
    <s v="N"/>
    <n v="512958"/>
    <n v="173983"/>
    <x v="0"/>
    <x v="0"/>
    <x v="0"/>
    <x v="0"/>
    <m/>
    <x v="1"/>
    <x v="0"/>
    <m/>
    <x v="0"/>
    <m/>
    <x v="0"/>
    <x v="0"/>
  </r>
  <r>
    <s v="22/1442/FUL"/>
    <x v="0"/>
    <x v="0"/>
    <x v="152"/>
    <d v="2026-03-22T00:00:00"/>
    <d v="2024-04-03T00:00:00"/>
    <m/>
    <x v="2"/>
    <x v="5"/>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a_Ham_x000a_"/>
    <s v="TW10 7PG"/>
    <s v="Phase 1 Existing"/>
    <n v="6"/>
    <m/>
    <n v="5"/>
    <m/>
    <m/>
    <m/>
    <m/>
    <m/>
    <n v="11"/>
    <s v="Y"/>
    <m/>
    <m/>
    <m/>
    <m/>
    <m/>
    <m/>
    <m/>
    <m/>
    <n v="0"/>
    <n v="-6"/>
    <n v="0"/>
    <n v="-5"/>
    <n v="0"/>
    <n v="0"/>
    <n v="0"/>
    <n v="0"/>
    <n v="0"/>
    <n v="-11"/>
    <x v="1"/>
    <m/>
    <n v="-11"/>
    <m/>
    <m/>
    <m/>
    <m/>
    <m/>
    <m/>
    <m/>
    <m/>
    <m/>
    <m/>
    <m/>
    <m/>
    <m/>
    <m/>
    <m/>
    <n v="-11"/>
    <n v="-11"/>
    <s v="N"/>
    <s v="N"/>
    <s v="N"/>
    <n v="517121"/>
    <n v="172297"/>
    <x v="2"/>
    <x v="3"/>
    <x v="0"/>
    <x v="0"/>
    <m/>
    <x v="1"/>
    <x v="0"/>
    <m/>
    <x v="0"/>
    <m/>
    <x v="2"/>
    <x v="0"/>
  </r>
  <r>
    <s v="22/1442/FUL"/>
    <x v="0"/>
    <x v="0"/>
    <x v="152"/>
    <d v="2026-03-22T00:00:00"/>
    <d v="2024-04-03T00:00:00"/>
    <m/>
    <x v="2"/>
    <x v="5"/>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a_Ham_x000a_"/>
    <s v="TW10 7PG"/>
    <s v="Phase 2 Existing"/>
    <n v="14"/>
    <n v="20"/>
    <n v="3"/>
    <m/>
    <m/>
    <m/>
    <m/>
    <m/>
    <n v="37"/>
    <s v="Y"/>
    <m/>
    <m/>
    <m/>
    <m/>
    <m/>
    <m/>
    <m/>
    <m/>
    <n v="0"/>
    <n v="-14"/>
    <n v="-20"/>
    <n v="-3"/>
    <n v="0"/>
    <n v="0"/>
    <n v="0"/>
    <n v="0"/>
    <n v="0"/>
    <n v="-37"/>
    <x v="1"/>
    <m/>
    <m/>
    <m/>
    <n v="-37"/>
    <m/>
    <m/>
    <m/>
    <m/>
    <m/>
    <m/>
    <m/>
    <m/>
    <m/>
    <m/>
    <m/>
    <m/>
    <m/>
    <n v="-37"/>
    <n v="-37"/>
    <s v="N"/>
    <s v="N"/>
    <s v="N"/>
    <n v="517121"/>
    <n v="172297"/>
    <x v="2"/>
    <x v="3"/>
    <x v="0"/>
    <x v="0"/>
    <m/>
    <x v="1"/>
    <x v="0"/>
    <m/>
    <x v="0"/>
    <m/>
    <x v="2"/>
    <x v="0"/>
  </r>
  <r>
    <s v="22/1442/FUL"/>
    <x v="0"/>
    <x v="0"/>
    <x v="152"/>
    <d v="2026-03-22T00:00:00"/>
    <d v="2024-04-03T00:00:00"/>
    <m/>
    <x v="2"/>
    <x v="5"/>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a_Ham_x000a_"/>
    <s v="TW10 7PG"/>
    <s v="Phase 3 Existing"/>
    <n v="70"/>
    <n v="19"/>
    <n v="6"/>
    <m/>
    <m/>
    <m/>
    <m/>
    <m/>
    <n v="95"/>
    <s v="Y"/>
    <m/>
    <m/>
    <m/>
    <m/>
    <m/>
    <m/>
    <m/>
    <m/>
    <n v="0"/>
    <n v="-70"/>
    <n v="-19"/>
    <n v="-6"/>
    <n v="0"/>
    <n v="0"/>
    <n v="0"/>
    <n v="0"/>
    <n v="0"/>
    <n v="-95"/>
    <x v="1"/>
    <m/>
    <m/>
    <m/>
    <m/>
    <m/>
    <m/>
    <n v="-95"/>
    <m/>
    <m/>
    <m/>
    <m/>
    <m/>
    <m/>
    <m/>
    <m/>
    <m/>
    <m/>
    <n v="0"/>
    <n v="-95"/>
    <s v="N"/>
    <s v="N"/>
    <s v="N"/>
    <n v="517121"/>
    <n v="172297"/>
    <x v="2"/>
    <x v="3"/>
    <x v="0"/>
    <x v="0"/>
    <m/>
    <x v="1"/>
    <x v="0"/>
    <m/>
    <x v="0"/>
    <m/>
    <x v="2"/>
    <x v="0"/>
  </r>
  <r>
    <s v="22/1442/FUL"/>
    <x v="0"/>
    <x v="0"/>
    <x v="152"/>
    <d v="2026-03-22T00:00:00"/>
    <d v="2024-04-03T00:00:00"/>
    <m/>
    <x v="2"/>
    <x v="1"/>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a_Ham_x000a_"/>
    <s v="TW10 7PG"/>
    <s v="Phase 2 Proposed"/>
    <m/>
    <m/>
    <m/>
    <m/>
    <m/>
    <m/>
    <m/>
    <m/>
    <n v="0"/>
    <s v="Y"/>
    <n v="2"/>
    <m/>
    <m/>
    <m/>
    <m/>
    <m/>
    <m/>
    <m/>
    <n v="2"/>
    <n v="2"/>
    <n v="0"/>
    <n v="0"/>
    <n v="0"/>
    <n v="0"/>
    <n v="0"/>
    <n v="0"/>
    <n v="0"/>
    <n v="2"/>
    <x v="1"/>
    <m/>
    <m/>
    <m/>
    <m/>
    <m/>
    <n v="2"/>
    <m/>
    <m/>
    <m/>
    <m/>
    <m/>
    <m/>
    <m/>
    <m/>
    <m/>
    <m/>
    <m/>
    <n v="2"/>
    <n v="2"/>
    <s v="N"/>
    <s v="N"/>
    <s v="N"/>
    <n v="517121"/>
    <n v="172297"/>
    <x v="2"/>
    <x v="3"/>
    <x v="0"/>
    <x v="0"/>
    <m/>
    <x v="1"/>
    <x v="0"/>
    <m/>
    <x v="0"/>
    <m/>
    <x v="2"/>
    <x v="0"/>
  </r>
  <r>
    <s v="22/1442/FUL"/>
    <x v="0"/>
    <x v="0"/>
    <x v="152"/>
    <d v="2026-03-22T00:00:00"/>
    <d v="2024-04-03T00:00:00"/>
    <m/>
    <x v="2"/>
    <x v="1"/>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3 Proposed"/>
    <m/>
    <m/>
    <m/>
    <m/>
    <m/>
    <m/>
    <m/>
    <m/>
    <n v="0"/>
    <s v="Y"/>
    <n v="6"/>
    <n v="10"/>
    <n v="3"/>
    <m/>
    <m/>
    <m/>
    <m/>
    <m/>
    <n v="19"/>
    <n v="6"/>
    <n v="10"/>
    <n v="3"/>
    <n v="0"/>
    <n v="0"/>
    <n v="0"/>
    <n v="0"/>
    <n v="0"/>
    <n v="19"/>
    <x v="1"/>
    <m/>
    <m/>
    <m/>
    <m/>
    <m/>
    <m/>
    <m/>
    <m/>
    <n v="19"/>
    <m/>
    <m/>
    <m/>
    <m/>
    <m/>
    <m/>
    <m/>
    <m/>
    <n v="0"/>
    <n v="19"/>
    <s v="N"/>
    <s v="N"/>
    <s v="N"/>
    <n v="517121"/>
    <n v="172297"/>
    <x v="2"/>
    <x v="3"/>
    <x v="0"/>
    <x v="0"/>
    <m/>
    <x v="1"/>
    <x v="0"/>
    <m/>
    <x v="0"/>
    <m/>
    <x v="2"/>
    <x v="0"/>
  </r>
  <r>
    <s v="22/1442/FUL"/>
    <x v="0"/>
    <x v="0"/>
    <x v="152"/>
    <d v="2026-03-22T00:00:00"/>
    <d v="2024-04-03T00:00:00"/>
    <m/>
    <x v="2"/>
    <x v="4"/>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3 Proposed"/>
    <m/>
    <m/>
    <m/>
    <m/>
    <m/>
    <m/>
    <m/>
    <m/>
    <n v="0"/>
    <s v="Y"/>
    <n v="7"/>
    <n v="3"/>
    <m/>
    <m/>
    <m/>
    <m/>
    <m/>
    <m/>
    <n v="10"/>
    <n v="7"/>
    <n v="3"/>
    <n v="0"/>
    <n v="0"/>
    <n v="0"/>
    <n v="0"/>
    <n v="0"/>
    <n v="0"/>
    <n v="10"/>
    <x v="1"/>
    <m/>
    <m/>
    <m/>
    <m/>
    <m/>
    <m/>
    <m/>
    <m/>
    <n v="10"/>
    <m/>
    <m/>
    <m/>
    <m/>
    <m/>
    <m/>
    <m/>
    <m/>
    <n v="0"/>
    <n v="10"/>
    <s v="N"/>
    <s v="N"/>
    <s v="N"/>
    <n v="517121"/>
    <n v="172297"/>
    <x v="2"/>
    <x v="3"/>
    <x v="0"/>
    <x v="0"/>
    <m/>
    <x v="1"/>
    <x v="0"/>
    <m/>
    <x v="0"/>
    <m/>
    <x v="2"/>
    <x v="0"/>
  </r>
  <r>
    <s v="22/1442/FUL"/>
    <x v="0"/>
    <x v="0"/>
    <x v="152"/>
    <d v="2026-03-22T00:00:00"/>
    <d v="2024-04-03T00:00:00"/>
    <m/>
    <x v="2"/>
    <x v="0"/>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1 Existing"/>
    <m/>
    <m/>
    <n v="1"/>
    <m/>
    <m/>
    <m/>
    <m/>
    <m/>
    <n v="1"/>
    <s v="N"/>
    <m/>
    <m/>
    <m/>
    <m/>
    <m/>
    <m/>
    <m/>
    <m/>
    <n v="0"/>
    <n v="0"/>
    <n v="0"/>
    <n v="-1"/>
    <n v="0"/>
    <n v="0"/>
    <n v="0"/>
    <n v="0"/>
    <n v="0"/>
    <n v="-1"/>
    <x v="1"/>
    <m/>
    <n v="-1"/>
    <m/>
    <m/>
    <m/>
    <m/>
    <m/>
    <m/>
    <m/>
    <m/>
    <m/>
    <m/>
    <m/>
    <m/>
    <m/>
    <m/>
    <m/>
    <n v="-1"/>
    <n v="-1"/>
    <s v="N"/>
    <s v="N"/>
    <s v="N"/>
    <n v="517121"/>
    <n v="172297"/>
    <x v="2"/>
    <x v="3"/>
    <x v="0"/>
    <x v="0"/>
    <m/>
    <x v="1"/>
    <x v="0"/>
    <m/>
    <x v="0"/>
    <m/>
    <x v="2"/>
    <x v="0"/>
  </r>
  <r>
    <s v="22/1442/FUL"/>
    <x v="0"/>
    <x v="0"/>
    <x v="152"/>
    <d v="2026-03-22T00:00:00"/>
    <d v="2024-04-03T00:00:00"/>
    <m/>
    <x v="2"/>
    <x v="0"/>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2 Existing"/>
    <n v="2"/>
    <n v="8"/>
    <n v="1"/>
    <m/>
    <m/>
    <m/>
    <m/>
    <m/>
    <n v="11"/>
    <s v="N"/>
    <m/>
    <m/>
    <m/>
    <m/>
    <m/>
    <m/>
    <m/>
    <m/>
    <n v="0"/>
    <n v="-2"/>
    <n v="-8"/>
    <n v="-1"/>
    <n v="0"/>
    <n v="0"/>
    <n v="0"/>
    <n v="0"/>
    <n v="0"/>
    <n v="-11"/>
    <x v="1"/>
    <m/>
    <m/>
    <m/>
    <n v="-11"/>
    <m/>
    <m/>
    <m/>
    <m/>
    <m/>
    <m/>
    <m/>
    <m/>
    <m/>
    <m/>
    <m/>
    <m/>
    <m/>
    <n v="-11"/>
    <n v="-11"/>
    <s v="N"/>
    <s v="N"/>
    <s v="N"/>
    <n v="517121"/>
    <n v="172297"/>
    <x v="2"/>
    <x v="3"/>
    <x v="0"/>
    <x v="0"/>
    <m/>
    <x v="1"/>
    <x v="0"/>
    <m/>
    <x v="0"/>
    <m/>
    <x v="2"/>
    <x v="0"/>
  </r>
  <r>
    <s v="22/1442/FUL"/>
    <x v="0"/>
    <x v="0"/>
    <x v="152"/>
    <d v="2026-03-22T00:00:00"/>
    <d v="2024-04-03T00:00:00"/>
    <m/>
    <x v="2"/>
    <x v="0"/>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3 Existing"/>
    <n v="16"/>
    <n v="16"/>
    <n v="5"/>
    <m/>
    <m/>
    <m/>
    <m/>
    <m/>
    <n v="37"/>
    <s v="N"/>
    <m/>
    <m/>
    <m/>
    <m/>
    <m/>
    <m/>
    <m/>
    <m/>
    <n v="0"/>
    <n v="-16"/>
    <n v="-16"/>
    <n v="-5"/>
    <n v="0"/>
    <n v="0"/>
    <n v="0"/>
    <n v="0"/>
    <n v="0"/>
    <n v="-37"/>
    <x v="1"/>
    <m/>
    <m/>
    <m/>
    <m/>
    <m/>
    <m/>
    <n v="-37"/>
    <m/>
    <m/>
    <m/>
    <m/>
    <m/>
    <m/>
    <m/>
    <m/>
    <m/>
    <m/>
    <n v="0"/>
    <n v="-37"/>
    <s v="N"/>
    <s v="N"/>
    <s v="N"/>
    <n v="517121"/>
    <n v="172297"/>
    <x v="2"/>
    <x v="3"/>
    <x v="0"/>
    <x v="0"/>
    <m/>
    <x v="1"/>
    <x v="0"/>
    <m/>
    <x v="0"/>
    <m/>
    <x v="2"/>
    <x v="0"/>
  </r>
  <r>
    <s v="22/1442/FUL"/>
    <x v="0"/>
    <x v="0"/>
    <x v="152"/>
    <d v="2026-03-22T00:00:00"/>
    <d v="2024-04-03T00:00:00"/>
    <m/>
    <x v="2"/>
    <x v="0"/>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1 Proposed"/>
    <m/>
    <m/>
    <m/>
    <m/>
    <m/>
    <m/>
    <m/>
    <m/>
    <n v="0"/>
    <s v="N"/>
    <n v="2"/>
    <n v="3"/>
    <n v="2"/>
    <m/>
    <m/>
    <m/>
    <m/>
    <m/>
    <n v="7"/>
    <n v="2"/>
    <n v="3"/>
    <n v="2"/>
    <n v="0"/>
    <n v="0"/>
    <n v="0"/>
    <n v="0"/>
    <n v="0"/>
    <n v="7"/>
    <x v="1"/>
    <m/>
    <m/>
    <n v="7"/>
    <m/>
    <m/>
    <m/>
    <m/>
    <m/>
    <m/>
    <m/>
    <m/>
    <m/>
    <m/>
    <m/>
    <m/>
    <m/>
    <m/>
    <n v="7"/>
    <n v="7"/>
    <s v="N"/>
    <s v="N"/>
    <s v="N"/>
    <n v="517121"/>
    <n v="172297"/>
    <x v="2"/>
    <x v="3"/>
    <x v="0"/>
    <x v="0"/>
    <m/>
    <x v="1"/>
    <x v="0"/>
    <m/>
    <x v="0"/>
    <m/>
    <x v="2"/>
    <x v="0"/>
  </r>
  <r>
    <s v="22/1442/FUL"/>
    <x v="0"/>
    <x v="0"/>
    <x v="152"/>
    <d v="2026-03-22T00:00:00"/>
    <d v="2024-04-03T00:00:00"/>
    <m/>
    <x v="2"/>
    <x v="0"/>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2 Proposed"/>
    <m/>
    <m/>
    <m/>
    <m/>
    <m/>
    <m/>
    <m/>
    <m/>
    <n v="0"/>
    <s v="N"/>
    <n v="50"/>
    <n v="26"/>
    <n v="2"/>
    <m/>
    <m/>
    <m/>
    <m/>
    <m/>
    <n v="78"/>
    <n v="50"/>
    <n v="26"/>
    <n v="2"/>
    <n v="0"/>
    <n v="0"/>
    <n v="0"/>
    <n v="0"/>
    <n v="0"/>
    <n v="78"/>
    <x v="1"/>
    <m/>
    <m/>
    <m/>
    <m/>
    <m/>
    <n v="78"/>
    <m/>
    <m/>
    <m/>
    <m/>
    <m/>
    <m/>
    <m/>
    <m/>
    <m/>
    <m/>
    <m/>
    <n v="78"/>
    <n v="78"/>
    <s v="N"/>
    <s v="N"/>
    <s v="N"/>
    <n v="517121"/>
    <n v="172297"/>
    <x v="2"/>
    <x v="3"/>
    <x v="0"/>
    <x v="0"/>
    <m/>
    <x v="1"/>
    <x v="0"/>
    <m/>
    <x v="0"/>
    <m/>
    <x v="2"/>
    <x v="0"/>
  </r>
  <r>
    <s v="22/1442/FUL"/>
    <x v="0"/>
    <x v="0"/>
    <x v="152"/>
    <d v="2026-03-22T00:00:00"/>
    <d v="2024-04-03T00:00:00"/>
    <m/>
    <x v="2"/>
    <x v="0"/>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3 Proposed"/>
    <m/>
    <m/>
    <m/>
    <m/>
    <m/>
    <m/>
    <m/>
    <m/>
    <n v="0"/>
    <s v="N"/>
    <n v="42"/>
    <n v="62"/>
    <m/>
    <n v="34"/>
    <n v="8"/>
    <m/>
    <m/>
    <m/>
    <n v="146"/>
    <n v="42"/>
    <n v="62"/>
    <n v="0"/>
    <n v="34"/>
    <n v="8"/>
    <n v="0"/>
    <n v="0"/>
    <n v="0"/>
    <n v="146"/>
    <x v="1"/>
    <m/>
    <m/>
    <m/>
    <m/>
    <m/>
    <m/>
    <m/>
    <n v="35"/>
    <n v="73"/>
    <n v="38"/>
    <m/>
    <m/>
    <m/>
    <m/>
    <m/>
    <m/>
    <m/>
    <n v="0"/>
    <n v="146"/>
    <s v="N"/>
    <s v="N"/>
    <s v="N"/>
    <n v="517121"/>
    <n v="172297"/>
    <x v="2"/>
    <x v="3"/>
    <x v="0"/>
    <x v="0"/>
    <m/>
    <x v="1"/>
    <x v="0"/>
    <m/>
    <x v="0"/>
    <m/>
    <x v="2"/>
    <x v="0"/>
  </r>
  <r>
    <s v="22/1442/FUL"/>
    <x v="0"/>
    <x v="0"/>
    <x v="152"/>
    <d v="2026-03-22T00:00:00"/>
    <d v="2024-04-03T00:00:00"/>
    <m/>
    <x v="2"/>
    <x v="3"/>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3 Proposed"/>
    <m/>
    <m/>
    <m/>
    <m/>
    <m/>
    <m/>
    <m/>
    <m/>
    <n v="0"/>
    <s v="Y"/>
    <n v="22"/>
    <n v="24"/>
    <n v="1"/>
    <m/>
    <m/>
    <m/>
    <m/>
    <m/>
    <n v="47"/>
    <n v="22"/>
    <n v="24"/>
    <n v="1"/>
    <n v="0"/>
    <n v="0"/>
    <n v="0"/>
    <n v="0"/>
    <n v="0"/>
    <n v="47"/>
    <x v="1"/>
    <m/>
    <m/>
    <m/>
    <m/>
    <m/>
    <m/>
    <m/>
    <m/>
    <n v="47"/>
    <m/>
    <m/>
    <m/>
    <m/>
    <m/>
    <m/>
    <m/>
    <m/>
    <n v="0"/>
    <n v="47"/>
    <s v="N"/>
    <s v="N"/>
    <s v="N"/>
    <n v="517121"/>
    <n v="172297"/>
    <x v="2"/>
    <x v="3"/>
    <x v="0"/>
    <x v="0"/>
    <m/>
    <x v="1"/>
    <x v="0"/>
    <m/>
    <x v="0"/>
    <m/>
    <x v="2"/>
    <x v="0"/>
  </r>
  <r>
    <s v="22/1442/FUL"/>
    <x v="0"/>
    <x v="0"/>
    <x v="152"/>
    <d v="2026-03-22T00:00:00"/>
    <d v="2024-04-03T00:00:00"/>
    <m/>
    <x v="2"/>
    <x v="2"/>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1 Proposed"/>
    <m/>
    <m/>
    <m/>
    <m/>
    <m/>
    <m/>
    <m/>
    <m/>
    <n v="0"/>
    <s v="Y"/>
    <n v="35"/>
    <n v="18"/>
    <n v="10"/>
    <m/>
    <m/>
    <m/>
    <m/>
    <m/>
    <n v="63"/>
    <n v="35"/>
    <n v="18"/>
    <n v="10"/>
    <n v="0"/>
    <n v="0"/>
    <n v="0"/>
    <n v="0"/>
    <n v="0"/>
    <n v="63"/>
    <x v="1"/>
    <m/>
    <m/>
    <n v="63"/>
    <m/>
    <m/>
    <m/>
    <m/>
    <m/>
    <m/>
    <m/>
    <m/>
    <m/>
    <m/>
    <m/>
    <m/>
    <m/>
    <m/>
    <n v="63"/>
    <n v="63"/>
    <s v="N"/>
    <s v="N"/>
    <s v="N"/>
    <n v="517121"/>
    <n v="172297"/>
    <x v="2"/>
    <x v="3"/>
    <x v="0"/>
    <x v="0"/>
    <m/>
    <x v="1"/>
    <x v="0"/>
    <m/>
    <x v="0"/>
    <m/>
    <x v="2"/>
    <x v="0"/>
  </r>
  <r>
    <s v="22/1442/FUL"/>
    <x v="0"/>
    <x v="0"/>
    <x v="152"/>
    <d v="2026-03-22T00:00:00"/>
    <d v="2024-04-03T00:00:00"/>
    <m/>
    <x v="2"/>
    <x v="2"/>
    <x v="0"/>
    <m/>
    <x v="3"/>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_x000d_Ham_x000d_"/>
    <s v="TW10 7PG"/>
    <s v="Phase 2 Proposed"/>
    <m/>
    <m/>
    <m/>
    <m/>
    <m/>
    <m/>
    <m/>
    <m/>
    <n v="0"/>
    <s v="Y"/>
    <n v="58"/>
    <n v="19"/>
    <n v="3"/>
    <m/>
    <m/>
    <m/>
    <m/>
    <m/>
    <n v="80"/>
    <n v="58"/>
    <n v="19"/>
    <n v="3"/>
    <n v="0"/>
    <n v="0"/>
    <n v="0"/>
    <n v="0"/>
    <n v="0"/>
    <n v="80"/>
    <x v="1"/>
    <m/>
    <m/>
    <m/>
    <m/>
    <m/>
    <n v="80"/>
    <m/>
    <m/>
    <m/>
    <m/>
    <m/>
    <m/>
    <m/>
    <m/>
    <m/>
    <m/>
    <m/>
    <n v="80"/>
    <n v="80"/>
    <s v="N"/>
    <s v="N"/>
    <s v="N"/>
    <n v="517121"/>
    <n v="172297"/>
    <x v="2"/>
    <x v="3"/>
    <x v="0"/>
    <x v="0"/>
    <m/>
    <x v="1"/>
    <x v="0"/>
    <m/>
    <x v="0"/>
    <m/>
    <x v="2"/>
    <x v="0"/>
  </r>
  <r>
    <s v="22/1486/FUL"/>
    <x v="0"/>
    <x v="0"/>
    <x v="153"/>
    <d v="2026-09-20T00:00:00"/>
    <m/>
    <m/>
    <x v="2"/>
    <x v="0"/>
    <x v="0"/>
    <m/>
    <x v="3"/>
    <s v="Demolition of garage block and redevelopment of the site for two three storey four bed townhouses (Class C3) with associated amenity space, car and cycle parking and refuse stores"/>
    <s v="Garages Adjacent 11 Ferrymoor, Ham_x000a__x000a_"/>
    <s v="TW10 7SD"/>
    <m/>
    <m/>
    <m/>
    <m/>
    <m/>
    <m/>
    <m/>
    <m/>
    <m/>
    <n v="0"/>
    <m/>
    <m/>
    <m/>
    <m/>
    <n v="2"/>
    <m/>
    <m/>
    <m/>
    <m/>
    <n v="2"/>
    <n v="0"/>
    <n v="0"/>
    <n v="0"/>
    <n v="2"/>
    <n v="0"/>
    <n v="0"/>
    <n v="0"/>
    <n v="0"/>
    <n v="2"/>
    <x v="1"/>
    <m/>
    <n v="0.5"/>
    <n v="0.5"/>
    <n v="0.5"/>
    <n v="0.5"/>
    <m/>
    <m/>
    <m/>
    <m/>
    <m/>
    <m/>
    <m/>
    <m/>
    <m/>
    <m/>
    <m/>
    <m/>
    <n v="2"/>
    <n v="2"/>
    <m/>
    <m/>
    <m/>
    <n v="516805"/>
    <n v="172149"/>
    <x v="2"/>
    <x v="3"/>
    <x v="0"/>
    <x v="0"/>
    <m/>
    <x v="1"/>
    <x v="0"/>
    <m/>
    <x v="0"/>
    <m/>
    <x v="2"/>
    <x v="2"/>
  </r>
  <r>
    <s v="22/1513/FUL"/>
    <x v="0"/>
    <x v="0"/>
    <x v="47"/>
    <d v="2025-09-16T00:00:00"/>
    <m/>
    <m/>
    <x v="2"/>
    <x v="0"/>
    <x v="0"/>
    <m/>
    <x v="3"/>
    <s v="Erection of a new dwelling with associated parking and landscaping."/>
    <s v="2A Courtlands Avenue, Hampton TW12 3NT_x000a_"/>
    <s v="TW12 3NT"/>
    <m/>
    <m/>
    <m/>
    <m/>
    <m/>
    <m/>
    <m/>
    <m/>
    <m/>
    <n v="0"/>
    <s v="N"/>
    <m/>
    <m/>
    <m/>
    <n v="1"/>
    <m/>
    <m/>
    <m/>
    <m/>
    <n v="1"/>
    <n v="0"/>
    <n v="0"/>
    <n v="0"/>
    <n v="1"/>
    <n v="0"/>
    <n v="0"/>
    <n v="0"/>
    <n v="0"/>
    <n v="1"/>
    <x v="1"/>
    <m/>
    <n v="0.25"/>
    <n v="0.25"/>
    <n v="0.25"/>
    <n v="0.25"/>
    <m/>
    <m/>
    <m/>
    <m/>
    <m/>
    <m/>
    <m/>
    <m/>
    <m/>
    <m/>
    <m/>
    <m/>
    <n v="1"/>
    <n v="1"/>
    <s v="N"/>
    <s v="N"/>
    <s v="N"/>
    <n v="512954"/>
    <n v="170628"/>
    <x v="1"/>
    <x v="1"/>
    <x v="0"/>
    <x v="0"/>
    <m/>
    <x v="1"/>
    <x v="0"/>
    <m/>
    <x v="0"/>
    <m/>
    <x v="1"/>
    <x v="0"/>
  </r>
  <r>
    <s v="22/1831/FUL"/>
    <x v="0"/>
    <x v="0"/>
    <x v="154"/>
    <d v="2026-04-28T00:00:00"/>
    <m/>
    <m/>
    <x v="2"/>
    <x v="0"/>
    <x v="0"/>
    <m/>
    <x v="3"/>
    <s v="Erection of 2 detached dwellings with associated off street parking &amp; private amenity space which accommodates refuse and cycle storage."/>
    <s v="Willowdene, Millfield Road, Whitton TW4 5PN_x000a_"/>
    <s v="TW4 5PN"/>
    <m/>
    <m/>
    <m/>
    <m/>
    <m/>
    <m/>
    <m/>
    <m/>
    <m/>
    <n v="0"/>
    <s v="N"/>
    <m/>
    <n v="1"/>
    <m/>
    <n v="1"/>
    <m/>
    <m/>
    <m/>
    <m/>
    <n v="2"/>
    <n v="0"/>
    <n v="1"/>
    <n v="0"/>
    <n v="1"/>
    <n v="0"/>
    <n v="0"/>
    <n v="0"/>
    <n v="0"/>
    <n v="2"/>
    <x v="1"/>
    <m/>
    <n v="0.5"/>
    <n v="0.5"/>
    <n v="0.5"/>
    <n v="0.5"/>
    <m/>
    <m/>
    <m/>
    <m/>
    <m/>
    <m/>
    <m/>
    <m/>
    <m/>
    <m/>
    <m/>
    <m/>
    <n v="2"/>
    <n v="2"/>
    <s v="N"/>
    <s v="N"/>
    <s v="N"/>
    <n v="512514"/>
    <n v="173445"/>
    <x v="0"/>
    <x v="0"/>
    <x v="0"/>
    <x v="0"/>
    <m/>
    <x v="1"/>
    <x v="0"/>
    <m/>
    <x v="0"/>
    <m/>
    <x v="0"/>
    <x v="1"/>
  </r>
  <r>
    <s v="22/1916/FUL"/>
    <x v="0"/>
    <x v="0"/>
    <x v="155"/>
    <d v="2025-10-12T00:00:00"/>
    <m/>
    <m/>
    <x v="2"/>
    <x v="0"/>
    <x v="0"/>
    <m/>
    <x v="3"/>
    <s v="Demolition of an existing detached residence and construction of a replacement 2 storey 5 bedroom house and associated hard and soft landscaping, refuse and cycle parking facilities"/>
    <s v="32 Sandy Lane, Petersham, Richmond TW10 7EL_x000a_"/>
    <s v="TW10 7EL"/>
    <m/>
    <m/>
    <m/>
    <n v="1"/>
    <m/>
    <m/>
    <m/>
    <m/>
    <m/>
    <n v="1"/>
    <s v="N"/>
    <m/>
    <m/>
    <m/>
    <m/>
    <n v="1"/>
    <m/>
    <m/>
    <m/>
    <n v="1"/>
    <n v="0"/>
    <n v="0"/>
    <n v="-1"/>
    <n v="0"/>
    <n v="1"/>
    <n v="0"/>
    <n v="0"/>
    <n v="0"/>
    <n v="0"/>
    <x v="1"/>
    <m/>
    <n v="0"/>
    <m/>
    <m/>
    <m/>
    <m/>
    <m/>
    <m/>
    <m/>
    <m/>
    <m/>
    <m/>
    <m/>
    <m/>
    <m/>
    <m/>
    <m/>
    <n v="0"/>
    <n v="0"/>
    <s v="N"/>
    <s v="N"/>
    <s v="N"/>
    <n v="517779"/>
    <n v="172645"/>
    <x v="2"/>
    <x v="3"/>
    <x v="0"/>
    <x v="0"/>
    <m/>
    <x v="1"/>
    <x v="0"/>
    <m/>
    <x v="0"/>
    <m/>
    <x v="2"/>
    <x v="0"/>
  </r>
  <r>
    <s v="22/3228/FUL"/>
    <x v="2"/>
    <x v="0"/>
    <x v="156"/>
    <d v="2027-01-15T00:00:00"/>
    <m/>
    <m/>
    <x v="2"/>
    <x v="0"/>
    <x v="0"/>
    <m/>
    <x v="3"/>
    <s v="Conversion of dwelling into two residential properties, alterations to elevations, and associated works."/>
    <s v="154 Broad Lane, Hampton TW12 3BW"/>
    <s v="TW12 3BW"/>
    <m/>
    <m/>
    <m/>
    <m/>
    <n v="1"/>
    <m/>
    <m/>
    <m/>
    <m/>
    <n v="1"/>
    <s v="N"/>
    <m/>
    <n v="2"/>
    <m/>
    <m/>
    <m/>
    <m/>
    <m/>
    <m/>
    <n v="2"/>
    <n v="0"/>
    <n v="2"/>
    <n v="0"/>
    <n v="-1"/>
    <n v="0"/>
    <n v="0"/>
    <n v="0"/>
    <n v="0"/>
    <n v="1"/>
    <x v="1"/>
    <m/>
    <n v="0.25"/>
    <n v="0.25"/>
    <n v="0.25"/>
    <n v="0.25"/>
    <m/>
    <m/>
    <m/>
    <m/>
    <m/>
    <m/>
    <m/>
    <m/>
    <m/>
    <m/>
    <m/>
    <m/>
    <n v="1"/>
    <n v="1"/>
    <s v="N"/>
    <s v="N"/>
    <s v="N"/>
    <n v="512735"/>
    <n v="170493"/>
    <x v="1"/>
    <x v="1"/>
    <x v="0"/>
    <x v="0"/>
    <m/>
    <x v="1"/>
    <x v="0"/>
    <m/>
    <x v="0"/>
    <m/>
    <x v="1"/>
    <x v="0"/>
  </r>
  <r>
    <s v="22/3400/GPD26"/>
    <x v="1"/>
    <x v="1"/>
    <x v="157"/>
    <d v="2026-01-05T00:00:00"/>
    <m/>
    <m/>
    <x v="2"/>
    <x v="0"/>
    <x v="0"/>
    <m/>
    <x v="3"/>
    <s v="Application for change of use from Use Class E to Use Class C3._x000d_"/>
    <s v="Land At Myrtle Road Adjacent, 1 High Street, Hampton Hill_x000a__x000a_"/>
    <s v="TW12 1NA"/>
    <m/>
    <m/>
    <m/>
    <m/>
    <m/>
    <m/>
    <m/>
    <m/>
    <m/>
    <n v="0"/>
    <s v="N"/>
    <n v="4"/>
    <n v="1"/>
    <m/>
    <m/>
    <m/>
    <m/>
    <m/>
    <m/>
    <n v="5"/>
    <n v="4"/>
    <n v="1"/>
    <n v="0"/>
    <n v="0"/>
    <n v="0"/>
    <n v="0"/>
    <n v="0"/>
    <n v="0"/>
    <n v="5"/>
    <x v="1"/>
    <m/>
    <n v="2.5"/>
    <n v="2.5"/>
    <m/>
    <m/>
    <m/>
    <m/>
    <m/>
    <m/>
    <m/>
    <m/>
    <m/>
    <m/>
    <m/>
    <m/>
    <m/>
    <m/>
    <n v="5"/>
    <n v="5"/>
    <s v="N"/>
    <s v="N"/>
    <s v="N"/>
    <n v="514122"/>
    <n v="170560"/>
    <x v="1"/>
    <x v="14"/>
    <x v="0"/>
    <x v="0"/>
    <m/>
    <x v="1"/>
    <x v="0"/>
    <m/>
    <x v="0"/>
    <m/>
    <x v="1"/>
    <x v="0"/>
  </r>
  <r>
    <s v="23/0145/FUL"/>
    <x v="0"/>
    <x v="0"/>
    <x v="158"/>
    <d v="2026-06-13T00:00:00"/>
    <m/>
    <m/>
    <x v="2"/>
    <x v="0"/>
    <x v="0"/>
    <m/>
    <x v="3"/>
    <s v="Demolish existing end of terrace 3 bedroom house and create new 4 bedroom end of terrace house."/>
    <s v="2 Everdon Road, Barnes SW13 9AH"/>
    <s v="SW13 9AH"/>
    <m/>
    <m/>
    <m/>
    <n v="1"/>
    <m/>
    <m/>
    <m/>
    <m/>
    <m/>
    <n v="1"/>
    <s v="N"/>
    <m/>
    <m/>
    <m/>
    <n v="1"/>
    <m/>
    <m/>
    <m/>
    <m/>
    <n v="1"/>
    <n v="0"/>
    <n v="0"/>
    <n v="-1"/>
    <n v="1"/>
    <n v="0"/>
    <n v="0"/>
    <n v="0"/>
    <n v="0"/>
    <n v="0"/>
    <x v="1"/>
    <m/>
    <n v="0"/>
    <m/>
    <m/>
    <m/>
    <m/>
    <m/>
    <m/>
    <m/>
    <m/>
    <m/>
    <m/>
    <m/>
    <m/>
    <m/>
    <m/>
    <m/>
    <n v="0"/>
    <n v="0"/>
    <s v="N"/>
    <s v="N"/>
    <s v="N"/>
    <n v="522220"/>
    <n v="177505"/>
    <x v="3"/>
    <x v="4"/>
    <x v="0"/>
    <x v="0"/>
    <m/>
    <x v="1"/>
    <x v="0"/>
    <m/>
    <x v="0"/>
    <m/>
    <x v="3"/>
    <x v="0"/>
  </r>
  <r>
    <s v="23/0291/FUL"/>
    <x v="0"/>
    <x v="0"/>
    <x v="159"/>
    <d v="2026-08-03T00:00:00"/>
    <m/>
    <m/>
    <x v="2"/>
    <x v="0"/>
    <x v="0"/>
    <m/>
    <x v="3"/>
    <s v="Demolition of existing Boot House and erection of new two-storey dwelling with porch and rear dormer. Bin store to front garden and front boundary wall. Cycle storage to rear garden. Instillation of air source heat pump and photovoltaic panels."/>
    <s v="25 Kentwode Green, Barnes SW13 9AD_x000a_"/>
    <s v="SW13 9AD"/>
    <m/>
    <m/>
    <n v="1"/>
    <m/>
    <m/>
    <m/>
    <m/>
    <m/>
    <m/>
    <n v="1"/>
    <s v="N"/>
    <m/>
    <m/>
    <n v="1"/>
    <m/>
    <m/>
    <m/>
    <m/>
    <m/>
    <n v="1"/>
    <n v="0"/>
    <n v="-1"/>
    <n v="1"/>
    <n v="0"/>
    <n v="0"/>
    <n v="0"/>
    <n v="0"/>
    <n v="0"/>
    <n v="0"/>
    <x v="1"/>
    <m/>
    <n v="0"/>
    <m/>
    <m/>
    <m/>
    <m/>
    <m/>
    <m/>
    <m/>
    <m/>
    <m/>
    <m/>
    <m/>
    <m/>
    <m/>
    <m/>
    <m/>
    <n v="0"/>
    <n v="0"/>
    <s v="N"/>
    <s v="N"/>
    <s v="N"/>
    <n v="522197"/>
    <n v="177398"/>
    <x v="3"/>
    <x v="4"/>
    <x v="0"/>
    <x v="0"/>
    <m/>
    <x v="1"/>
    <x v="0"/>
    <m/>
    <x v="0"/>
    <m/>
    <x v="3"/>
    <x v="0"/>
  </r>
  <r>
    <s v="23/1643/PS192"/>
    <x v="1"/>
    <x v="0"/>
    <x v="160"/>
    <d v="2026-10-12T00:00:00"/>
    <m/>
    <m/>
    <x v="2"/>
    <x v="0"/>
    <x v="0"/>
    <m/>
    <x v="3"/>
    <s v="Change of use from C3 Dwellinghouse to C4 House in multiple Occupation."/>
    <s v="3 Redfern Avenue, Whitton TW4 5NA_x000a_"/>
    <s v="TW4 5NA"/>
    <m/>
    <m/>
    <m/>
    <n v="1"/>
    <m/>
    <m/>
    <m/>
    <m/>
    <m/>
    <n v="1"/>
    <s v="N"/>
    <m/>
    <m/>
    <n v="1"/>
    <m/>
    <m/>
    <m/>
    <m/>
    <m/>
    <n v="1"/>
    <n v="0"/>
    <n v="0"/>
    <n v="0"/>
    <n v="0"/>
    <n v="0"/>
    <n v="0"/>
    <n v="0"/>
    <n v="0"/>
    <n v="0"/>
    <x v="1"/>
    <m/>
    <n v="0"/>
    <m/>
    <m/>
    <m/>
    <m/>
    <m/>
    <m/>
    <m/>
    <m/>
    <m/>
    <m/>
    <m/>
    <m/>
    <m/>
    <m/>
    <m/>
    <n v="0"/>
    <n v="0"/>
    <s v="N"/>
    <s v="N"/>
    <s v="Y"/>
    <n v="513121"/>
    <n v="173691"/>
    <x v="0"/>
    <x v="0"/>
    <x v="0"/>
    <x v="0"/>
    <m/>
    <x v="1"/>
    <x v="0"/>
    <m/>
    <x v="0"/>
    <m/>
    <x v="0"/>
    <x v="0"/>
  </r>
  <r>
    <s v="23/1812/FUL"/>
    <x v="0"/>
    <x v="0"/>
    <x v="13"/>
    <d v="2026-09-07T00:00:00"/>
    <m/>
    <m/>
    <x v="2"/>
    <x v="0"/>
    <x v="0"/>
    <m/>
    <x v="3"/>
    <s v="Demolition of existing dwelling and erection of a replacement two storey dwelling."/>
    <s v="14 Cedar Heights, Petersham, Richmond TW10 7AE_x000a_"/>
    <s v="TW10 7AE"/>
    <m/>
    <m/>
    <m/>
    <n v="1"/>
    <m/>
    <m/>
    <m/>
    <m/>
    <m/>
    <n v="1"/>
    <s v="N"/>
    <m/>
    <m/>
    <m/>
    <m/>
    <n v="1"/>
    <m/>
    <m/>
    <m/>
    <n v="1"/>
    <n v="0"/>
    <n v="0"/>
    <n v="-1"/>
    <n v="0"/>
    <n v="1"/>
    <n v="0"/>
    <n v="0"/>
    <n v="0"/>
    <n v="0"/>
    <x v="1"/>
    <m/>
    <n v="0"/>
    <m/>
    <m/>
    <m/>
    <m/>
    <m/>
    <m/>
    <m/>
    <m/>
    <m/>
    <m/>
    <m/>
    <m/>
    <m/>
    <m/>
    <m/>
    <n v="0"/>
    <n v="0"/>
    <s v="N"/>
    <s v="N"/>
    <s v="N"/>
    <n v="518160"/>
    <n v="173124"/>
    <x v="2"/>
    <x v="3"/>
    <x v="0"/>
    <x v="0"/>
    <m/>
    <x v="1"/>
    <x v="0"/>
    <m/>
    <x v="0"/>
    <m/>
    <x v="2"/>
    <x v="0"/>
  </r>
  <r>
    <s v="23/1896/FUL"/>
    <x v="0"/>
    <x v="0"/>
    <x v="61"/>
    <d v="2027-01-22T00:00:00"/>
    <m/>
    <m/>
    <x v="2"/>
    <x v="0"/>
    <x v="0"/>
    <m/>
    <x v="3"/>
    <s v="Demolition of one-storey former Nursery building and two-storey Ex-school caretakers house and subsequent construction of a two-storey school building for 25 pupils aged 11-19 with severe and complex learning difficulties, including those with an addition"/>
    <s v="122 Hanworth Road, Hampton TW12 3EZ_x000a_"/>
    <s v="TW12 3EZ"/>
    <m/>
    <m/>
    <n v="1"/>
    <m/>
    <m/>
    <m/>
    <m/>
    <m/>
    <m/>
    <n v="1"/>
    <m/>
    <m/>
    <m/>
    <m/>
    <m/>
    <m/>
    <m/>
    <m/>
    <m/>
    <n v="0"/>
    <n v="0"/>
    <n v="-1"/>
    <n v="0"/>
    <n v="0"/>
    <n v="0"/>
    <n v="0"/>
    <n v="0"/>
    <n v="0"/>
    <n v="-1"/>
    <x v="1"/>
    <m/>
    <n v="-0.25"/>
    <n v="-0.25"/>
    <n v="-0.25"/>
    <n v="-0.25"/>
    <m/>
    <m/>
    <m/>
    <m/>
    <m/>
    <m/>
    <m/>
    <m/>
    <m/>
    <m/>
    <m/>
    <m/>
    <n v="-1"/>
    <n v="-1"/>
    <m/>
    <m/>
    <m/>
    <n v="513128"/>
    <n v="171220"/>
    <x v="1"/>
    <x v="1"/>
    <x v="0"/>
    <x v="0"/>
    <m/>
    <x v="1"/>
    <x v="0"/>
    <m/>
    <x v="0"/>
    <m/>
    <x v="1"/>
    <x v="2"/>
  </r>
  <r>
    <s v="23/2146/FUL"/>
    <x v="0"/>
    <x v="0"/>
    <x v="161"/>
    <d v="2027-03-26T00:00:00"/>
    <m/>
    <m/>
    <x v="2"/>
    <x v="0"/>
    <x v="0"/>
    <m/>
    <x v="3"/>
    <s v="Demolition of the existing dwelling at Little Orchard and the erection of a new dwelling maintaining the existing access off Bute Avenue and associated refuse/cycle storage and amendments to boundary treatment"/>
    <s v="Little Orchard_x000d_Sudbrook Lane_x000d_Petersham_x000d_Richmond_x000d_TW10 7AT_x000d_"/>
    <s v="TW10 7AT"/>
    <m/>
    <m/>
    <m/>
    <m/>
    <n v="1"/>
    <m/>
    <m/>
    <m/>
    <m/>
    <m/>
    <s v="N"/>
    <m/>
    <m/>
    <m/>
    <n v="1"/>
    <m/>
    <m/>
    <m/>
    <m/>
    <m/>
    <n v="0"/>
    <n v="0"/>
    <n v="0"/>
    <n v="0"/>
    <n v="0"/>
    <n v="0"/>
    <n v="0"/>
    <n v="0"/>
    <n v="0"/>
    <x v="1"/>
    <m/>
    <n v="0"/>
    <m/>
    <m/>
    <m/>
    <m/>
    <m/>
    <m/>
    <m/>
    <m/>
    <m/>
    <m/>
    <m/>
    <m/>
    <m/>
    <m/>
    <m/>
    <n v="0"/>
    <n v="0"/>
    <s v="N"/>
    <s v="N"/>
    <s v="N"/>
    <n v="518153"/>
    <n v="172943"/>
    <x v="2"/>
    <x v="3"/>
    <x v="0"/>
    <x v="0"/>
    <m/>
    <x v="1"/>
    <x v="0"/>
    <s v="CA6 Petersham"/>
    <x v="1"/>
    <m/>
    <x v="2"/>
    <x v="0"/>
  </r>
  <r>
    <s v="21/2602/FUL"/>
    <x v="1"/>
    <x v="0"/>
    <x v="162"/>
    <d v="2024-11-09T00:00:00"/>
    <m/>
    <m/>
    <x v="2"/>
    <x v="0"/>
    <x v="0"/>
    <m/>
    <x v="3"/>
    <s v="Construction of a single storey rear extension and change of use of existing lower ground floor flat from C3 to E(e) (Medical and Health Services) to enable the enlargement of the existing dental practice to provide a further 3 x surgeries."/>
    <s v="200 Castelnau, Barnes SW13 9DW_x000a_"/>
    <s v="SW13 9DW"/>
    <m/>
    <n v="1"/>
    <m/>
    <m/>
    <m/>
    <m/>
    <m/>
    <m/>
    <m/>
    <n v="1"/>
    <m/>
    <m/>
    <m/>
    <m/>
    <m/>
    <m/>
    <m/>
    <m/>
    <m/>
    <n v="0"/>
    <n v="-1"/>
    <n v="0"/>
    <n v="0"/>
    <n v="0"/>
    <n v="0"/>
    <n v="0"/>
    <n v="0"/>
    <n v="0"/>
    <n v="-1"/>
    <x v="1"/>
    <m/>
    <n v="-0.25"/>
    <n v="-0.25"/>
    <n v="-0.25"/>
    <n v="-0.25"/>
    <m/>
    <m/>
    <m/>
    <m/>
    <m/>
    <m/>
    <m/>
    <m/>
    <m/>
    <m/>
    <m/>
    <m/>
    <n v="-1"/>
    <n v="-1"/>
    <m/>
    <m/>
    <m/>
    <n v="522822"/>
    <n v="177807"/>
    <x v="3"/>
    <x v="4"/>
    <x v="0"/>
    <x v="0"/>
    <s v="Castelnau, North Barnes"/>
    <x v="0"/>
    <x v="0"/>
    <s v="CA25 Castelnau"/>
    <x v="1"/>
    <s v="Y"/>
    <x v="3"/>
    <x v="2"/>
  </r>
  <r>
    <s v="23/1658/GPD26"/>
    <x v="1"/>
    <x v="1"/>
    <x v="163"/>
    <d v="2026-08-07T00:00:00"/>
    <m/>
    <m/>
    <x v="2"/>
    <x v="0"/>
    <x v="0"/>
    <m/>
    <x v="3"/>
    <s v="Conversion of ground floor commercial unit (class E use) to a residential dwelling (class C3 use)."/>
    <s v="66 Hampton Road, Twickenham TW2 5QB_x000a_"/>
    <s v="TW2 5QB"/>
    <m/>
    <m/>
    <m/>
    <m/>
    <m/>
    <m/>
    <m/>
    <m/>
    <m/>
    <n v="0"/>
    <s v="N"/>
    <m/>
    <n v="1"/>
    <m/>
    <m/>
    <m/>
    <m/>
    <m/>
    <m/>
    <n v="1"/>
    <n v="0"/>
    <n v="1"/>
    <n v="0"/>
    <n v="0"/>
    <n v="0"/>
    <n v="0"/>
    <n v="0"/>
    <n v="0"/>
    <n v="1"/>
    <x v="1"/>
    <m/>
    <m/>
    <n v="1"/>
    <m/>
    <m/>
    <m/>
    <m/>
    <m/>
    <m/>
    <m/>
    <m/>
    <m/>
    <m/>
    <m/>
    <m/>
    <m/>
    <m/>
    <n v="1"/>
    <n v="1"/>
    <s v="N"/>
    <s v="N"/>
    <s v="N"/>
    <n v="515085"/>
    <n v="172681"/>
    <x v="4"/>
    <x v="17"/>
    <x v="0"/>
    <x v="0"/>
    <s v="Hampton Road, Twickenham"/>
    <x v="0"/>
    <x v="0"/>
    <m/>
    <x v="0"/>
    <s v="Y"/>
    <x v="4"/>
    <x v="0"/>
  </r>
  <r>
    <s v="21/0586/FUL"/>
    <x v="4"/>
    <x v="0"/>
    <x v="164"/>
    <d v="2026-11-09T00:00:00"/>
    <m/>
    <m/>
    <x v="2"/>
    <x v="0"/>
    <x v="0"/>
    <m/>
    <x v="3"/>
    <s v="Demolition of Nos. 29 and 29b High Street and associated outbuildings, and erection of 8no. dwellings and 536.5sqm of Class E floorspace with associated works including the provision of 24 cycle spaces and 5 car parking spaces."/>
    <s v="29 To 31 High Street And Land To Rear Of High Street, Hampton Wick_x000a__x000a_"/>
    <s v="KT1 4DA"/>
    <m/>
    <n v="1"/>
    <m/>
    <m/>
    <m/>
    <m/>
    <m/>
    <m/>
    <m/>
    <n v="1"/>
    <m/>
    <n v="7"/>
    <m/>
    <n v="1"/>
    <m/>
    <m/>
    <m/>
    <m/>
    <m/>
    <n v="8"/>
    <n v="6"/>
    <n v="0"/>
    <n v="1"/>
    <n v="0"/>
    <n v="0"/>
    <n v="0"/>
    <n v="0"/>
    <n v="0"/>
    <n v="7"/>
    <x v="1"/>
    <m/>
    <n v="1.75"/>
    <n v="1.75"/>
    <n v="1.75"/>
    <n v="1.75"/>
    <m/>
    <m/>
    <m/>
    <m/>
    <m/>
    <m/>
    <m/>
    <m/>
    <m/>
    <m/>
    <m/>
    <m/>
    <n v="7"/>
    <n v="7"/>
    <s v="N"/>
    <s v="N"/>
    <s v="N"/>
    <n v="517534"/>
    <n v="169493"/>
    <x v="1"/>
    <x v="11"/>
    <x v="0"/>
    <x v="0"/>
    <s v="Hampton Wick"/>
    <x v="0"/>
    <x v="0"/>
    <s v="CA18 Hampton Wick"/>
    <x v="1"/>
    <s v="Y"/>
    <x v="6"/>
    <x v="0"/>
  </r>
  <r>
    <s v="21/4262/FUL"/>
    <x v="1"/>
    <x v="0"/>
    <x v="137"/>
    <d v="2026-03-13T00:00:00"/>
    <m/>
    <m/>
    <x v="2"/>
    <x v="0"/>
    <x v="0"/>
    <m/>
    <x v="3"/>
    <s v="A new window opening to the rear and change of use of existing office to C3 (residential) use to provide one bedroom flat"/>
    <s v="41 Barnes High Street, Barnes SW13 9LN_x000a_"/>
    <s v="SW13 9LN"/>
    <m/>
    <m/>
    <m/>
    <m/>
    <m/>
    <m/>
    <m/>
    <m/>
    <m/>
    <n v="0"/>
    <s v="N"/>
    <n v="1"/>
    <m/>
    <m/>
    <m/>
    <m/>
    <m/>
    <m/>
    <m/>
    <n v="1"/>
    <n v="1"/>
    <n v="0"/>
    <n v="0"/>
    <n v="0"/>
    <n v="0"/>
    <n v="0"/>
    <n v="0"/>
    <n v="0"/>
    <n v="1"/>
    <x v="1"/>
    <m/>
    <n v="0.25"/>
    <n v="0.25"/>
    <n v="0.25"/>
    <n v="0.25"/>
    <m/>
    <m/>
    <m/>
    <m/>
    <m/>
    <m/>
    <m/>
    <m/>
    <m/>
    <m/>
    <m/>
    <m/>
    <n v="1"/>
    <n v="1"/>
    <s v="N"/>
    <s v="N"/>
    <s v="N"/>
    <n v="521585"/>
    <n v="176415"/>
    <x v="3"/>
    <x v="4"/>
    <x v="0"/>
    <x v="1"/>
    <s v="High Street, Barnes"/>
    <x v="0"/>
    <x v="0"/>
    <s v="CA1 Barnes Green"/>
    <x v="1"/>
    <s v="Y"/>
    <x v="3"/>
    <x v="0"/>
  </r>
  <r>
    <s v="22/3061/FUL"/>
    <x v="3"/>
    <x v="0"/>
    <x v="165"/>
    <d v="2027-03-01T00:00:00"/>
    <m/>
    <m/>
    <x v="2"/>
    <x v="0"/>
    <x v="0"/>
    <m/>
    <x v="3"/>
    <s v="ADDITIONAL STOREY TO ADD TWO SINGLE BED DWELLINGS"/>
    <s v="118A - 118B High Street, Hampton Hill, Hampton TW12 1NT_x000a_"/>
    <s v="TW12 1NT"/>
    <m/>
    <m/>
    <m/>
    <m/>
    <m/>
    <m/>
    <m/>
    <m/>
    <m/>
    <n v="0"/>
    <s v="N"/>
    <n v="2"/>
    <m/>
    <m/>
    <m/>
    <m/>
    <m/>
    <m/>
    <m/>
    <n v="2"/>
    <n v="2"/>
    <n v="0"/>
    <n v="0"/>
    <n v="0"/>
    <n v="0"/>
    <n v="0"/>
    <n v="0"/>
    <n v="0"/>
    <n v="2"/>
    <x v="1"/>
    <m/>
    <n v="0.5"/>
    <n v="0.5"/>
    <n v="0.5"/>
    <n v="0.5"/>
    <m/>
    <m/>
    <m/>
    <m/>
    <m/>
    <m/>
    <m/>
    <m/>
    <m/>
    <m/>
    <m/>
    <m/>
    <n v="2"/>
    <n v="2"/>
    <s v="N"/>
    <s v="N"/>
    <s v="N"/>
    <n v="514515"/>
    <n v="171261"/>
    <x v="1"/>
    <x v="14"/>
    <x v="0"/>
    <x v="0"/>
    <s v="High Street, Hampton Hill"/>
    <x v="0"/>
    <x v="0"/>
    <m/>
    <x v="0"/>
    <s v="Y"/>
    <x v="1"/>
    <x v="0"/>
  </r>
  <r>
    <s v="23/1819/FUL"/>
    <x v="4"/>
    <x v="0"/>
    <x v="166"/>
    <d v="2026-09-18T00:00:00"/>
    <m/>
    <m/>
    <x v="2"/>
    <x v="0"/>
    <x v="0"/>
    <m/>
    <x v="3"/>
    <s v="Ground floor conversion from commercial to two 1B1P self-contained dwellings. Single storey rear extension to accommodate one new 2B4P self-contained dwelling. First floor extension to allow the sub-division of the existing 3 bedroom first floor flat to form 2No. 1-bedroom flats and the construction of a mansard style roof extension to provide a further 2No. 1 bedroom flats at second floor level. Re-siting of existing front doors at ground floor level of the residential units."/>
    <s v="3 - 4 New Broadway, Hampton Hill_x000a__x000a_"/>
    <s v="TW12 1JG"/>
    <m/>
    <m/>
    <m/>
    <n v="1"/>
    <m/>
    <m/>
    <m/>
    <m/>
    <m/>
    <n v="1"/>
    <s v="N"/>
    <n v="8"/>
    <m/>
    <m/>
    <m/>
    <m/>
    <m/>
    <m/>
    <m/>
    <n v="8"/>
    <n v="8"/>
    <n v="0"/>
    <n v="-1"/>
    <n v="0"/>
    <n v="0"/>
    <n v="0"/>
    <n v="0"/>
    <n v="0"/>
    <n v="7"/>
    <x v="1"/>
    <m/>
    <n v="1.75"/>
    <n v="1.75"/>
    <n v="1.75"/>
    <n v="1.75"/>
    <m/>
    <m/>
    <m/>
    <m/>
    <m/>
    <m/>
    <m/>
    <m/>
    <m/>
    <m/>
    <m/>
    <m/>
    <n v="7"/>
    <n v="7"/>
    <s v="N"/>
    <s v="N"/>
    <s v="N"/>
    <n v="514554"/>
    <n v="171263"/>
    <x v="1"/>
    <x v="14"/>
    <x v="0"/>
    <x v="0"/>
    <s v="High Street, Hampton Hill"/>
    <x v="0"/>
    <x v="0"/>
    <m/>
    <x v="0"/>
    <s v="Y"/>
    <x v="1"/>
    <x v="0"/>
  </r>
  <r>
    <s v="23/0946/GPD26"/>
    <x v="1"/>
    <x v="1"/>
    <x v="121"/>
    <d v="2026-05-24T00:00:00"/>
    <m/>
    <m/>
    <x v="2"/>
    <x v="0"/>
    <x v="0"/>
    <m/>
    <x v="3"/>
    <s v="Change of use of ground floor from Use Class E to 1no. flat (Use Class C3)_x000d_"/>
    <s v="145 White Hart Lane, Barnes SW13 0JP_x000a_"/>
    <s v="SW13 0JP"/>
    <m/>
    <m/>
    <m/>
    <m/>
    <m/>
    <m/>
    <m/>
    <m/>
    <m/>
    <n v="0"/>
    <s v="N"/>
    <n v="1"/>
    <m/>
    <m/>
    <m/>
    <m/>
    <m/>
    <m/>
    <m/>
    <n v="1"/>
    <n v="1"/>
    <n v="0"/>
    <n v="0"/>
    <n v="0"/>
    <n v="0"/>
    <n v="0"/>
    <n v="0"/>
    <n v="0"/>
    <n v="1"/>
    <x v="1"/>
    <m/>
    <m/>
    <n v="1"/>
    <m/>
    <m/>
    <m/>
    <m/>
    <m/>
    <m/>
    <m/>
    <m/>
    <m/>
    <m/>
    <m/>
    <m/>
    <m/>
    <m/>
    <n v="1"/>
    <n v="1"/>
    <s v="N"/>
    <s v="N"/>
    <s v="N"/>
    <n v="521457"/>
    <n v="175623"/>
    <x v="3"/>
    <x v="9"/>
    <x v="0"/>
    <x v="0"/>
    <s v="Priests Bridge, Barnes"/>
    <x v="0"/>
    <x v="0"/>
    <m/>
    <x v="0"/>
    <s v="Y"/>
    <x v="3"/>
    <x v="0"/>
  </r>
  <r>
    <s v="21/0699/FUL"/>
    <x v="3"/>
    <x v="0"/>
    <x v="167"/>
    <d v="2024-08-03T00:00:00"/>
    <m/>
    <m/>
    <x v="2"/>
    <x v="0"/>
    <x v="0"/>
    <m/>
    <x v="3"/>
    <s v="Upward roof extension to provide for one flat, and alter elevations, and associated works"/>
    <s v="47 Crown Road, Twickenham TW1 3EJ"/>
    <s v="TW1 3EJ"/>
    <m/>
    <m/>
    <m/>
    <m/>
    <m/>
    <m/>
    <m/>
    <m/>
    <m/>
    <n v="0"/>
    <m/>
    <m/>
    <n v="1"/>
    <m/>
    <m/>
    <m/>
    <m/>
    <m/>
    <m/>
    <n v="1"/>
    <n v="0"/>
    <n v="1"/>
    <n v="0"/>
    <n v="0"/>
    <n v="0"/>
    <n v="0"/>
    <n v="0"/>
    <n v="0"/>
    <n v="1"/>
    <x v="1"/>
    <m/>
    <n v="0.25"/>
    <n v="0.25"/>
    <n v="0.25"/>
    <n v="0.25"/>
    <m/>
    <m/>
    <m/>
    <m/>
    <m/>
    <m/>
    <m/>
    <m/>
    <m/>
    <m/>
    <m/>
    <m/>
    <n v="1"/>
    <n v="1"/>
    <s v="N"/>
    <s v="N"/>
    <s v="N"/>
    <n v="516925"/>
    <n v="174069"/>
    <x v="4"/>
    <x v="5"/>
    <x v="0"/>
    <x v="0"/>
    <s v="St Margarets"/>
    <x v="0"/>
    <x v="0"/>
    <m/>
    <x v="0"/>
    <s v="Y"/>
    <x v="4"/>
    <x v="0"/>
  </r>
  <r>
    <s v="22/1285/GPD26"/>
    <x v="1"/>
    <x v="1"/>
    <x v="48"/>
    <d v="2025-05-31T00:00:00"/>
    <m/>
    <m/>
    <x v="2"/>
    <x v="0"/>
    <x v="0"/>
    <m/>
    <x v="3"/>
    <s v="CHANGE OF USE TO SINGLE DWELLING HOUSE"/>
    <s v="5 Bridle Lane, Twickenham TW1 3EG_x000a_"/>
    <s v="TW1 3EG"/>
    <m/>
    <m/>
    <m/>
    <m/>
    <m/>
    <m/>
    <m/>
    <m/>
    <m/>
    <n v="0"/>
    <s v="N"/>
    <m/>
    <n v="1"/>
    <m/>
    <m/>
    <m/>
    <m/>
    <m/>
    <m/>
    <n v="1"/>
    <n v="0"/>
    <n v="1"/>
    <n v="0"/>
    <n v="0"/>
    <n v="0"/>
    <n v="0"/>
    <n v="0"/>
    <n v="0"/>
    <n v="1"/>
    <x v="1"/>
    <m/>
    <m/>
    <n v="1"/>
    <m/>
    <m/>
    <m/>
    <m/>
    <m/>
    <m/>
    <m/>
    <m/>
    <m/>
    <m/>
    <m/>
    <m/>
    <m/>
    <m/>
    <n v="1"/>
    <n v="1"/>
    <s v="N"/>
    <s v="N"/>
    <s v="N"/>
    <n v="516837"/>
    <n v="174180"/>
    <x v="4"/>
    <x v="5"/>
    <x v="0"/>
    <x v="0"/>
    <s v="St Margarets"/>
    <x v="0"/>
    <x v="0"/>
    <s v="CA49 Crown Road St Margarets"/>
    <x v="1"/>
    <s v="Y"/>
    <x v="4"/>
    <x v="0"/>
  </r>
  <r>
    <s v="21/3820/FUL"/>
    <x v="1"/>
    <x v="0"/>
    <x v="38"/>
    <d v="2025-05-20T00:00:00"/>
    <m/>
    <m/>
    <x v="2"/>
    <x v="0"/>
    <x v="0"/>
    <m/>
    <x v="3"/>
    <s v="Single storey rear extension, with a change of use of part of a derelict retail unit and residential unit to a one bedroom flat and the erection of an overhead shutter door to the rear yard."/>
    <s v="95 Stanley Road, Teddington TW11 8UB_x000a_"/>
    <s v="TW11 8UB"/>
    <m/>
    <m/>
    <m/>
    <m/>
    <m/>
    <m/>
    <m/>
    <m/>
    <m/>
    <n v="0"/>
    <s v="N"/>
    <n v="1"/>
    <m/>
    <m/>
    <m/>
    <m/>
    <m/>
    <m/>
    <m/>
    <n v="1"/>
    <n v="1"/>
    <n v="0"/>
    <n v="0"/>
    <n v="0"/>
    <n v="0"/>
    <n v="0"/>
    <n v="0"/>
    <n v="0"/>
    <n v="1"/>
    <x v="1"/>
    <m/>
    <n v="0.25"/>
    <n v="0.25"/>
    <n v="0.25"/>
    <n v="0.25"/>
    <m/>
    <m/>
    <m/>
    <m/>
    <m/>
    <m/>
    <m/>
    <m/>
    <m/>
    <m/>
    <m/>
    <m/>
    <n v="1"/>
    <n v="1"/>
    <s v="N"/>
    <s v="N"/>
    <s v="N"/>
    <n v="515093"/>
    <n v="171528"/>
    <x v="1"/>
    <x v="14"/>
    <x v="0"/>
    <x v="0"/>
    <s v="Stanley Road, Teddington"/>
    <x v="0"/>
    <x v="0"/>
    <m/>
    <x v="0"/>
    <s v="Y"/>
    <x v="6"/>
    <x v="0"/>
  </r>
  <r>
    <s v="20/2358/FUL"/>
    <x v="1"/>
    <x v="0"/>
    <x v="168"/>
    <d v="2024-09-23T00:00:00"/>
    <m/>
    <m/>
    <x v="2"/>
    <x v="0"/>
    <x v="0"/>
    <m/>
    <x v="3"/>
    <s v="Change of use for conversion of an office designed as a live work one-bedroom residential property to a two-bedroom residential property, with associated landscaping."/>
    <s v="19 Thames Street, Hampton TW12 2EW_x000a_"/>
    <s v="TW12 2EW"/>
    <m/>
    <n v="1"/>
    <m/>
    <m/>
    <m/>
    <m/>
    <m/>
    <m/>
    <m/>
    <n v="1"/>
    <m/>
    <m/>
    <n v="1"/>
    <m/>
    <m/>
    <m/>
    <m/>
    <m/>
    <m/>
    <n v="1"/>
    <n v="-1"/>
    <n v="1"/>
    <n v="0"/>
    <n v="0"/>
    <n v="0"/>
    <n v="0"/>
    <n v="0"/>
    <n v="0"/>
    <n v="0"/>
    <x v="1"/>
    <m/>
    <n v="0"/>
    <m/>
    <m/>
    <m/>
    <m/>
    <m/>
    <m/>
    <m/>
    <m/>
    <m/>
    <m/>
    <m/>
    <m/>
    <m/>
    <m/>
    <m/>
    <n v="0"/>
    <n v="0"/>
    <s v="N"/>
    <s v="N"/>
    <s v="N"/>
    <n v="513893"/>
    <n v="169502"/>
    <x v="1"/>
    <x v="2"/>
    <x v="0"/>
    <x v="1"/>
    <s v="Thames Street, Hampton"/>
    <x v="0"/>
    <x v="0"/>
    <s v="CA12 Hampton Village"/>
    <x v="1"/>
    <s v="Y"/>
    <x v="1"/>
    <x v="0"/>
  </r>
  <r>
    <s v="22/3193/FUL"/>
    <x v="1"/>
    <x v="0"/>
    <x v="169"/>
    <d v="2026-07-14T00:00:00"/>
    <d v="2024-05-16T00:00:00"/>
    <m/>
    <x v="2"/>
    <x v="0"/>
    <x v="0"/>
    <m/>
    <x v="3"/>
    <s v="Conversion of Ground Floor Commercial unit (Use Class E) to 3 No. Self Contained 1-bed units (Use Class C3), a single storey rear extension and alterations to fenestrations. Demolition of existing rear garage and provision of 2 rear car parking spaces, re"/>
    <s v="1 - 5  Bridge Parade, Wensleydale Road, Hampton_x000a__x000a_"/>
    <s v="TW12 2LP"/>
    <m/>
    <m/>
    <m/>
    <m/>
    <m/>
    <m/>
    <m/>
    <m/>
    <m/>
    <n v="0"/>
    <s v="N"/>
    <n v="3"/>
    <m/>
    <m/>
    <m/>
    <m/>
    <m/>
    <m/>
    <m/>
    <n v="3"/>
    <n v="3"/>
    <n v="0"/>
    <n v="0"/>
    <n v="0"/>
    <n v="0"/>
    <n v="0"/>
    <n v="0"/>
    <n v="0"/>
    <n v="3"/>
    <x v="1"/>
    <m/>
    <n v="1.5"/>
    <n v="1.5"/>
    <m/>
    <m/>
    <m/>
    <m/>
    <m/>
    <m/>
    <m/>
    <m/>
    <m/>
    <m/>
    <m/>
    <m/>
    <m/>
    <m/>
    <n v="3"/>
    <n v="3"/>
    <s v="N"/>
    <s v="N"/>
    <s v="N"/>
    <n v="513450"/>
    <n v="169957"/>
    <x v="1"/>
    <x v="2"/>
    <x v="0"/>
    <x v="0"/>
    <s v="Wensleydale Road, Hampton"/>
    <x v="0"/>
    <x v="0"/>
    <m/>
    <x v="0"/>
    <s v="Y"/>
    <x v="1"/>
    <x v="0"/>
  </r>
  <r>
    <s v="22/3573/FUL"/>
    <x v="2"/>
    <x v="0"/>
    <x v="170"/>
    <d v="2026-05-26T00:00:00"/>
    <m/>
    <m/>
    <x v="2"/>
    <x v="0"/>
    <x v="0"/>
    <m/>
    <x v="3"/>
    <s v="Conversion of 15A and 15B from 2 no. residential flats to 3 no. residential flats. Alterations to fenestration. Alteration to west elevation. Insertion of courtyards. Alterations to bin store and cycle store."/>
    <s v="13 - 17 White Hart Lane, Barnes SW13 0PX_x000a_"/>
    <s v="SW13 0PX"/>
    <m/>
    <m/>
    <n v="1"/>
    <n v="1"/>
    <m/>
    <m/>
    <m/>
    <m/>
    <m/>
    <n v="2"/>
    <s v="N"/>
    <m/>
    <n v="3"/>
    <m/>
    <m/>
    <m/>
    <m/>
    <m/>
    <m/>
    <n v="3"/>
    <n v="0"/>
    <n v="2"/>
    <n v="-1"/>
    <n v="0"/>
    <n v="0"/>
    <n v="0"/>
    <n v="0"/>
    <n v="0"/>
    <n v="1"/>
    <x v="1"/>
    <m/>
    <n v="0.25"/>
    <n v="0.25"/>
    <n v="0.25"/>
    <n v="0.25"/>
    <m/>
    <m/>
    <m/>
    <m/>
    <m/>
    <m/>
    <m/>
    <m/>
    <m/>
    <m/>
    <m/>
    <m/>
    <n v="1"/>
    <n v="1"/>
    <s v="N"/>
    <s v="N"/>
    <s v="N"/>
    <n v="521299"/>
    <n v="176041"/>
    <x v="3"/>
    <x v="9"/>
    <x v="0"/>
    <x v="0"/>
    <s v="White Hart Lane/Mortlake H"/>
    <x v="0"/>
    <x v="0"/>
    <s v="CA16 Thorne Passage Mortlake"/>
    <x v="1"/>
    <s v="Y"/>
    <x v="3"/>
    <x v="0"/>
  </r>
  <r>
    <s v="18/3575/FUL"/>
    <x v="0"/>
    <x v="0"/>
    <x v="171"/>
    <d v="2026-08-31T00:00:00"/>
    <m/>
    <m/>
    <x v="2"/>
    <x v="0"/>
    <x v="0"/>
    <m/>
    <x v="3"/>
    <s v="Demolition of existing garage. Erection of two x 2 storey five bed single-family dwellings with basement and associated hard and soft landscaping, new boundary treatment and refuse and cycle provision. Creation of dropped kerbs to facilitate provision of"/>
    <s v="Land Rear Of 272-278 St Margarets Road, Twickenham_x000a__x000a_"/>
    <s v="TW1"/>
    <m/>
    <m/>
    <m/>
    <m/>
    <m/>
    <m/>
    <m/>
    <m/>
    <m/>
    <n v="0"/>
    <m/>
    <m/>
    <m/>
    <m/>
    <m/>
    <n v="2"/>
    <m/>
    <m/>
    <m/>
    <n v="2"/>
    <n v="0"/>
    <n v="0"/>
    <n v="0"/>
    <n v="0"/>
    <n v="2"/>
    <n v="0"/>
    <n v="0"/>
    <n v="0"/>
    <n v="2"/>
    <x v="1"/>
    <m/>
    <n v="0.5"/>
    <n v="0.5"/>
    <n v="0.5"/>
    <n v="0.5"/>
    <m/>
    <m/>
    <m/>
    <m/>
    <m/>
    <m/>
    <m/>
    <m/>
    <m/>
    <m/>
    <m/>
    <m/>
    <n v="2"/>
    <n v="2"/>
    <s v="N"/>
    <s v="N"/>
    <s v="N"/>
    <n v="516609"/>
    <n v="174980"/>
    <x v="4"/>
    <x v="5"/>
    <x v="0"/>
    <x v="0"/>
    <m/>
    <x v="1"/>
    <x v="0"/>
    <s v="CA19 St Margarets"/>
    <x v="1"/>
    <s v="Y"/>
    <x v="4"/>
    <x v="1"/>
  </r>
  <r>
    <s v="19/0404/FUL"/>
    <x v="0"/>
    <x v="0"/>
    <x v="172"/>
    <d v="2025-06-30T00:00:00"/>
    <m/>
    <m/>
    <x v="2"/>
    <x v="0"/>
    <x v="0"/>
    <m/>
    <x v="3"/>
    <s v="Proposed construction of 2 bedroom dwellinghouse with 1No car parking space; secure storage for 2No cycles; refuse &amp; recycling storage; replacement of part of existing boundary wall with gates, piers &amp; railings to provide new pedestrian &amp; vehicular access"/>
    <s v="Land Adjacent To 53 Old Deer Park Gardens, Richmond_x000a__x000a_"/>
    <s v="TW9 2T"/>
    <m/>
    <m/>
    <m/>
    <m/>
    <m/>
    <m/>
    <m/>
    <m/>
    <m/>
    <n v="0"/>
    <m/>
    <m/>
    <n v="1"/>
    <m/>
    <m/>
    <m/>
    <m/>
    <m/>
    <m/>
    <n v="1"/>
    <n v="0"/>
    <n v="1"/>
    <n v="0"/>
    <n v="0"/>
    <n v="0"/>
    <n v="0"/>
    <n v="0"/>
    <n v="0"/>
    <n v="1"/>
    <x v="1"/>
    <m/>
    <n v="0.25"/>
    <n v="0.25"/>
    <n v="0.25"/>
    <n v="0.25"/>
    <m/>
    <m/>
    <m/>
    <m/>
    <m/>
    <m/>
    <m/>
    <m/>
    <m/>
    <m/>
    <m/>
    <m/>
    <n v="1"/>
    <n v="1"/>
    <s v="N"/>
    <s v="N"/>
    <s v="N"/>
    <n v="518195"/>
    <n v="175741"/>
    <x v="5"/>
    <x v="8"/>
    <x v="0"/>
    <x v="0"/>
    <m/>
    <x v="1"/>
    <x v="0"/>
    <m/>
    <x v="0"/>
    <s v="Y"/>
    <x v="5"/>
    <x v="0"/>
  </r>
  <r>
    <s v="19/0483/FUL"/>
    <x v="2"/>
    <x v="0"/>
    <x v="173"/>
    <d v="2024-08-27T00:00:00"/>
    <m/>
    <m/>
    <x v="2"/>
    <x v="0"/>
    <x v="0"/>
    <m/>
    <x v="3"/>
    <s v="Insertion of 3 no. rooflights on front roof slope and 2 no. rear dormer roof extensions to facilitate the conversion of existing 2 no. 3 bed maisonettes at no. 8A and 10A High Street to 5 flats (4 no. 1 bed and 1 no. 2 bed)"/>
    <s v="8 - 10 High Street, Teddington_x000a__x000a_"/>
    <s v="TW11 8EW"/>
    <m/>
    <m/>
    <m/>
    <n v="2"/>
    <m/>
    <m/>
    <m/>
    <m/>
    <m/>
    <n v="2"/>
    <m/>
    <n v="4"/>
    <n v="1"/>
    <m/>
    <m/>
    <m/>
    <m/>
    <m/>
    <m/>
    <n v="5"/>
    <n v="4"/>
    <n v="1"/>
    <n v="-2"/>
    <n v="0"/>
    <n v="0"/>
    <n v="0"/>
    <n v="0"/>
    <n v="0"/>
    <n v="3"/>
    <x v="1"/>
    <m/>
    <n v="0.75"/>
    <n v="0.75"/>
    <n v="0.75"/>
    <n v="0.75"/>
    <m/>
    <m/>
    <m/>
    <m/>
    <m/>
    <m/>
    <m/>
    <m/>
    <m/>
    <m/>
    <m/>
    <m/>
    <n v="3"/>
    <n v="3"/>
    <s v="N"/>
    <s v="N"/>
    <s v="N"/>
    <n v="515988"/>
    <n v="171089"/>
    <x v="1"/>
    <x v="16"/>
    <x v="4"/>
    <x v="0"/>
    <m/>
    <x v="1"/>
    <x v="0"/>
    <s v="CA37 High Street Teddington"/>
    <x v="1"/>
    <s v="Y"/>
    <x v="6"/>
    <x v="0"/>
  </r>
  <r>
    <s v="19/0691/FUL"/>
    <x v="0"/>
    <x v="0"/>
    <x v="174"/>
    <d v="2024-07-28T00:00:00"/>
    <m/>
    <m/>
    <x v="2"/>
    <x v="0"/>
    <x v="0"/>
    <m/>
    <x v="3"/>
    <s v="Demolition of 38 garages including vehicle repair garage and the erection of six residential units (2x 3 bed and 4 x 2 bed), incorporating two commercial (B1a offices) units (totalling 152 sq.m), with amenity space, 14 off-street car parking spaces and as"/>
    <s v="Land Rear Of 127 - 147 Kingsway, Mortlake SW14 7HN_x000a_"/>
    <s v="SW14 7HN"/>
    <m/>
    <m/>
    <m/>
    <m/>
    <m/>
    <m/>
    <m/>
    <m/>
    <m/>
    <n v="0"/>
    <m/>
    <m/>
    <n v="4"/>
    <n v="2"/>
    <m/>
    <m/>
    <m/>
    <m/>
    <m/>
    <n v="6"/>
    <n v="0"/>
    <n v="4"/>
    <n v="2"/>
    <n v="0"/>
    <n v="0"/>
    <n v="0"/>
    <n v="0"/>
    <n v="0"/>
    <n v="6"/>
    <x v="1"/>
    <m/>
    <n v="1.5"/>
    <n v="1.5"/>
    <n v="1.5"/>
    <n v="1.5"/>
    <m/>
    <m/>
    <m/>
    <m/>
    <m/>
    <m/>
    <m/>
    <m/>
    <m/>
    <m/>
    <m/>
    <m/>
    <n v="6"/>
    <n v="6"/>
    <s v="N"/>
    <s v="N"/>
    <s v="N"/>
    <n v="519806"/>
    <n v="175640"/>
    <x v="3"/>
    <x v="9"/>
    <x v="0"/>
    <x v="0"/>
    <m/>
    <x v="1"/>
    <x v="0"/>
    <m/>
    <x v="0"/>
    <s v="Y"/>
    <x v="7"/>
    <x v="0"/>
  </r>
  <r>
    <s v="19/2893/FUL"/>
    <x v="0"/>
    <x v="0"/>
    <x v="175"/>
    <d v="2025-02-15T00:00:00"/>
    <m/>
    <m/>
    <x v="2"/>
    <x v="0"/>
    <x v="0"/>
    <m/>
    <x v="3"/>
    <s v="Construction of a detached two-storey building comprising of two x one-bedroom flats on the vacant car parking site including associated amenity space and no car parking."/>
    <s v="48 - 50 Ashley Road, Hampton_x000a__x000a_"/>
    <s v="TW12 2HU"/>
    <m/>
    <m/>
    <m/>
    <m/>
    <m/>
    <m/>
    <m/>
    <m/>
    <m/>
    <n v="0"/>
    <m/>
    <n v="2"/>
    <m/>
    <m/>
    <m/>
    <m/>
    <m/>
    <m/>
    <m/>
    <n v="2"/>
    <n v="2"/>
    <n v="0"/>
    <n v="0"/>
    <n v="0"/>
    <n v="0"/>
    <n v="0"/>
    <n v="0"/>
    <n v="0"/>
    <n v="2"/>
    <x v="1"/>
    <m/>
    <n v="0.5"/>
    <n v="0.5"/>
    <n v="0.5"/>
    <n v="0.5"/>
    <m/>
    <m/>
    <m/>
    <m/>
    <m/>
    <m/>
    <m/>
    <m/>
    <m/>
    <m/>
    <m/>
    <m/>
    <n v="2"/>
    <n v="2"/>
    <s v="N"/>
    <s v="N"/>
    <s v="N"/>
    <n v="513346"/>
    <n v="169821"/>
    <x v="1"/>
    <x v="2"/>
    <x v="0"/>
    <x v="0"/>
    <m/>
    <x v="1"/>
    <x v="0"/>
    <m/>
    <x v="0"/>
    <s v="Y"/>
    <x v="1"/>
    <x v="0"/>
  </r>
  <r>
    <s v="19/3053/FUL"/>
    <x v="0"/>
    <x v="0"/>
    <x v="176"/>
    <d v="2026-07-10T00:00:00"/>
    <m/>
    <m/>
    <x v="2"/>
    <x v="0"/>
    <x v="0"/>
    <m/>
    <x v="3"/>
    <s v="Erection of a detached building comprising 7 self contained flats and a single family dwelling with associated access, parking and landscaping."/>
    <s v="217 Kingston Road, Teddington TW11 9JN"/>
    <s v="TW11 9JN"/>
    <m/>
    <m/>
    <m/>
    <m/>
    <m/>
    <n v="1"/>
    <m/>
    <m/>
    <m/>
    <n v="1"/>
    <m/>
    <n v="3"/>
    <n v="5"/>
    <m/>
    <m/>
    <m/>
    <m/>
    <m/>
    <m/>
    <n v="8"/>
    <n v="3"/>
    <n v="5"/>
    <n v="0"/>
    <n v="0"/>
    <n v="-1"/>
    <n v="0"/>
    <n v="0"/>
    <n v="0"/>
    <n v="7"/>
    <x v="1"/>
    <m/>
    <m/>
    <n v="3.5"/>
    <n v="3.5"/>
    <m/>
    <m/>
    <m/>
    <m/>
    <m/>
    <m/>
    <m/>
    <m/>
    <m/>
    <m/>
    <m/>
    <m/>
    <m/>
    <n v="7"/>
    <n v="7"/>
    <s v="N"/>
    <s v="N"/>
    <s v="N"/>
    <n v="516986"/>
    <n v="170503"/>
    <x v="1"/>
    <x v="11"/>
    <x v="0"/>
    <x v="0"/>
    <m/>
    <x v="1"/>
    <x v="0"/>
    <m/>
    <x v="0"/>
    <s v="Y"/>
    <x v="6"/>
    <x v="1"/>
  </r>
  <r>
    <s v="20/0969/FUL"/>
    <x v="0"/>
    <x v="0"/>
    <x v="177"/>
    <d v="2025-11-10T00:00:00"/>
    <m/>
    <m/>
    <x v="2"/>
    <x v="0"/>
    <x v="0"/>
    <m/>
    <x v="3"/>
    <s v="The demolition of an existing garage and ancillary outbuildings on garden land and the construction of 2 new detached houses."/>
    <s v="Land Rear Of 256 To 258 Kingston Road, Teddington_x000a__x000a_"/>
    <s v="TW11"/>
    <m/>
    <m/>
    <m/>
    <m/>
    <m/>
    <m/>
    <m/>
    <m/>
    <m/>
    <n v="0"/>
    <m/>
    <m/>
    <n v="2"/>
    <m/>
    <m/>
    <m/>
    <m/>
    <m/>
    <m/>
    <n v="2"/>
    <n v="0"/>
    <n v="2"/>
    <n v="0"/>
    <n v="0"/>
    <n v="0"/>
    <n v="0"/>
    <n v="0"/>
    <n v="0"/>
    <n v="2"/>
    <x v="1"/>
    <m/>
    <n v="0.5"/>
    <n v="0.5"/>
    <n v="0.5"/>
    <n v="0.5"/>
    <m/>
    <m/>
    <m/>
    <m/>
    <m/>
    <m/>
    <m/>
    <m/>
    <m/>
    <m/>
    <m/>
    <m/>
    <n v="2"/>
    <n v="2"/>
    <s v="N"/>
    <s v="N"/>
    <s v="N"/>
    <n v="517060"/>
    <n v="170217"/>
    <x v="1"/>
    <x v="11"/>
    <x v="0"/>
    <x v="0"/>
    <m/>
    <x v="1"/>
    <x v="0"/>
    <s v="CA83 Wick Road"/>
    <x v="1"/>
    <s v="Y"/>
    <x v="6"/>
    <x v="1"/>
  </r>
  <r>
    <s v="20/1558/FUL"/>
    <x v="3"/>
    <x v="0"/>
    <x v="178"/>
    <d v="2024-06-08T00:00:00"/>
    <m/>
    <m/>
    <x v="2"/>
    <x v="0"/>
    <x v="0"/>
    <m/>
    <x v="3"/>
    <s v="Additional storey to 2-storey commercial building to provide 4 no.1 bed apartments"/>
    <s v="55 - 61 Heath Road, Twickenham_x000a__x000a_"/>
    <s v="TW1 4AW"/>
    <m/>
    <m/>
    <m/>
    <m/>
    <m/>
    <m/>
    <m/>
    <m/>
    <m/>
    <n v="0"/>
    <m/>
    <n v="4"/>
    <m/>
    <m/>
    <m/>
    <m/>
    <m/>
    <m/>
    <m/>
    <n v="4"/>
    <n v="4"/>
    <n v="0"/>
    <n v="0"/>
    <n v="0"/>
    <n v="0"/>
    <n v="0"/>
    <n v="0"/>
    <n v="0"/>
    <n v="4"/>
    <x v="1"/>
    <m/>
    <n v="1"/>
    <n v="1"/>
    <n v="1"/>
    <n v="1"/>
    <m/>
    <m/>
    <m/>
    <m/>
    <m/>
    <m/>
    <m/>
    <m/>
    <m/>
    <m/>
    <m/>
    <m/>
    <n v="4"/>
    <n v="4"/>
    <s v="N"/>
    <s v="N"/>
    <s v="N"/>
    <n v="515975"/>
    <n v="173091"/>
    <x v="4"/>
    <x v="7"/>
    <x v="3"/>
    <x v="0"/>
    <m/>
    <x v="1"/>
    <x v="0"/>
    <m/>
    <x v="0"/>
    <s v="Y"/>
    <x v="4"/>
    <x v="0"/>
  </r>
  <r>
    <s v="20/1570/FUL"/>
    <x v="0"/>
    <x v="0"/>
    <x v="179"/>
    <d v="2025-01-26T00:00:00"/>
    <m/>
    <m/>
    <x v="2"/>
    <x v="0"/>
    <x v="0"/>
    <m/>
    <x v="3"/>
    <s v="Demolition of existing garages and erection of a part two / four storey building to provide 4 x 1, 4 x 2 and 1 x 3 bedroom flats and associated soft and hard landscaping, cycle and refuse stores. Plans readvertised on 09.04.2021, with the main amendments:"/>
    <s v="Garage Site, Marys Terrace, Twickenham TW1 3JB"/>
    <s v="TW1 3JB"/>
    <m/>
    <m/>
    <m/>
    <m/>
    <m/>
    <m/>
    <m/>
    <m/>
    <m/>
    <n v="0"/>
    <m/>
    <n v="4"/>
    <n v="4"/>
    <n v="1"/>
    <m/>
    <m/>
    <m/>
    <m/>
    <m/>
    <n v="9"/>
    <n v="4"/>
    <n v="4"/>
    <n v="1"/>
    <n v="0"/>
    <n v="0"/>
    <n v="0"/>
    <n v="0"/>
    <n v="0"/>
    <n v="9"/>
    <x v="1"/>
    <m/>
    <n v="2.25"/>
    <n v="2.25"/>
    <n v="2.25"/>
    <n v="2.25"/>
    <m/>
    <m/>
    <m/>
    <m/>
    <m/>
    <m/>
    <m/>
    <m/>
    <m/>
    <m/>
    <m/>
    <m/>
    <n v="9"/>
    <n v="9"/>
    <s v="N"/>
    <s v="N"/>
    <s v="N"/>
    <n v="516182"/>
    <n v="173653"/>
    <x v="4"/>
    <x v="6"/>
    <x v="3"/>
    <x v="0"/>
    <m/>
    <x v="1"/>
    <x v="0"/>
    <m/>
    <x v="0"/>
    <s v="Y"/>
    <x v="4"/>
    <x v="0"/>
  </r>
  <r>
    <s v="20/1805/FUL"/>
    <x v="1"/>
    <x v="0"/>
    <x v="180"/>
    <d v="2024-05-20T00:00:00"/>
    <m/>
    <m/>
    <x v="2"/>
    <x v="0"/>
    <x v="0"/>
    <m/>
    <x v="3"/>
    <s v="Change of use of part of ground floor commercial unit to provide 4 x 1 bedroom dwellings"/>
    <s v="159 Heath Road, Twickenham TW1 4BH"/>
    <s v="TW1 4BH"/>
    <m/>
    <m/>
    <m/>
    <m/>
    <m/>
    <m/>
    <m/>
    <m/>
    <m/>
    <n v="0"/>
    <m/>
    <n v="4"/>
    <m/>
    <m/>
    <m/>
    <m/>
    <m/>
    <m/>
    <m/>
    <n v="4"/>
    <n v="4"/>
    <n v="0"/>
    <n v="0"/>
    <n v="0"/>
    <n v="0"/>
    <n v="0"/>
    <n v="0"/>
    <n v="0"/>
    <n v="4"/>
    <x v="1"/>
    <m/>
    <n v="1"/>
    <n v="1"/>
    <n v="1"/>
    <n v="1"/>
    <m/>
    <m/>
    <m/>
    <m/>
    <m/>
    <m/>
    <m/>
    <m/>
    <m/>
    <m/>
    <m/>
    <m/>
    <n v="4"/>
    <n v="4"/>
    <s v="N"/>
    <s v="N"/>
    <s v="N"/>
    <n v="515605"/>
    <n v="173100"/>
    <x v="4"/>
    <x v="7"/>
    <x v="3"/>
    <x v="0"/>
    <m/>
    <x v="1"/>
    <x v="0"/>
    <m/>
    <x v="0"/>
    <s v="Y"/>
    <x v="4"/>
    <x v="0"/>
  </r>
  <r>
    <s v="20/1871/FUL"/>
    <x v="0"/>
    <x v="0"/>
    <x v="181"/>
    <d v="2025-10-20T00:00:00"/>
    <m/>
    <m/>
    <x v="2"/>
    <x v="0"/>
    <x v="0"/>
    <m/>
    <x v="3"/>
    <s v="Demolition of two blocks of lock-up garages and construction of 3 x 2 bed dwellings with associated structures and landscaping works."/>
    <s v="Land R/O 8 To 18 Atbara Road, Teddington_x000a__x000a_"/>
    <s v="TW11"/>
    <m/>
    <m/>
    <m/>
    <m/>
    <m/>
    <m/>
    <m/>
    <m/>
    <m/>
    <n v="0"/>
    <m/>
    <m/>
    <n v="3"/>
    <m/>
    <m/>
    <m/>
    <m/>
    <m/>
    <m/>
    <n v="3"/>
    <n v="0"/>
    <n v="3"/>
    <n v="0"/>
    <n v="0"/>
    <n v="0"/>
    <n v="0"/>
    <n v="0"/>
    <n v="0"/>
    <n v="3"/>
    <x v="1"/>
    <m/>
    <n v="0.75"/>
    <n v="0.75"/>
    <n v="0.75"/>
    <n v="0.75"/>
    <m/>
    <m/>
    <m/>
    <m/>
    <m/>
    <m/>
    <m/>
    <m/>
    <m/>
    <m/>
    <m/>
    <m/>
    <n v="3"/>
    <n v="3"/>
    <s v="N"/>
    <s v="N"/>
    <s v="N"/>
    <n v="516900"/>
    <n v="170739"/>
    <x v="1"/>
    <x v="11"/>
    <x v="0"/>
    <x v="0"/>
    <m/>
    <x v="1"/>
    <x v="0"/>
    <m/>
    <x v="0"/>
    <s v="Y"/>
    <x v="6"/>
    <x v="0"/>
  </r>
  <r>
    <s v="20/2298/FUL"/>
    <x v="4"/>
    <x v="0"/>
    <x v="182"/>
    <d v="2025-01-18T00:00:00"/>
    <m/>
    <m/>
    <x v="2"/>
    <x v="0"/>
    <x v="0"/>
    <m/>
    <x v="3"/>
    <s v="Demolition of garage to rear of property accessed from Castle Yard to facilitate change of use of rear part to C3 (Residential) use to provide 1 x 2 bedroom two storey house with associated cycle and refuse stores"/>
    <s v="28 Hill Street, Richmond TW9 1TW"/>
    <s v="TW9 1TW"/>
    <m/>
    <m/>
    <m/>
    <m/>
    <m/>
    <m/>
    <m/>
    <m/>
    <m/>
    <n v="0"/>
    <m/>
    <m/>
    <n v="1"/>
    <m/>
    <m/>
    <m/>
    <m/>
    <m/>
    <m/>
    <n v="1"/>
    <n v="0"/>
    <n v="1"/>
    <n v="0"/>
    <n v="0"/>
    <n v="0"/>
    <n v="0"/>
    <n v="0"/>
    <n v="0"/>
    <n v="1"/>
    <x v="1"/>
    <m/>
    <n v="0.25"/>
    <n v="0.25"/>
    <n v="0.25"/>
    <n v="0.25"/>
    <m/>
    <m/>
    <m/>
    <m/>
    <m/>
    <m/>
    <m/>
    <m/>
    <m/>
    <m/>
    <m/>
    <m/>
    <n v="1"/>
    <n v="1"/>
    <s v="N"/>
    <s v="N"/>
    <s v="N"/>
    <n v="517804"/>
    <n v="174681"/>
    <x v="5"/>
    <x v="10"/>
    <x v="1"/>
    <x v="0"/>
    <m/>
    <x v="1"/>
    <x v="0"/>
    <s v="CA17 Central Richmond"/>
    <x v="1"/>
    <s v="Y"/>
    <x v="5"/>
    <x v="0"/>
  </r>
  <r>
    <s v="20/3489/FUL"/>
    <x v="4"/>
    <x v="0"/>
    <x v="183"/>
    <d v="2025-03-04T00:00:00"/>
    <m/>
    <m/>
    <x v="2"/>
    <x v="0"/>
    <x v="0"/>
    <m/>
    <x v="3"/>
    <s v="Erection of hip to gable roof extension to No. 7. Subdivision of garden plot, first floor side and rear extension, rear dormer, front ground and first floor bay windows to facilitate the provision of 1 x 3 bed house adjoining 7 Dorset Way with associated"/>
    <s v="7 Dorset Way, Twickenham TW2 6NB"/>
    <s v="TW2 6NB"/>
    <m/>
    <m/>
    <m/>
    <m/>
    <n v="1"/>
    <m/>
    <m/>
    <m/>
    <m/>
    <n v="1"/>
    <m/>
    <m/>
    <n v="1"/>
    <n v="1"/>
    <m/>
    <m/>
    <m/>
    <m/>
    <m/>
    <n v="2"/>
    <n v="0"/>
    <n v="1"/>
    <n v="1"/>
    <n v="-1"/>
    <n v="0"/>
    <n v="0"/>
    <n v="0"/>
    <n v="0"/>
    <n v="1"/>
    <x v="1"/>
    <m/>
    <n v="0.25"/>
    <n v="0.25"/>
    <n v="0.25"/>
    <n v="0.25"/>
    <m/>
    <m/>
    <m/>
    <m/>
    <m/>
    <m/>
    <m/>
    <m/>
    <m/>
    <m/>
    <m/>
    <m/>
    <n v="1"/>
    <n v="1"/>
    <s v="N"/>
    <s v="N"/>
    <s v="N"/>
    <n v="514528"/>
    <n v="173249"/>
    <x v="4"/>
    <x v="17"/>
    <x v="0"/>
    <x v="0"/>
    <m/>
    <x v="1"/>
    <x v="0"/>
    <m/>
    <x v="0"/>
    <s v="Y"/>
    <x v="4"/>
    <x v="0"/>
  </r>
  <r>
    <s v="21/0313/GPD15"/>
    <x v="1"/>
    <x v="1"/>
    <x v="184"/>
    <d v="2024-04-30T00:00:00"/>
    <m/>
    <m/>
    <x v="2"/>
    <x v="0"/>
    <x v="1"/>
    <m/>
    <x v="3"/>
    <s v="Conversion of offices in Sandford House into 6 self-contained flats and Jardine House into 4 self-contained flats."/>
    <s v="Jardine House And Sandford House, 1B And 1C Claremont Road, Teddington_x000a__x000a_"/>
    <s v="TW11 8DG"/>
    <m/>
    <m/>
    <m/>
    <m/>
    <m/>
    <m/>
    <m/>
    <m/>
    <m/>
    <n v="0"/>
    <m/>
    <n v="10"/>
    <m/>
    <m/>
    <m/>
    <m/>
    <m/>
    <m/>
    <m/>
    <n v="10"/>
    <n v="10"/>
    <n v="0"/>
    <n v="0"/>
    <n v="0"/>
    <n v="0"/>
    <n v="0"/>
    <n v="0"/>
    <n v="0"/>
    <n v="10"/>
    <x v="1"/>
    <m/>
    <n v="10"/>
    <m/>
    <m/>
    <m/>
    <m/>
    <m/>
    <m/>
    <m/>
    <m/>
    <m/>
    <m/>
    <m/>
    <m/>
    <m/>
    <m/>
    <m/>
    <n v="10"/>
    <n v="10"/>
    <s v="N"/>
    <s v="N"/>
    <s v="N"/>
    <n v="515777"/>
    <n v="171474"/>
    <x v="1"/>
    <x v="16"/>
    <x v="0"/>
    <x v="0"/>
    <m/>
    <x v="1"/>
    <x v="0"/>
    <m/>
    <x v="0"/>
    <s v="Y"/>
    <x v="6"/>
    <x v="0"/>
  </r>
  <r>
    <s v="21/1493/GPD15"/>
    <x v="1"/>
    <x v="1"/>
    <x v="185"/>
    <d v="2024-07-09T00:00:00"/>
    <m/>
    <m/>
    <x v="2"/>
    <x v="0"/>
    <x v="0"/>
    <m/>
    <x v="3"/>
    <s v="Change of use of first floor office space to create 5 residential units (C3)"/>
    <s v="61 High Street, Teddington TW11 8HA_x000a_"/>
    <s v="TW11 8HA"/>
    <m/>
    <m/>
    <m/>
    <m/>
    <m/>
    <m/>
    <m/>
    <m/>
    <m/>
    <n v="0"/>
    <m/>
    <n v="3"/>
    <n v="2"/>
    <m/>
    <m/>
    <m/>
    <m/>
    <m/>
    <m/>
    <n v="5"/>
    <n v="3"/>
    <n v="2"/>
    <n v="0"/>
    <n v="0"/>
    <n v="0"/>
    <n v="0"/>
    <n v="0"/>
    <n v="0"/>
    <n v="5"/>
    <x v="1"/>
    <m/>
    <n v="5"/>
    <m/>
    <m/>
    <m/>
    <m/>
    <m/>
    <m/>
    <m/>
    <m/>
    <m/>
    <m/>
    <m/>
    <m/>
    <m/>
    <m/>
    <m/>
    <n v="5"/>
    <n v="5"/>
    <s v="N"/>
    <s v="N"/>
    <s v="N"/>
    <n v="516134"/>
    <n v="171142"/>
    <x v="1"/>
    <x v="16"/>
    <x v="4"/>
    <x v="0"/>
    <m/>
    <x v="1"/>
    <x v="0"/>
    <s v="CA37 High Street Teddington"/>
    <x v="1"/>
    <s v="Y"/>
    <x v="6"/>
    <x v="0"/>
  </r>
  <r>
    <s v="21/1528/FUL"/>
    <x v="3"/>
    <x v="0"/>
    <x v="186"/>
    <d v="2026-01-13T00:00:00"/>
    <m/>
    <m/>
    <x v="2"/>
    <x v="0"/>
    <x v="0"/>
    <m/>
    <x v="3"/>
    <s v="Second floor extension to create one additional one bed dwelling, together with car parking, cycle parking and associated landscaping works"/>
    <s v="Junction Court, 127 Station Road, Hampton_x000a__x000a_"/>
    <s v="TW12 2AL"/>
    <m/>
    <m/>
    <m/>
    <m/>
    <m/>
    <m/>
    <m/>
    <m/>
    <m/>
    <n v="0"/>
    <m/>
    <n v="1"/>
    <m/>
    <m/>
    <m/>
    <m/>
    <m/>
    <m/>
    <m/>
    <n v="1"/>
    <n v="1"/>
    <n v="0"/>
    <n v="0"/>
    <n v="0"/>
    <n v="0"/>
    <n v="0"/>
    <n v="0"/>
    <n v="0"/>
    <n v="1"/>
    <x v="1"/>
    <m/>
    <n v="0.25"/>
    <n v="0.25"/>
    <n v="0.25"/>
    <n v="0.25"/>
    <m/>
    <m/>
    <m/>
    <m/>
    <m/>
    <m/>
    <m/>
    <m/>
    <m/>
    <m/>
    <m/>
    <m/>
    <n v="1"/>
    <n v="1"/>
    <s v="N"/>
    <s v="N"/>
    <s v="N"/>
    <n v="513359"/>
    <n v="169765"/>
    <x v="1"/>
    <x v="2"/>
    <x v="0"/>
    <x v="0"/>
    <m/>
    <x v="1"/>
    <x v="0"/>
    <m/>
    <x v="0"/>
    <s v="Y"/>
    <x v="1"/>
    <x v="0"/>
  </r>
  <r>
    <s v="21/1616/FUL"/>
    <x v="3"/>
    <x v="0"/>
    <x v="187"/>
    <d v="2027-01-11T00:00:00"/>
    <m/>
    <m/>
    <x v="2"/>
    <x v="0"/>
    <x v="0"/>
    <m/>
    <x v="3"/>
    <s v="Erection of 2nd floor roof extension to provide 4 flats (3 x one bedroom and 1 x two bedroom)"/>
    <s v="52 - 64 Heath Road, Twickenham_x000a__x000a_"/>
    <s v="TW1 4BX"/>
    <m/>
    <m/>
    <m/>
    <m/>
    <m/>
    <m/>
    <m/>
    <m/>
    <m/>
    <n v="0"/>
    <m/>
    <n v="3"/>
    <n v="1"/>
    <m/>
    <m/>
    <m/>
    <m/>
    <m/>
    <m/>
    <n v="4"/>
    <n v="3"/>
    <n v="1"/>
    <n v="0"/>
    <n v="0"/>
    <n v="0"/>
    <n v="0"/>
    <n v="0"/>
    <n v="0"/>
    <n v="4"/>
    <x v="1"/>
    <m/>
    <n v="1"/>
    <n v="1"/>
    <n v="1"/>
    <n v="1"/>
    <m/>
    <m/>
    <m/>
    <m/>
    <m/>
    <m/>
    <m/>
    <m/>
    <m/>
    <m/>
    <m/>
    <m/>
    <n v="4"/>
    <n v="4"/>
    <s v="N"/>
    <s v="N"/>
    <s v="N"/>
    <n v="515974"/>
    <n v="173142"/>
    <x v="4"/>
    <x v="6"/>
    <x v="3"/>
    <x v="0"/>
    <m/>
    <x v="1"/>
    <x v="0"/>
    <m/>
    <x v="0"/>
    <s v="Y"/>
    <x v="4"/>
    <x v="0"/>
  </r>
  <r>
    <s v="21/1788/GPD15"/>
    <x v="1"/>
    <x v="1"/>
    <x v="188"/>
    <d v="2024-07-07T00:00:00"/>
    <m/>
    <m/>
    <x v="2"/>
    <x v="0"/>
    <x v="0"/>
    <m/>
    <x v="3"/>
    <s v="Change of use from office space to 6 residential units."/>
    <s v="37 Sheen Road_x000a_Richmond_x000a_TW9 1AJ_x000a_"/>
    <s v="TW9 1AJ"/>
    <m/>
    <m/>
    <m/>
    <m/>
    <m/>
    <m/>
    <m/>
    <m/>
    <m/>
    <n v="0"/>
    <m/>
    <m/>
    <n v="4"/>
    <n v="2"/>
    <m/>
    <m/>
    <m/>
    <m/>
    <m/>
    <n v="6"/>
    <n v="0"/>
    <n v="4"/>
    <n v="2"/>
    <n v="0"/>
    <n v="0"/>
    <n v="0"/>
    <n v="0"/>
    <n v="0"/>
    <n v="6"/>
    <x v="1"/>
    <m/>
    <n v="6"/>
    <m/>
    <m/>
    <m/>
    <m/>
    <m/>
    <m/>
    <m/>
    <m/>
    <m/>
    <m/>
    <m/>
    <m/>
    <m/>
    <m/>
    <m/>
    <n v="6"/>
    <n v="6"/>
    <s v="N"/>
    <s v="N"/>
    <s v="N"/>
    <n v="518272"/>
    <n v="174943"/>
    <x v="5"/>
    <x v="10"/>
    <x v="0"/>
    <x v="0"/>
    <m/>
    <x v="1"/>
    <x v="0"/>
    <s v="CA31 Sheen Road Richmond"/>
    <x v="1"/>
    <s v="Y"/>
    <x v="5"/>
    <x v="0"/>
  </r>
  <r>
    <s v="21/1907/FUL"/>
    <x v="0"/>
    <x v="0"/>
    <x v="189"/>
    <d v="2025-09-13T00:00:00"/>
    <m/>
    <m/>
    <x v="2"/>
    <x v="0"/>
    <x v="0"/>
    <m/>
    <x v="3"/>
    <s v="Demolition of existing two (2) storey detached dwelling and construction of new two (2) storey detached dwelling with habitable roof space"/>
    <s v="42 Ormond Crescent_x000d_Hampton_x000d_TW12 2TH_x000d_"/>
    <s v="TW12 2TH"/>
    <m/>
    <m/>
    <m/>
    <n v="1"/>
    <m/>
    <m/>
    <m/>
    <m/>
    <m/>
    <n v="1"/>
    <m/>
    <m/>
    <m/>
    <m/>
    <m/>
    <n v="1"/>
    <m/>
    <m/>
    <m/>
    <n v="1"/>
    <n v="0"/>
    <n v="0"/>
    <n v="-1"/>
    <n v="0"/>
    <n v="1"/>
    <n v="0"/>
    <n v="0"/>
    <n v="0"/>
    <n v="0"/>
    <x v="1"/>
    <m/>
    <n v="0"/>
    <m/>
    <m/>
    <m/>
    <m/>
    <m/>
    <m/>
    <m/>
    <m/>
    <m/>
    <m/>
    <m/>
    <m/>
    <m/>
    <m/>
    <m/>
    <n v="0"/>
    <n v="0"/>
    <s v="N"/>
    <s v="N"/>
    <s v="N"/>
    <n v="513869"/>
    <n v="169984"/>
    <x v="1"/>
    <x v="2"/>
    <x v="0"/>
    <x v="0"/>
    <m/>
    <x v="1"/>
    <x v="0"/>
    <m/>
    <x v="0"/>
    <s v="Y"/>
    <x v="1"/>
    <x v="0"/>
  </r>
  <r>
    <s v="21/2209/FUL"/>
    <x v="4"/>
    <x v="0"/>
    <x v="190"/>
    <d v="2025-09-12T00:00:00"/>
    <m/>
    <m/>
    <x v="2"/>
    <x v="0"/>
    <x v="0"/>
    <m/>
    <x v="3"/>
    <s v="Extension and subdivision of existing end of terrace house to form two maisonette flats."/>
    <s v="155 Priory Road, Hampton TW12 2PT_x000a_"/>
    <s v="TW12 2PT"/>
    <m/>
    <m/>
    <m/>
    <n v="1"/>
    <m/>
    <m/>
    <m/>
    <m/>
    <m/>
    <n v="1"/>
    <m/>
    <m/>
    <n v="1"/>
    <n v="1"/>
    <m/>
    <m/>
    <m/>
    <m/>
    <m/>
    <n v="2"/>
    <n v="0"/>
    <n v="1"/>
    <n v="0"/>
    <n v="0"/>
    <n v="0"/>
    <n v="0"/>
    <n v="0"/>
    <n v="0"/>
    <n v="1"/>
    <x v="1"/>
    <m/>
    <n v="0.25"/>
    <n v="0.25"/>
    <n v="0.25"/>
    <n v="0.25"/>
    <m/>
    <m/>
    <m/>
    <m/>
    <m/>
    <m/>
    <m/>
    <m/>
    <m/>
    <m/>
    <m/>
    <m/>
    <n v="1"/>
    <n v="1"/>
    <s v="N"/>
    <s v="N"/>
    <s v="N"/>
    <n v="512618"/>
    <n v="170021"/>
    <x v="1"/>
    <x v="2"/>
    <x v="0"/>
    <x v="0"/>
    <m/>
    <x v="1"/>
    <x v="0"/>
    <m/>
    <x v="0"/>
    <s v="Y"/>
    <x v="1"/>
    <x v="1"/>
  </r>
  <r>
    <s v="21/2497/FUL"/>
    <x v="1"/>
    <x v="0"/>
    <x v="71"/>
    <d v="2025-02-02T00:00:00"/>
    <m/>
    <m/>
    <x v="2"/>
    <x v="0"/>
    <x v="0"/>
    <m/>
    <x v="3"/>
    <s v="Retention of dental surgery (Use Class D1) to ground floor and conversion of the first floor to residential use (Use Class C3). Ground and first floor side extension with first floor roof terrace.  Alterations to fenestration and boundary gates. Cycle and"/>
    <s v="37 The Vineyard, Richmond TW10 6AS"/>
    <s v="TW10 6AS"/>
    <m/>
    <m/>
    <m/>
    <m/>
    <m/>
    <m/>
    <m/>
    <m/>
    <m/>
    <n v="0"/>
    <m/>
    <m/>
    <m/>
    <n v="1"/>
    <m/>
    <m/>
    <m/>
    <m/>
    <m/>
    <n v="1"/>
    <n v="0"/>
    <n v="0"/>
    <n v="1"/>
    <n v="0"/>
    <n v="0"/>
    <n v="0"/>
    <n v="0"/>
    <n v="0"/>
    <n v="1"/>
    <x v="1"/>
    <m/>
    <n v="0.25"/>
    <n v="0.25"/>
    <n v="0.25"/>
    <n v="0.25"/>
    <m/>
    <m/>
    <m/>
    <m/>
    <m/>
    <m/>
    <m/>
    <m/>
    <m/>
    <m/>
    <m/>
    <m/>
    <n v="1"/>
    <n v="1"/>
    <s v="N"/>
    <s v="N"/>
    <s v="N"/>
    <n v="518173"/>
    <n v="174602"/>
    <x v="5"/>
    <x v="10"/>
    <x v="0"/>
    <x v="0"/>
    <m/>
    <x v="1"/>
    <x v="0"/>
    <s v="CA30 St Matthias Richmond"/>
    <x v="1"/>
    <s v="Y"/>
    <x v="5"/>
    <x v="0"/>
  </r>
  <r>
    <s v="21/2528/GPD13"/>
    <x v="1"/>
    <x v="1"/>
    <x v="191"/>
    <d v="2024-09-01T00:00:00"/>
    <m/>
    <m/>
    <x v="2"/>
    <x v="0"/>
    <x v="0"/>
    <m/>
    <x v="3"/>
    <s v="Change of use of part of ground floor of property from A2 to C3 Use."/>
    <s v="357 Upper Richmond Road West, East Sheen SW14 8QN_x000a_"/>
    <s v="SW14 8QN"/>
    <m/>
    <m/>
    <m/>
    <m/>
    <m/>
    <m/>
    <m/>
    <m/>
    <m/>
    <n v="0"/>
    <m/>
    <n v="1"/>
    <m/>
    <m/>
    <m/>
    <m/>
    <m/>
    <m/>
    <m/>
    <n v="1"/>
    <n v="1"/>
    <n v="0"/>
    <n v="0"/>
    <n v="0"/>
    <n v="0"/>
    <n v="0"/>
    <n v="0"/>
    <n v="0"/>
    <n v="1"/>
    <x v="1"/>
    <m/>
    <n v="1"/>
    <m/>
    <m/>
    <m/>
    <m/>
    <m/>
    <m/>
    <m/>
    <m/>
    <m/>
    <m/>
    <m/>
    <m/>
    <m/>
    <m/>
    <m/>
    <n v="1"/>
    <n v="1"/>
    <s v="N"/>
    <s v="N"/>
    <s v="N"/>
    <n v="520553"/>
    <n v="175393"/>
    <x v="3"/>
    <x v="12"/>
    <x v="2"/>
    <x v="0"/>
    <m/>
    <x v="1"/>
    <x v="0"/>
    <m/>
    <x v="0"/>
    <s v="Y"/>
    <x v="7"/>
    <x v="0"/>
  </r>
  <r>
    <s v="21/2533/FUL"/>
    <x v="0"/>
    <x v="0"/>
    <x v="192"/>
    <d v="2025-06-23T00:00:00"/>
    <m/>
    <m/>
    <x v="2"/>
    <x v="6"/>
    <x v="0"/>
    <m/>
    <x v="3"/>
    <s v="Provision of new community centre on existing North Lane Depot, East Car Park site, together with demolition of existing community centre and provision of affordable housing on existing Elleray Hall site."/>
    <s v="Elleray Hall Site, North Lane Depot And East Car Park, Middle Lane, Teddington_x000a__x000a_"/>
    <s v="TW11 0HG"/>
    <m/>
    <m/>
    <m/>
    <m/>
    <m/>
    <m/>
    <m/>
    <m/>
    <m/>
    <n v="0"/>
    <s v="Y"/>
    <n v="14"/>
    <n v="2"/>
    <m/>
    <m/>
    <m/>
    <m/>
    <m/>
    <m/>
    <n v="16"/>
    <n v="14"/>
    <n v="2"/>
    <n v="0"/>
    <n v="0"/>
    <n v="0"/>
    <n v="0"/>
    <n v="0"/>
    <n v="0"/>
    <n v="16"/>
    <x v="1"/>
    <m/>
    <m/>
    <m/>
    <n v="8"/>
    <n v="8"/>
    <m/>
    <m/>
    <m/>
    <m/>
    <m/>
    <m/>
    <m/>
    <m/>
    <m/>
    <m/>
    <m/>
    <m/>
    <n v="16"/>
    <n v="16"/>
    <s v="N"/>
    <s v="N"/>
    <s v="N"/>
    <n v="515712"/>
    <n v="170847"/>
    <x v="1"/>
    <x v="16"/>
    <x v="0"/>
    <x v="0"/>
    <m/>
    <x v="1"/>
    <x v="0"/>
    <m/>
    <x v="0"/>
    <s v="Y"/>
    <x v="6"/>
    <x v="0"/>
  </r>
  <r>
    <s v="21/2729/FUL"/>
    <x v="2"/>
    <x v="0"/>
    <x v="193"/>
    <d v="2025-04-29T00:00:00"/>
    <m/>
    <m/>
    <x v="2"/>
    <x v="0"/>
    <x v="0"/>
    <m/>
    <x v="3"/>
    <s v="Renovation, rear single storey extension, new gable roof extension and rear basement to existing building to form six apartments."/>
    <s v="85 Connaught Road, Teddington_x000a__x000a_"/>
    <s v="TW11 0QQ"/>
    <m/>
    <m/>
    <n v="1"/>
    <n v="1"/>
    <m/>
    <m/>
    <m/>
    <m/>
    <m/>
    <n v="2"/>
    <m/>
    <n v="4"/>
    <n v="2"/>
    <m/>
    <m/>
    <m/>
    <m/>
    <m/>
    <m/>
    <n v="6"/>
    <n v="4"/>
    <n v="1"/>
    <n v="-1"/>
    <n v="0"/>
    <n v="0"/>
    <n v="0"/>
    <n v="0"/>
    <n v="0"/>
    <n v="4"/>
    <x v="1"/>
    <m/>
    <n v="1"/>
    <n v="1"/>
    <n v="1"/>
    <n v="1"/>
    <m/>
    <m/>
    <m/>
    <m/>
    <m/>
    <m/>
    <m/>
    <m/>
    <m/>
    <m/>
    <m/>
    <m/>
    <n v="4"/>
    <n v="4"/>
    <s v="N"/>
    <s v="N"/>
    <s v="N"/>
    <n v="514632"/>
    <n v="171370"/>
    <x v="1"/>
    <x v="14"/>
    <x v="0"/>
    <x v="0"/>
    <m/>
    <x v="1"/>
    <x v="0"/>
    <m/>
    <x v="0"/>
    <s v="Y"/>
    <x v="6"/>
    <x v="0"/>
  </r>
  <r>
    <s v="21/2758/FUL"/>
    <x v="0"/>
    <x v="0"/>
    <x v="194"/>
    <d v="2025-12-21T00:00:00"/>
    <m/>
    <m/>
    <x v="2"/>
    <x v="5"/>
    <x v="0"/>
    <m/>
    <x v="3"/>
    <s v="Demolition of existing buildings and structures and redevelopment of the site comprising 45 residential units (Use Class C3), ground floor commercial/retail/cafe (Use Class E), public house (Sui Generis), boathouse locker storage, floating pontoon and flo"/>
    <s v="1-1C King Street, 2-4 Water Lane, The Embankment And River Wall, Water Lane, Wharf Lane And The Diamond Jubilee Gardens, _x000d_Twickenham_x000d_"/>
    <s v="TW1"/>
    <s v="Water Lane"/>
    <m/>
    <m/>
    <m/>
    <m/>
    <m/>
    <m/>
    <m/>
    <m/>
    <n v="0"/>
    <s v="Y"/>
    <n v="9"/>
    <n v="7"/>
    <n v="1"/>
    <m/>
    <m/>
    <m/>
    <m/>
    <m/>
    <n v="17"/>
    <n v="9"/>
    <n v="7"/>
    <n v="1"/>
    <n v="0"/>
    <n v="0"/>
    <n v="0"/>
    <n v="0"/>
    <n v="0"/>
    <n v="17"/>
    <x v="1"/>
    <m/>
    <m/>
    <n v="4.25"/>
    <n v="4.25"/>
    <n v="4.25"/>
    <n v="4.25"/>
    <m/>
    <m/>
    <m/>
    <m/>
    <m/>
    <m/>
    <m/>
    <m/>
    <m/>
    <m/>
    <m/>
    <n v="17"/>
    <n v="17"/>
    <s v="N"/>
    <s v="N"/>
    <s v="N"/>
    <n v="516311"/>
    <n v="173216"/>
    <x v="4"/>
    <x v="6"/>
    <x v="3"/>
    <x v="0"/>
    <m/>
    <x v="1"/>
    <x v="0"/>
    <s v="CA8 Twickenham Riverside"/>
    <x v="1"/>
    <s v="Y"/>
    <x v="4"/>
    <x v="0"/>
  </r>
  <r>
    <s v="21/2758/FUL"/>
    <x v="0"/>
    <x v="0"/>
    <x v="194"/>
    <d v="2025-12-21T00:00:00"/>
    <m/>
    <m/>
    <x v="2"/>
    <x v="6"/>
    <x v="0"/>
    <m/>
    <x v="3"/>
    <s v="Demolition of existing buildings and structures and redevelopment of the site comprising 45 residential units (Use Class C3), ground floor commercial/retail/cafe (Use Class E), public house (Sui Generis), boathouse locker storage, floating pontoon and flo"/>
    <s v="1-1C King Street, 2-4 Water Lane, The Embankment And River Wall, Water Lane, Wharf Lane And The Diamond Jubilee Gardens, _x000d_Twickenham_x000d_"/>
    <s v="TW1"/>
    <s v="Water Lane"/>
    <m/>
    <m/>
    <m/>
    <m/>
    <m/>
    <m/>
    <m/>
    <m/>
    <n v="0"/>
    <s v="Y"/>
    <n v="2"/>
    <n v="2"/>
    <m/>
    <m/>
    <m/>
    <m/>
    <m/>
    <m/>
    <n v="4"/>
    <n v="2"/>
    <n v="2"/>
    <n v="0"/>
    <n v="0"/>
    <n v="0"/>
    <n v="0"/>
    <n v="0"/>
    <n v="0"/>
    <n v="4"/>
    <x v="1"/>
    <m/>
    <m/>
    <n v="1"/>
    <n v="1"/>
    <n v="1"/>
    <n v="1"/>
    <m/>
    <m/>
    <m/>
    <m/>
    <m/>
    <m/>
    <m/>
    <m/>
    <m/>
    <m/>
    <m/>
    <n v="4"/>
    <n v="4"/>
    <s v="N"/>
    <s v="N"/>
    <s v="N"/>
    <n v="516311"/>
    <n v="173216"/>
    <x v="4"/>
    <x v="6"/>
    <x v="3"/>
    <x v="0"/>
    <m/>
    <x v="1"/>
    <x v="0"/>
    <s v="CA8 Twickenham Riverside"/>
    <x v="1"/>
    <s v="Y"/>
    <x v="4"/>
    <x v="0"/>
  </r>
  <r>
    <s v="21/2758/FUL"/>
    <x v="0"/>
    <x v="0"/>
    <x v="194"/>
    <d v="2025-12-21T00:00:00"/>
    <m/>
    <m/>
    <x v="2"/>
    <x v="0"/>
    <x v="0"/>
    <m/>
    <x v="3"/>
    <s v="Demolition of existing buildings and structures and redevelopment of the site comprising 45 residential units (Use Class C3), ground floor commercial/retail/cafe (Use Class E), public house (Sui Generis), boathouse locker storage, floating pontoon and flo"/>
    <s v="1-1C King Street, 2-4 Water Lane, The Embankment And River Wall, Water Lane, Wharf Lane And The Diamond Jubilee Gardens, _x000d_Twickenham_x000d_"/>
    <s v="TW1"/>
    <s v="Wharf Lane"/>
    <m/>
    <m/>
    <m/>
    <m/>
    <m/>
    <m/>
    <m/>
    <m/>
    <n v="0"/>
    <s v="N"/>
    <n v="14"/>
    <n v="10"/>
    <m/>
    <m/>
    <m/>
    <m/>
    <m/>
    <m/>
    <n v="24"/>
    <n v="14"/>
    <n v="10"/>
    <n v="0"/>
    <n v="0"/>
    <n v="0"/>
    <n v="0"/>
    <n v="0"/>
    <n v="0"/>
    <n v="24"/>
    <x v="1"/>
    <m/>
    <m/>
    <n v="6"/>
    <n v="6"/>
    <n v="6"/>
    <n v="6"/>
    <m/>
    <m/>
    <m/>
    <m/>
    <m/>
    <m/>
    <m/>
    <m/>
    <m/>
    <m/>
    <m/>
    <n v="24"/>
    <n v="24"/>
    <s v="N"/>
    <s v="N"/>
    <s v="N"/>
    <n v="516311"/>
    <n v="173216"/>
    <x v="4"/>
    <x v="6"/>
    <x v="3"/>
    <x v="0"/>
    <m/>
    <x v="1"/>
    <x v="0"/>
    <s v="CA8 Twickenham Riverside"/>
    <x v="1"/>
    <s v="Y"/>
    <x v="4"/>
    <x v="0"/>
  </r>
  <r>
    <s v="21/2764/FUL"/>
    <x v="1"/>
    <x v="0"/>
    <x v="195"/>
    <d v="2025-06-28T00:00:00"/>
    <m/>
    <m/>
    <x v="2"/>
    <x v="0"/>
    <x v="0"/>
    <m/>
    <x v="3"/>
    <s v="Change of use of ground floor to create mixed Class E and C3 uses to provide a retail unit at ground floor, a separately accessed office in the basement and the replacement of the former tyre fitting bay and parking area with a building comprising two res"/>
    <s v="311 Upper Richmond Road West, East Sheen SW14 8QR_x000a_"/>
    <s v="SW14 8QR"/>
    <m/>
    <m/>
    <m/>
    <m/>
    <m/>
    <m/>
    <m/>
    <m/>
    <m/>
    <n v="0"/>
    <s v="N"/>
    <n v="1"/>
    <n v="1"/>
    <m/>
    <m/>
    <m/>
    <m/>
    <m/>
    <m/>
    <n v="2"/>
    <n v="1"/>
    <n v="1"/>
    <n v="0"/>
    <n v="0"/>
    <n v="0"/>
    <n v="0"/>
    <n v="0"/>
    <n v="0"/>
    <n v="2"/>
    <x v="1"/>
    <m/>
    <n v="0.5"/>
    <n v="0.5"/>
    <n v="0.5"/>
    <n v="0.5"/>
    <m/>
    <m/>
    <m/>
    <m/>
    <m/>
    <m/>
    <m/>
    <m/>
    <m/>
    <m/>
    <m/>
    <m/>
    <n v="2"/>
    <n v="2"/>
    <s v="N"/>
    <s v="N"/>
    <s v="N"/>
    <n v="520700"/>
    <n v="175411"/>
    <x v="3"/>
    <x v="12"/>
    <x v="2"/>
    <x v="0"/>
    <m/>
    <x v="1"/>
    <x v="0"/>
    <m/>
    <x v="0"/>
    <s v="Y"/>
    <x v="7"/>
    <x v="0"/>
  </r>
  <r>
    <s v="21/2788/FUL"/>
    <x v="2"/>
    <x v="0"/>
    <x v="196"/>
    <d v="2025-12-16T00:00:00"/>
    <m/>
    <m/>
    <x v="2"/>
    <x v="0"/>
    <x v="0"/>
    <m/>
    <x v="3"/>
    <s v="Convert the building containing 9no. flats to 4no flats (Use Class C3) , car parking, extension to existing basement, two storey rear extension, replacement fenestrations at front of the property, replacement and new fenestrations  to rear and rear patio."/>
    <s v="13 Manor Road, Twickenham_x000a__x000a_"/>
    <s v="TW2 5DF"/>
    <m/>
    <n v="9"/>
    <m/>
    <m/>
    <m/>
    <m/>
    <m/>
    <m/>
    <m/>
    <n v="9"/>
    <s v="N"/>
    <n v="1"/>
    <n v="3"/>
    <m/>
    <m/>
    <m/>
    <m/>
    <m/>
    <m/>
    <n v="4"/>
    <n v="-8"/>
    <n v="3"/>
    <n v="0"/>
    <n v="0"/>
    <n v="0"/>
    <n v="0"/>
    <n v="0"/>
    <n v="0"/>
    <n v="-5"/>
    <x v="1"/>
    <m/>
    <n v="-1.25"/>
    <n v="-1.25"/>
    <n v="-1.25"/>
    <n v="-1.25"/>
    <m/>
    <m/>
    <m/>
    <m/>
    <m/>
    <m/>
    <m/>
    <m/>
    <m/>
    <m/>
    <m/>
    <m/>
    <n v="-5"/>
    <n v="-5"/>
    <s v="N"/>
    <s v="N"/>
    <s v="N"/>
    <n v="514541"/>
    <n v="172794"/>
    <x v="4"/>
    <x v="17"/>
    <x v="0"/>
    <x v="0"/>
    <m/>
    <x v="1"/>
    <x v="0"/>
    <m/>
    <x v="0"/>
    <s v="Y"/>
    <x v="4"/>
    <x v="0"/>
  </r>
  <r>
    <s v="21/2965/FUL"/>
    <x v="1"/>
    <x v="0"/>
    <x v="197"/>
    <d v="2025-03-02T00:00:00"/>
    <m/>
    <m/>
    <x v="2"/>
    <x v="0"/>
    <x v="0"/>
    <m/>
    <x v="3"/>
    <s v="Change of use of basement from mixed storage to self-contained 2 bed dwelling,  single storey extension, extension to existing basement, creation  new side entrance on the eastern elevation, extension of rear terrace,  new pitched roof on the front elevat"/>
    <s v="2 Montrose Avenue, Twickenham TW2 6HB_x000a_"/>
    <s v="TW2 6HB"/>
    <m/>
    <m/>
    <m/>
    <m/>
    <m/>
    <m/>
    <m/>
    <m/>
    <m/>
    <n v="0"/>
    <s v="N"/>
    <m/>
    <n v="1"/>
    <m/>
    <m/>
    <m/>
    <m/>
    <m/>
    <m/>
    <n v="1"/>
    <n v="0"/>
    <n v="1"/>
    <n v="0"/>
    <n v="0"/>
    <n v="0"/>
    <n v="0"/>
    <n v="0"/>
    <n v="0"/>
    <n v="1"/>
    <x v="1"/>
    <m/>
    <n v="0.25"/>
    <n v="0.25"/>
    <n v="0.25"/>
    <n v="0.25"/>
    <m/>
    <m/>
    <m/>
    <m/>
    <m/>
    <m/>
    <m/>
    <m/>
    <m/>
    <m/>
    <m/>
    <m/>
    <n v="1"/>
    <n v="1"/>
    <s v="N"/>
    <s v="N"/>
    <s v="N"/>
    <n v="514165"/>
    <n v="173531"/>
    <x v="0"/>
    <x v="0"/>
    <x v="0"/>
    <x v="0"/>
    <m/>
    <x v="1"/>
    <x v="0"/>
    <m/>
    <x v="0"/>
    <s v="Y"/>
    <x v="0"/>
    <x v="0"/>
  </r>
  <r>
    <s v="21/2970/FUL"/>
    <x v="4"/>
    <x v="0"/>
    <x v="198"/>
    <d v="2025-04-20T00:00:00"/>
    <m/>
    <m/>
    <x v="2"/>
    <x v="0"/>
    <x v="0"/>
    <m/>
    <x v="3"/>
    <s v="Change of use from retail (Use Class E) on first and second floors at no 19 to create a new, three bed maisonette; First floor side/rear extension and PV panels to existing roof of No.19; change of use and extension of roof space (Use Class E) at no. 19a,"/>
    <s v="19 - 19A King Street, Richmond_x000a__x000a_"/>
    <s v="TW9 1ND"/>
    <m/>
    <m/>
    <m/>
    <m/>
    <m/>
    <m/>
    <m/>
    <m/>
    <m/>
    <n v="0"/>
    <s v="N"/>
    <n v="1"/>
    <m/>
    <n v="1"/>
    <m/>
    <m/>
    <m/>
    <m/>
    <m/>
    <n v="2"/>
    <n v="1"/>
    <n v="0"/>
    <n v="1"/>
    <n v="0"/>
    <n v="0"/>
    <n v="0"/>
    <n v="0"/>
    <n v="0"/>
    <n v="2"/>
    <x v="1"/>
    <m/>
    <n v="0.5"/>
    <n v="0.5"/>
    <n v="0.5"/>
    <n v="0.5"/>
    <m/>
    <m/>
    <m/>
    <m/>
    <m/>
    <m/>
    <m/>
    <m/>
    <m/>
    <m/>
    <m/>
    <m/>
    <n v="2"/>
    <n v="2"/>
    <s v="N"/>
    <s v="N"/>
    <s v="N"/>
    <n v="517711"/>
    <n v="174824"/>
    <x v="5"/>
    <x v="10"/>
    <x v="1"/>
    <x v="0"/>
    <m/>
    <x v="1"/>
    <x v="0"/>
    <s v="CA3 Richmond Green"/>
    <x v="1"/>
    <s v="Y"/>
    <x v="5"/>
    <x v="0"/>
  </r>
  <r>
    <s v="21/4201/FUL"/>
    <x v="0"/>
    <x v="0"/>
    <x v="199"/>
    <d v="2025-10-21T00:00:00"/>
    <m/>
    <m/>
    <x v="2"/>
    <x v="0"/>
    <x v="0"/>
    <m/>
    <x v="3"/>
    <s v="Erection of a new dwellinghouse with associated parking and landscaping following the demolition of the existing house."/>
    <s v="5 Monmouth Avenue, Hampton Wick KT1 4HR_x000a_"/>
    <s v="KT1 4HR"/>
    <m/>
    <m/>
    <m/>
    <n v="1"/>
    <m/>
    <m/>
    <m/>
    <m/>
    <m/>
    <n v="1"/>
    <s v="N"/>
    <m/>
    <m/>
    <m/>
    <n v="1"/>
    <m/>
    <m/>
    <m/>
    <m/>
    <n v="1"/>
    <n v="0"/>
    <n v="0"/>
    <n v="-1"/>
    <n v="1"/>
    <n v="0"/>
    <n v="0"/>
    <n v="0"/>
    <n v="0"/>
    <n v="0"/>
    <x v="1"/>
    <m/>
    <n v="0"/>
    <m/>
    <m/>
    <m/>
    <m/>
    <m/>
    <m/>
    <m/>
    <m/>
    <m/>
    <m/>
    <m/>
    <m/>
    <m/>
    <m/>
    <m/>
    <n v="0"/>
    <n v="0"/>
    <s v="N"/>
    <s v="N"/>
    <s v="N"/>
    <n v="517493"/>
    <n v="170091"/>
    <x v="1"/>
    <x v="11"/>
    <x v="0"/>
    <x v="0"/>
    <m/>
    <x v="1"/>
    <x v="0"/>
    <m/>
    <x v="0"/>
    <s v="Y"/>
    <x v="6"/>
    <x v="0"/>
  </r>
  <r>
    <s v="21/4257/FUL"/>
    <x v="0"/>
    <x v="0"/>
    <x v="200"/>
    <d v="2025-09-05T00:00:00"/>
    <m/>
    <m/>
    <x v="2"/>
    <x v="0"/>
    <x v="0"/>
    <m/>
    <x v="3"/>
    <s v="Demolition of Existing House and Garaging and Erection of New Replacement Two Storey House with Part Basement, Additional Accommodation within the Roof Space, Attached Garages and External Works."/>
    <s v="Denbigh, 34 Lower Teddington Road, Hampton Wick KT1 4HJ_x000a_"/>
    <s v="KT1 4HJ"/>
    <m/>
    <m/>
    <m/>
    <m/>
    <m/>
    <n v="1"/>
    <m/>
    <m/>
    <m/>
    <n v="1"/>
    <s v="N"/>
    <m/>
    <m/>
    <m/>
    <m/>
    <n v="1"/>
    <m/>
    <m/>
    <m/>
    <n v="1"/>
    <n v="0"/>
    <n v="0"/>
    <n v="0"/>
    <n v="0"/>
    <n v="0"/>
    <n v="0"/>
    <n v="0"/>
    <n v="0"/>
    <n v="0"/>
    <x v="1"/>
    <m/>
    <n v="0"/>
    <m/>
    <m/>
    <m/>
    <m/>
    <m/>
    <m/>
    <m/>
    <m/>
    <m/>
    <m/>
    <m/>
    <m/>
    <m/>
    <m/>
    <m/>
    <n v="0"/>
    <n v="0"/>
    <s v="N"/>
    <s v="N"/>
    <s v="N"/>
    <n v="517672"/>
    <n v="170048"/>
    <x v="1"/>
    <x v="11"/>
    <x v="0"/>
    <x v="1"/>
    <m/>
    <x v="1"/>
    <x v="0"/>
    <s v="CA18 Hampton Wick"/>
    <x v="1"/>
    <s v="Y"/>
    <x v="6"/>
    <x v="0"/>
  </r>
  <r>
    <s v="22/0153/GPD26"/>
    <x v="1"/>
    <x v="1"/>
    <x v="201"/>
    <d v="2025-03-22T00:00:00"/>
    <m/>
    <m/>
    <x v="2"/>
    <x v="0"/>
    <x v="0"/>
    <m/>
    <x v="3"/>
    <s v="Change of use of part of ground floor and first floor from restaurant to C3 residential use to provide 1 additional first floor flat"/>
    <s v="29 Kew Road, Richmond TW9 2NQ_x000a_"/>
    <s v="TW9 2NQ"/>
    <m/>
    <m/>
    <m/>
    <m/>
    <m/>
    <m/>
    <m/>
    <m/>
    <m/>
    <n v="0"/>
    <s v="N"/>
    <n v="1"/>
    <m/>
    <m/>
    <m/>
    <m/>
    <m/>
    <m/>
    <m/>
    <n v="1"/>
    <n v="1"/>
    <n v="0"/>
    <n v="0"/>
    <n v="0"/>
    <n v="0"/>
    <n v="0"/>
    <n v="0"/>
    <n v="0"/>
    <n v="1"/>
    <x v="1"/>
    <m/>
    <n v="1"/>
    <m/>
    <m/>
    <m/>
    <m/>
    <m/>
    <m/>
    <m/>
    <m/>
    <m/>
    <m/>
    <m/>
    <m/>
    <m/>
    <m/>
    <m/>
    <n v="1"/>
    <n v="1"/>
    <s v="N"/>
    <s v="N"/>
    <s v="N"/>
    <n v="518059"/>
    <n v="175250"/>
    <x v="5"/>
    <x v="10"/>
    <x v="1"/>
    <x v="0"/>
    <m/>
    <x v="1"/>
    <x v="0"/>
    <s v="CA17 Central Richmond"/>
    <x v="1"/>
    <s v="Y"/>
    <x v="5"/>
    <x v="0"/>
  </r>
  <r>
    <s v="22/0208/FUL"/>
    <x v="0"/>
    <x v="0"/>
    <x v="202"/>
    <d v="2025-09-02T00:00:00"/>
    <m/>
    <m/>
    <x v="2"/>
    <x v="0"/>
    <x v="0"/>
    <m/>
    <x v="3"/>
    <s v="Construction of two-storey house with basement."/>
    <s v="3 Bridle Lane, Twickenham TW1 3EG_x000a_"/>
    <s v="TW1 3EG"/>
    <m/>
    <m/>
    <m/>
    <m/>
    <m/>
    <m/>
    <m/>
    <m/>
    <m/>
    <n v="0"/>
    <s v="N"/>
    <m/>
    <n v="1"/>
    <m/>
    <m/>
    <m/>
    <m/>
    <m/>
    <m/>
    <n v="1"/>
    <n v="0"/>
    <n v="1"/>
    <n v="0"/>
    <n v="0"/>
    <n v="0"/>
    <n v="0"/>
    <n v="0"/>
    <n v="0"/>
    <n v="1"/>
    <x v="1"/>
    <m/>
    <n v="0.25"/>
    <n v="0.25"/>
    <n v="0.25"/>
    <n v="0.25"/>
    <m/>
    <m/>
    <m/>
    <m/>
    <m/>
    <m/>
    <m/>
    <m/>
    <m/>
    <m/>
    <m/>
    <m/>
    <n v="1"/>
    <n v="1"/>
    <s v="N"/>
    <s v="N"/>
    <s v="N"/>
    <n v="516814"/>
    <n v="174186"/>
    <x v="4"/>
    <x v="5"/>
    <x v="0"/>
    <x v="0"/>
    <m/>
    <x v="1"/>
    <x v="0"/>
    <m/>
    <x v="0"/>
    <s v="Y"/>
    <x v="4"/>
    <x v="0"/>
  </r>
  <r>
    <s v="22/0252/HOT"/>
    <x v="0"/>
    <x v="0"/>
    <x v="203"/>
    <d v="2026-09-28T00:00:00"/>
    <m/>
    <m/>
    <x v="2"/>
    <x v="0"/>
    <x v="0"/>
    <m/>
    <x v="3"/>
    <s v="Construction of new 2 storey house in garden."/>
    <s v="39 Second Cross Road, Twickenham TW2 5QY_x000a_"/>
    <s v="TW2 5QY"/>
    <m/>
    <m/>
    <m/>
    <m/>
    <m/>
    <m/>
    <m/>
    <m/>
    <m/>
    <n v="0"/>
    <s v="N"/>
    <m/>
    <n v="1"/>
    <m/>
    <m/>
    <m/>
    <m/>
    <m/>
    <m/>
    <n v="1"/>
    <n v="0"/>
    <n v="1"/>
    <n v="0"/>
    <n v="0"/>
    <n v="0"/>
    <n v="0"/>
    <n v="0"/>
    <n v="0"/>
    <n v="1"/>
    <x v="1"/>
    <m/>
    <n v="0.25"/>
    <n v="0.25"/>
    <n v="0.25"/>
    <n v="0.25"/>
    <m/>
    <m/>
    <m/>
    <m/>
    <m/>
    <m/>
    <m/>
    <m/>
    <m/>
    <m/>
    <m/>
    <m/>
    <n v="1"/>
    <n v="1"/>
    <s v="N"/>
    <s v="N"/>
    <s v="N"/>
    <n v="515083"/>
    <n v="172833"/>
    <x v="4"/>
    <x v="17"/>
    <x v="0"/>
    <x v="0"/>
    <m/>
    <x v="1"/>
    <x v="0"/>
    <s v="CA9 Twickenham Green"/>
    <x v="1"/>
    <s v="Y"/>
    <x v="4"/>
    <x v="1"/>
  </r>
  <r>
    <s v="22/0428/GPD26"/>
    <x v="1"/>
    <x v="1"/>
    <x v="204"/>
    <d v="2025-04-13T00:00:00"/>
    <m/>
    <m/>
    <x v="2"/>
    <x v="0"/>
    <x v="0"/>
    <m/>
    <x v="3"/>
    <s v="Change of use of ground floor hair salon from Use Class E Retail to Use Class C3 dwelling houses."/>
    <s v="173 Percy Road, Hampton TW12 2JN_x000a_"/>
    <s v="TW12 2JN"/>
    <m/>
    <m/>
    <m/>
    <m/>
    <m/>
    <m/>
    <m/>
    <m/>
    <m/>
    <n v="0"/>
    <s v="N"/>
    <m/>
    <n v="1"/>
    <m/>
    <m/>
    <m/>
    <m/>
    <m/>
    <m/>
    <n v="1"/>
    <n v="0"/>
    <n v="1"/>
    <n v="0"/>
    <n v="0"/>
    <n v="0"/>
    <n v="0"/>
    <n v="0"/>
    <n v="0"/>
    <n v="1"/>
    <x v="1"/>
    <m/>
    <m/>
    <n v="1"/>
    <m/>
    <m/>
    <m/>
    <m/>
    <m/>
    <m/>
    <m/>
    <m/>
    <m/>
    <m/>
    <m/>
    <m/>
    <m/>
    <m/>
    <n v="1"/>
    <n v="1"/>
    <s v="N"/>
    <s v="N"/>
    <s v="N"/>
    <n v="513028"/>
    <n v="170485"/>
    <x v="1"/>
    <x v="2"/>
    <x v="0"/>
    <x v="0"/>
    <m/>
    <x v="1"/>
    <x v="0"/>
    <m/>
    <x v="0"/>
    <s v="Y"/>
    <x v="1"/>
    <x v="0"/>
  </r>
  <r>
    <s v="22/0487/FUL"/>
    <x v="0"/>
    <x v="0"/>
    <x v="205"/>
    <d v="2026-08-30T00:00:00"/>
    <m/>
    <m/>
    <x v="2"/>
    <x v="0"/>
    <x v="0"/>
    <m/>
    <x v="3"/>
    <s v="Erection of a 3 bedroom attached dwelling.  Demolition of existing timber outbuildings."/>
    <s v="147 Haliburton Road, Twickenham TW1 1PE_x000a_"/>
    <s v="TW1 1PE"/>
    <m/>
    <m/>
    <m/>
    <m/>
    <m/>
    <m/>
    <m/>
    <m/>
    <m/>
    <n v="0"/>
    <s v="N"/>
    <m/>
    <m/>
    <n v="1"/>
    <m/>
    <m/>
    <m/>
    <m/>
    <m/>
    <n v="1"/>
    <n v="0"/>
    <n v="0"/>
    <n v="1"/>
    <n v="0"/>
    <n v="0"/>
    <n v="0"/>
    <n v="0"/>
    <n v="0"/>
    <n v="1"/>
    <x v="1"/>
    <m/>
    <n v="0.25"/>
    <n v="0.25"/>
    <n v="0.25"/>
    <n v="0.25"/>
    <m/>
    <m/>
    <m/>
    <m/>
    <m/>
    <m/>
    <m/>
    <m/>
    <m/>
    <m/>
    <m/>
    <m/>
    <n v="1"/>
    <n v="1"/>
    <s v="N"/>
    <s v="N"/>
    <s v="N"/>
    <n v="516377"/>
    <n v="174907"/>
    <x v="4"/>
    <x v="5"/>
    <x v="0"/>
    <x v="0"/>
    <m/>
    <x v="1"/>
    <x v="0"/>
    <m/>
    <x v="0"/>
    <s v="Y"/>
    <x v="4"/>
    <x v="0"/>
  </r>
  <r>
    <s v="22/0707/PS192"/>
    <x v="1"/>
    <x v="0"/>
    <x v="206"/>
    <d v="2025-06-17T00:00:00"/>
    <m/>
    <m/>
    <x v="2"/>
    <x v="0"/>
    <x v="0"/>
    <m/>
    <x v="3"/>
    <s v="Use of ancillary caretakers bungalow at The Vineyard School as Class F1(a) education use"/>
    <s v="10 Friars Stile Road, Richmond TW10 6NE_x000a_"/>
    <s v="TW10 6NE"/>
    <m/>
    <m/>
    <m/>
    <n v="1"/>
    <m/>
    <m/>
    <m/>
    <m/>
    <m/>
    <n v="1"/>
    <m/>
    <m/>
    <m/>
    <m/>
    <m/>
    <m/>
    <m/>
    <m/>
    <m/>
    <n v="0"/>
    <n v="0"/>
    <n v="0"/>
    <n v="-1"/>
    <n v="0"/>
    <n v="0"/>
    <n v="0"/>
    <n v="0"/>
    <n v="0"/>
    <n v="-1"/>
    <x v="1"/>
    <m/>
    <m/>
    <m/>
    <m/>
    <m/>
    <m/>
    <m/>
    <m/>
    <m/>
    <m/>
    <m/>
    <m/>
    <m/>
    <m/>
    <m/>
    <m/>
    <m/>
    <n v="0"/>
    <n v="0"/>
    <m/>
    <m/>
    <m/>
    <n v="518327"/>
    <n v="174138"/>
    <x v="5"/>
    <x v="10"/>
    <x v="0"/>
    <x v="0"/>
    <m/>
    <x v="1"/>
    <x v="0"/>
    <s v="CA30 St Matthias Richmond"/>
    <x v="1"/>
    <s v="Y"/>
    <x v="5"/>
    <x v="2"/>
  </r>
  <r>
    <s v="22/0901/FUL"/>
    <x v="0"/>
    <x v="0"/>
    <x v="207"/>
    <d v="2026-05-02T00:00:00"/>
    <m/>
    <m/>
    <x v="2"/>
    <x v="0"/>
    <x v="0"/>
    <m/>
    <x v="3"/>
    <s v="Demolition of existing garages and greenhouses and redevelopment to provide a single detached residential property with basement"/>
    <s v="Land Rear Of 130 Castelnau, Barnes_x000a_"/>
    <s v="SW13 9ET"/>
    <m/>
    <m/>
    <m/>
    <m/>
    <m/>
    <m/>
    <m/>
    <m/>
    <m/>
    <n v="0"/>
    <s v="N"/>
    <m/>
    <m/>
    <m/>
    <n v="1"/>
    <m/>
    <m/>
    <m/>
    <m/>
    <n v="1"/>
    <n v="0"/>
    <n v="0"/>
    <n v="0"/>
    <n v="1"/>
    <n v="0"/>
    <n v="0"/>
    <n v="0"/>
    <n v="0"/>
    <n v="1"/>
    <x v="1"/>
    <m/>
    <n v="0.25"/>
    <n v="0.25"/>
    <n v="0.25"/>
    <n v="0.25"/>
    <m/>
    <m/>
    <m/>
    <m/>
    <m/>
    <m/>
    <m/>
    <m/>
    <m/>
    <m/>
    <m/>
    <m/>
    <n v="1"/>
    <n v="1"/>
    <s v="N"/>
    <s v="N"/>
    <s v="N"/>
    <n v="522676"/>
    <n v="177493"/>
    <x v="3"/>
    <x v="4"/>
    <x v="0"/>
    <x v="0"/>
    <m/>
    <x v="1"/>
    <x v="0"/>
    <s v="CA25 Castelnau"/>
    <x v="1"/>
    <s v="Y"/>
    <x v="3"/>
    <x v="1"/>
  </r>
  <r>
    <s v="22/1001/FUL"/>
    <x v="0"/>
    <x v="0"/>
    <x v="60"/>
    <d v="2026-08-08T00:00:00"/>
    <m/>
    <m/>
    <x v="2"/>
    <x v="0"/>
    <x v="0"/>
    <m/>
    <x v="3"/>
    <s v="Erection of a one and a half storey, three-bedroom house in the rear garden of No. 33 (including land to the rear of No. 35-35a) Wensleydale Road, with accommodation at basement level, associated hard and soft landscaping, 4 no. parking, refuse/recycling"/>
    <s v="33 Wensleydale Road, Hampton, TW12 2LP_x000a_"/>
    <s v="TW12 2LP"/>
    <m/>
    <m/>
    <m/>
    <m/>
    <m/>
    <m/>
    <m/>
    <m/>
    <m/>
    <n v="0"/>
    <s v="N"/>
    <m/>
    <m/>
    <n v="1"/>
    <m/>
    <m/>
    <m/>
    <m/>
    <m/>
    <n v="1"/>
    <n v="0"/>
    <n v="0"/>
    <n v="1"/>
    <n v="0"/>
    <n v="0"/>
    <n v="0"/>
    <n v="0"/>
    <n v="0"/>
    <n v="1"/>
    <x v="1"/>
    <m/>
    <n v="0.25"/>
    <n v="0.25"/>
    <n v="0.25"/>
    <n v="0.25"/>
    <m/>
    <m/>
    <m/>
    <m/>
    <m/>
    <m/>
    <m/>
    <m/>
    <m/>
    <m/>
    <m/>
    <m/>
    <n v="1"/>
    <n v="1"/>
    <s v="N"/>
    <s v="N"/>
    <s v="N"/>
    <n v="513537"/>
    <n v="170046"/>
    <x v="1"/>
    <x v="2"/>
    <x v="0"/>
    <x v="0"/>
    <m/>
    <x v="1"/>
    <x v="0"/>
    <m/>
    <x v="0"/>
    <s v="Y"/>
    <x v="1"/>
    <x v="1"/>
  </r>
  <r>
    <s v="22/1075/FUL"/>
    <x v="1"/>
    <x v="0"/>
    <x v="72"/>
    <d v="2026-02-07T00:00:00"/>
    <m/>
    <m/>
    <x v="2"/>
    <x v="0"/>
    <x v="0"/>
    <m/>
    <x v="3"/>
    <s v="Change of use of first floor from self-contained residential flat to office. Internal alterations including, upgrading the fire escape route, refurbishment of the kitchen to a tea room and WC facilities . Painting and decorating all rooms and corridors th"/>
    <s v="First Floor Flat, Teddington District Library, Waldegrave Road, Teddington TW11 8NY_x000a_"/>
    <s v="TW11 8NY"/>
    <m/>
    <m/>
    <n v="1"/>
    <m/>
    <m/>
    <m/>
    <m/>
    <m/>
    <m/>
    <n v="1"/>
    <m/>
    <m/>
    <m/>
    <m/>
    <m/>
    <m/>
    <m/>
    <m/>
    <m/>
    <n v="0"/>
    <n v="0"/>
    <n v="-1"/>
    <n v="0"/>
    <n v="0"/>
    <n v="0"/>
    <n v="0"/>
    <n v="0"/>
    <n v="0"/>
    <n v="-1"/>
    <x v="1"/>
    <m/>
    <n v="-0.25"/>
    <n v="-0.25"/>
    <n v="-0.25"/>
    <n v="-0.25"/>
    <m/>
    <m/>
    <m/>
    <m/>
    <m/>
    <m/>
    <m/>
    <m/>
    <m/>
    <m/>
    <m/>
    <m/>
    <n v="-1"/>
    <n v="-1"/>
    <m/>
    <m/>
    <m/>
    <n v="515895"/>
    <n v="171171"/>
    <x v="1"/>
    <x v="16"/>
    <x v="4"/>
    <x v="0"/>
    <m/>
    <x v="1"/>
    <x v="0"/>
    <s v="CA37 High Street Teddington"/>
    <x v="1"/>
    <s v="Y"/>
    <x v="6"/>
    <x v="2"/>
  </r>
  <r>
    <s v="22/1106/GPD26"/>
    <x v="1"/>
    <x v="1"/>
    <x v="0"/>
    <d v="2025-05-30T00:00:00"/>
    <m/>
    <m/>
    <x v="2"/>
    <x v="0"/>
    <x v="0"/>
    <m/>
    <x v="3"/>
    <s v="Conversion of a shop to single family dwelling house."/>
    <s v="1 Station Road, Teddington TW11 9AA_x000a_"/>
    <s v="TW11 9AA"/>
    <m/>
    <m/>
    <m/>
    <m/>
    <m/>
    <m/>
    <m/>
    <m/>
    <m/>
    <n v="0"/>
    <s v="N"/>
    <m/>
    <n v="1"/>
    <m/>
    <m/>
    <m/>
    <m/>
    <m/>
    <m/>
    <n v="1"/>
    <n v="0"/>
    <n v="1"/>
    <n v="0"/>
    <n v="0"/>
    <n v="0"/>
    <n v="0"/>
    <n v="0"/>
    <n v="0"/>
    <n v="1"/>
    <x v="1"/>
    <m/>
    <m/>
    <n v="1"/>
    <m/>
    <m/>
    <m/>
    <m/>
    <m/>
    <m/>
    <m/>
    <m/>
    <m/>
    <m/>
    <m/>
    <m/>
    <m/>
    <m/>
    <n v="1"/>
    <n v="1"/>
    <s v="N"/>
    <s v="N"/>
    <s v="N"/>
    <n v="515985"/>
    <n v="171070"/>
    <x v="1"/>
    <x v="16"/>
    <x v="4"/>
    <x v="0"/>
    <m/>
    <x v="1"/>
    <x v="0"/>
    <s v="CA37 High Street Teddington"/>
    <x v="1"/>
    <s v="Y"/>
    <x v="6"/>
    <x v="0"/>
  </r>
  <r>
    <s v="22/1214/GPD26"/>
    <x v="1"/>
    <x v="1"/>
    <x v="208"/>
    <d v="2025-06-14T00:00:00"/>
    <m/>
    <m/>
    <x v="2"/>
    <x v="0"/>
    <x v="0"/>
    <m/>
    <x v="3"/>
    <s v="Change of use of first and second floors to C3 (residential) use to facilitate the creation of 2x 2-bed 3-person flats."/>
    <s v="First And Second Floors, 41 Broad Street, Teddington TW11 8QZ"/>
    <s v="TW11 8QZ"/>
    <m/>
    <m/>
    <m/>
    <m/>
    <m/>
    <m/>
    <m/>
    <m/>
    <m/>
    <n v="0"/>
    <s v="N"/>
    <m/>
    <n v="2"/>
    <m/>
    <m/>
    <m/>
    <m/>
    <m/>
    <m/>
    <n v="2"/>
    <n v="0"/>
    <n v="2"/>
    <n v="0"/>
    <n v="0"/>
    <n v="0"/>
    <n v="0"/>
    <n v="0"/>
    <n v="0"/>
    <n v="2"/>
    <x v="1"/>
    <m/>
    <m/>
    <n v="1"/>
    <m/>
    <m/>
    <m/>
    <m/>
    <m/>
    <m/>
    <m/>
    <m/>
    <m/>
    <m/>
    <m/>
    <m/>
    <m/>
    <m/>
    <n v="1"/>
    <n v="1"/>
    <s v="N"/>
    <s v="N"/>
    <s v="N"/>
    <n v="515645"/>
    <n v="170997"/>
    <x v="1"/>
    <x v="16"/>
    <x v="4"/>
    <x v="0"/>
    <m/>
    <x v="1"/>
    <x v="0"/>
    <m/>
    <x v="0"/>
    <s v="Y"/>
    <x v="6"/>
    <x v="0"/>
  </r>
  <r>
    <s v="22/1497/FUL"/>
    <x v="0"/>
    <x v="0"/>
    <x v="209"/>
    <d v="2026-02-10T00:00:00"/>
    <d v="2024-04-09T00:00:00"/>
    <m/>
    <x v="2"/>
    <x v="0"/>
    <x v="0"/>
    <m/>
    <x v="3"/>
    <s v="The demolition of the existing dwelling house and 22 garages and the construction of 5 x new residential dwellings (Class C3) with associated hard and soft landscaping, parking and associated infrastructure."/>
    <s v="32 Haverfield Gardens, Kew, Richmond TW9 3DD_x000a_"/>
    <s v="TW9 3DD"/>
    <m/>
    <m/>
    <m/>
    <m/>
    <n v="1"/>
    <m/>
    <m/>
    <m/>
    <m/>
    <n v="1"/>
    <s v="N"/>
    <m/>
    <m/>
    <n v="5"/>
    <m/>
    <m/>
    <m/>
    <m/>
    <m/>
    <n v="5"/>
    <n v="0"/>
    <n v="0"/>
    <n v="5"/>
    <n v="-1"/>
    <n v="0"/>
    <n v="0"/>
    <n v="0"/>
    <n v="0"/>
    <n v="4"/>
    <x v="1"/>
    <m/>
    <n v="2"/>
    <n v="2"/>
    <m/>
    <m/>
    <m/>
    <m/>
    <m/>
    <m/>
    <m/>
    <m/>
    <m/>
    <m/>
    <m/>
    <m/>
    <m/>
    <m/>
    <n v="4"/>
    <n v="4"/>
    <s v="N"/>
    <s v="N"/>
    <s v="N"/>
    <n v="519166"/>
    <n v="177465"/>
    <x v="5"/>
    <x v="15"/>
    <x v="0"/>
    <x v="0"/>
    <m/>
    <x v="1"/>
    <x v="0"/>
    <s v="CA2 Kew Green"/>
    <x v="1"/>
    <s v="Y"/>
    <x v="8"/>
    <x v="0"/>
  </r>
  <r>
    <s v="22/1575/FUL"/>
    <x v="0"/>
    <x v="0"/>
    <x v="210"/>
    <d v="2026-01-09T00:00:00"/>
    <m/>
    <m/>
    <x v="2"/>
    <x v="0"/>
    <x v="0"/>
    <m/>
    <x v="3"/>
    <s v="Proposed two-storey 2-bedroom mews house with accommodation in the roof including parking, bicycle and bin storage and private amenity space"/>
    <s v="Land To Rear Of_x000d_177 High Street_x000d_Hampton Hill_x000d__x000d_"/>
    <s v="TW12 1NL"/>
    <m/>
    <m/>
    <m/>
    <m/>
    <m/>
    <m/>
    <m/>
    <m/>
    <m/>
    <n v="0"/>
    <s v="N"/>
    <m/>
    <n v="1"/>
    <m/>
    <m/>
    <m/>
    <m/>
    <m/>
    <m/>
    <n v="1"/>
    <n v="0"/>
    <n v="1"/>
    <n v="0"/>
    <n v="0"/>
    <n v="0"/>
    <n v="0"/>
    <n v="0"/>
    <n v="0"/>
    <n v="1"/>
    <x v="1"/>
    <m/>
    <n v="0.25"/>
    <n v="0.25"/>
    <n v="0.25"/>
    <n v="0.25"/>
    <m/>
    <m/>
    <m/>
    <m/>
    <m/>
    <m/>
    <m/>
    <m/>
    <m/>
    <m/>
    <m/>
    <m/>
    <n v="1"/>
    <n v="1"/>
    <s v="N"/>
    <s v="N"/>
    <s v="N"/>
    <n v="514429"/>
    <n v="171230"/>
    <x v="1"/>
    <x v="14"/>
    <x v="0"/>
    <x v="0"/>
    <m/>
    <x v="1"/>
    <x v="0"/>
    <m/>
    <x v="0"/>
    <s v="Y"/>
    <x v="1"/>
    <x v="0"/>
  </r>
  <r>
    <s v="22/1769/GPD26"/>
    <x v="1"/>
    <x v="1"/>
    <x v="166"/>
    <d v="2025-09-18T00:00:00"/>
    <m/>
    <m/>
    <x v="2"/>
    <x v="0"/>
    <x v="0"/>
    <m/>
    <x v="3"/>
    <s v="Part change of use of the ground floor of the building from commercial premises (Use Class E) to 2 residential apartments (Use Class C3)."/>
    <s v="112 - 114 High Street, Whitton_x000a__x000a_"/>
    <s v="TW2 7LD"/>
    <m/>
    <m/>
    <m/>
    <m/>
    <m/>
    <m/>
    <m/>
    <m/>
    <m/>
    <n v="0"/>
    <s v="N"/>
    <n v="2"/>
    <m/>
    <m/>
    <m/>
    <m/>
    <m/>
    <m/>
    <m/>
    <n v="2"/>
    <n v="2"/>
    <n v="0"/>
    <n v="0"/>
    <n v="0"/>
    <n v="0"/>
    <n v="0"/>
    <n v="0"/>
    <n v="0"/>
    <n v="2"/>
    <x v="1"/>
    <m/>
    <n v="2"/>
    <m/>
    <m/>
    <m/>
    <m/>
    <m/>
    <m/>
    <m/>
    <m/>
    <m/>
    <m/>
    <m/>
    <m/>
    <m/>
    <m/>
    <m/>
    <n v="2"/>
    <n v="2"/>
    <s v="N"/>
    <s v="N"/>
    <s v="N"/>
    <n v="514180"/>
    <n v="173646"/>
    <x v="0"/>
    <x v="13"/>
    <x v="5"/>
    <x v="0"/>
    <m/>
    <x v="1"/>
    <x v="0"/>
    <m/>
    <x v="0"/>
    <s v="Y"/>
    <x v="0"/>
    <x v="0"/>
  </r>
  <r>
    <s v="22/1825/FUL"/>
    <x v="0"/>
    <x v="0"/>
    <x v="129"/>
    <d v="2025-11-07T00:00:00"/>
    <m/>
    <m/>
    <x v="2"/>
    <x v="2"/>
    <x v="0"/>
    <m/>
    <x v="3"/>
    <s v="Demolition of existing dwelling and associated outbuildings, and erection of 4no. new 1bed and 2bed affordable flats, with associated landscaping, cycle and refuse stores"/>
    <s v="88 Richmond Road, Twickenham TW1 3BB"/>
    <s v="TW1 3BB"/>
    <m/>
    <m/>
    <m/>
    <n v="1"/>
    <m/>
    <m/>
    <m/>
    <m/>
    <m/>
    <n v="1"/>
    <s v="Y"/>
    <n v="3"/>
    <n v="1"/>
    <m/>
    <m/>
    <m/>
    <m/>
    <m/>
    <m/>
    <n v="4"/>
    <n v="3"/>
    <n v="1"/>
    <n v="-1"/>
    <n v="0"/>
    <n v="0"/>
    <n v="0"/>
    <n v="0"/>
    <n v="0"/>
    <n v="3"/>
    <x v="1"/>
    <m/>
    <n v="0.75"/>
    <n v="0.75"/>
    <n v="0.75"/>
    <n v="0.75"/>
    <m/>
    <m/>
    <m/>
    <m/>
    <m/>
    <m/>
    <m/>
    <m/>
    <m/>
    <m/>
    <m/>
    <m/>
    <n v="3"/>
    <n v="3"/>
    <s v="N"/>
    <s v="N"/>
    <s v="N"/>
    <n v="516734"/>
    <n v="173647"/>
    <x v="4"/>
    <x v="6"/>
    <x v="0"/>
    <x v="0"/>
    <m/>
    <x v="1"/>
    <x v="7"/>
    <s v="CA8 Twickenham Riverside"/>
    <x v="1"/>
    <s v="Y"/>
    <x v="4"/>
    <x v="0"/>
  </r>
  <r>
    <s v="22/2095/FUL"/>
    <x v="1"/>
    <x v="0"/>
    <x v="211"/>
    <d v="2026-05-17T00:00:00"/>
    <m/>
    <m/>
    <x v="2"/>
    <x v="0"/>
    <x v="0"/>
    <m/>
    <x v="3"/>
    <s v="Change of Use from a Day Nursery (Use Class E) to a place of worship and meeting hall (F1) with ancillary studio flat and office and separate residential apartment (C3).  Elevational alterations to building and hard and soft landsciping, including car par"/>
    <s v="Asquith Montessori Nursery, Church Grove, Hampton Wick KT1 4AL_x000a_"/>
    <s v="KT1 4AL"/>
    <m/>
    <m/>
    <m/>
    <m/>
    <m/>
    <m/>
    <m/>
    <m/>
    <m/>
    <n v="0"/>
    <s v="N"/>
    <m/>
    <m/>
    <n v="1"/>
    <m/>
    <m/>
    <m/>
    <m/>
    <m/>
    <n v="1"/>
    <n v="0"/>
    <n v="0"/>
    <n v="1"/>
    <n v="0"/>
    <n v="0"/>
    <n v="0"/>
    <n v="0"/>
    <n v="0"/>
    <n v="1"/>
    <x v="1"/>
    <m/>
    <n v="0.25"/>
    <n v="0.25"/>
    <n v="0.25"/>
    <n v="0.25"/>
    <m/>
    <m/>
    <m/>
    <m/>
    <m/>
    <m/>
    <m/>
    <m/>
    <m/>
    <m/>
    <m/>
    <m/>
    <n v="1"/>
    <n v="1"/>
    <s v="N"/>
    <s v="N"/>
    <s v="N"/>
    <n v="517416"/>
    <n v="169490"/>
    <x v="1"/>
    <x v="11"/>
    <x v="0"/>
    <x v="0"/>
    <m/>
    <x v="1"/>
    <x v="0"/>
    <s v="CA18 Hampton Wick"/>
    <x v="1"/>
    <s v="Y"/>
    <x v="6"/>
    <x v="0"/>
  </r>
  <r>
    <s v="22/2399/FUL"/>
    <x v="2"/>
    <x v="0"/>
    <x v="212"/>
    <d v="2025-12-13T00:00:00"/>
    <m/>
    <m/>
    <x v="2"/>
    <x v="0"/>
    <x v="0"/>
    <m/>
    <x v="3"/>
    <s v="Single storey rear extension, side dormer roof extension with solar panels, rooflights on front and side roof slopes, replacement fenestration and associated bin store to facilitate the conversion of two flats into a single dwellinghouse."/>
    <s v="92 Palewell Park, East Sheen SW14 8JH_x000a_"/>
    <s v="SW14 8JH"/>
    <m/>
    <n v="1"/>
    <n v="1"/>
    <m/>
    <m/>
    <m/>
    <m/>
    <m/>
    <m/>
    <n v="2"/>
    <s v="N"/>
    <m/>
    <m/>
    <m/>
    <n v="1"/>
    <m/>
    <m/>
    <m/>
    <m/>
    <n v="1"/>
    <n v="-1"/>
    <n v="-1"/>
    <n v="0"/>
    <n v="1"/>
    <n v="0"/>
    <n v="0"/>
    <n v="0"/>
    <n v="0"/>
    <n v="-1"/>
    <x v="1"/>
    <m/>
    <n v="-0.25"/>
    <n v="-0.25"/>
    <n v="-0.25"/>
    <n v="-0.25"/>
    <m/>
    <m/>
    <m/>
    <m/>
    <m/>
    <m/>
    <m/>
    <m/>
    <m/>
    <m/>
    <m/>
    <m/>
    <n v="-1"/>
    <n v="-1"/>
    <s v="N"/>
    <s v="N"/>
    <s v="N"/>
    <n v="520657"/>
    <n v="175094"/>
    <x v="3"/>
    <x v="12"/>
    <x v="0"/>
    <x v="0"/>
    <m/>
    <x v="1"/>
    <x v="0"/>
    <m/>
    <x v="0"/>
    <s v="Y"/>
    <x v="7"/>
    <x v="0"/>
  </r>
  <r>
    <s v="22/2416/FUL"/>
    <x v="0"/>
    <x v="0"/>
    <x v="213"/>
    <d v="2026-07-11T00:00:00"/>
    <m/>
    <m/>
    <x v="2"/>
    <x v="0"/>
    <x v="0"/>
    <m/>
    <x v="3"/>
    <s v="Demolition of an existing single storey bungalow on the site, followed by the construction of a new single family residential dwelling."/>
    <s v="40 Twickenham Road, Teddington TW11 8AW_x000a_"/>
    <s v="TW11 8AW"/>
    <m/>
    <m/>
    <m/>
    <n v="1"/>
    <m/>
    <m/>
    <m/>
    <m/>
    <m/>
    <n v="1"/>
    <s v="N"/>
    <m/>
    <m/>
    <m/>
    <m/>
    <m/>
    <n v="1"/>
    <m/>
    <m/>
    <n v="1"/>
    <n v="0"/>
    <n v="0"/>
    <n v="-1"/>
    <n v="0"/>
    <n v="0"/>
    <n v="1"/>
    <n v="0"/>
    <n v="0"/>
    <n v="0"/>
    <x v="1"/>
    <m/>
    <n v="0"/>
    <m/>
    <m/>
    <m/>
    <m/>
    <m/>
    <m/>
    <m/>
    <m/>
    <m/>
    <m/>
    <m/>
    <m/>
    <m/>
    <m/>
    <m/>
    <n v="0"/>
    <n v="0"/>
    <s v="N"/>
    <s v="N"/>
    <s v="N"/>
    <n v="516362"/>
    <n v="171689"/>
    <x v="1"/>
    <x v="16"/>
    <x v="0"/>
    <x v="1"/>
    <m/>
    <x v="1"/>
    <x v="0"/>
    <m/>
    <x v="0"/>
    <s v="Y"/>
    <x v="6"/>
    <x v="0"/>
  </r>
  <r>
    <s v="22/2843/FUL"/>
    <x v="0"/>
    <x v="0"/>
    <x v="214"/>
    <d v="2026-02-08T00:00:00"/>
    <m/>
    <m/>
    <x v="2"/>
    <x v="0"/>
    <x v="0"/>
    <m/>
    <x v="3"/>
    <s v="Demolition of existing dwelling and replacement with a pair of two storey with basement semi-detached dwellings.  Alterations to boundary wall and assoicated hard and soft landscaping, cycle and refuse stores."/>
    <s v="62 Derby Road, East Sheen SW14 7DP_x000a_"/>
    <s v="SW14 7DP"/>
    <m/>
    <m/>
    <m/>
    <m/>
    <n v="1"/>
    <m/>
    <m/>
    <m/>
    <m/>
    <n v="1"/>
    <s v="N"/>
    <m/>
    <m/>
    <n v="2"/>
    <m/>
    <m/>
    <m/>
    <m/>
    <m/>
    <n v="2"/>
    <n v="0"/>
    <n v="0"/>
    <n v="2"/>
    <n v="-1"/>
    <n v="0"/>
    <n v="0"/>
    <n v="0"/>
    <n v="0"/>
    <n v="1"/>
    <x v="1"/>
    <m/>
    <n v="0.25"/>
    <n v="0.25"/>
    <n v="0.25"/>
    <n v="0.25"/>
    <m/>
    <m/>
    <m/>
    <m/>
    <m/>
    <m/>
    <m/>
    <m/>
    <m/>
    <m/>
    <m/>
    <m/>
    <n v="1"/>
    <n v="1"/>
    <s v="N"/>
    <s v="N"/>
    <s v="N"/>
    <n v="519780"/>
    <n v="175098"/>
    <x v="3"/>
    <x v="12"/>
    <x v="0"/>
    <x v="0"/>
    <m/>
    <x v="1"/>
    <x v="0"/>
    <m/>
    <x v="0"/>
    <s v="Y"/>
    <x v="7"/>
    <x v="1"/>
  </r>
  <r>
    <s v="22/2994/GPH03"/>
    <x v="3"/>
    <x v="0"/>
    <x v="215"/>
    <d v="2025-11-29T00:00:00"/>
    <m/>
    <m/>
    <x v="2"/>
    <x v="0"/>
    <x v="0"/>
    <m/>
    <x v="3"/>
    <s v="Erection of a roof extension comprising an additional storey (providing 3 additional residential units) to the existing mixed-use, 3 storey terraced building along with the provision of a green roof, refuse and recycling storage and cycle parking associat"/>
    <s v="Canham House_x000a_17 Heath Road_x000a_Twickenham_x000a_TW1 4AW_x000a_"/>
    <s v="TW1 4AW"/>
    <m/>
    <m/>
    <m/>
    <m/>
    <m/>
    <m/>
    <m/>
    <m/>
    <m/>
    <n v="0"/>
    <s v="N"/>
    <n v="1"/>
    <n v="2"/>
    <m/>
    <m/>
    <m/>
    <m/>
    <m/>
    <m/>
    <n v="3"/>
    <n v="1"/>
    <n v="2"/>
    <n v="0"/>
    <n v="0"/>
    <n v="0"/>
    <n v="0"/>
    <n v="0"/>
    <n v="0"/>
    <n v="3"/>
    <x v="1"/>
    <m/>
    <n v="0.75"/>
    <n v="0.75"/>
    <n v="0.75"/>
    <n v="0.75"/>
    <m/>
    <m/>
    <m/>
    <m/>
    <m/>
    <m/>
    <m/>
    <m/>
    <m/>
    <m/>
    <m/>
    <m/>
    <n v="3"/>
    <n v="3"/>
    <s v="N"/>
    <s v="N"/>
    <s v="N"/>
    <n v="516087"/>
    <n v="173122"/>
    <x v="4"/>
    <x v="7"/>
    <x v="3"/>
    <x v="0"/>
    <m/>
    <x v="1"/>
    <x v="0"/>
    <m/>
    <x v="0"/>
    <s v="Y"/>
    <x v="4"/>
    <x v="0"/>
  </r>
  <r>
    <s v="22/3043/GPD24"/>
    <x v="1"/>
    <x v="1"/>
    <x v="216"/>
    <d v="2025-11-30T00:00:00"/>
    <m/>
    <m/>
    <x v="2"/>
    <x v="0"/>
    <x v="0"/>
    <m/>
    <x v="3"/>
    <s v="Change of use from Class E (commercial, business and service) to Mixed Use Class E (commercial, business and service) and Class C3_x000d_(dwellinghouses) to provide 1x self-contained dwelling."/>
    <s v="357 Upper Richmond Road West, East Sheen SW14 8QN_x000a_"/>
    <s v="SW14 8QN"/>
    <m/>
    <m/>
    <m/>
    <m/>
    <m/>
    <m/>
    <m/>
    <m/>
    <m/>
    <n v="0"/>
    <s v="N"/>
    <n v="1"/>
    <m/>
    <m/>
    <m/>
    <m/>
    <m/>
    <m/>
    <m/>
    <n v="1"/>
    <n v="1"/>
    <n v="0"/>
    <n v="0"/>
    <n v="0"/>
    <n v="0"/>
    <n v="0"/>
    <n v="0"/>
    <n v="0"/>
    <n v="1"/>
    <x v="1"/>
    <m/>
    <m/>
    <n v="1"/>
    <m/>
    <m/>
    <m/>
    <m/>
    <m/>
    <m/>
    <m/>
    <m/>
    <m/>
    <m/>
    <m/>
    <m/>
    <m/>
    <m/>
    <n v="1"/>
    <n v="1"/>
    <s v="N"/>
    <s v="N"/>
    <s v="N"/>
    <n v="520553"/>
    <n v="175393"/>
    <x v="3"/>
    <x v="12"/>
    <x v="2"/>
    <x v="0"/>
    <m/>
    <x v="1"/>
    <x v="0"/>
    <m/>
    <x v="0"/>
    <s v="Y"/>
    <x v="7"/>
    <x v="0"/>
  </r>
  <r>
    <s v="22/3049/FUL"/>
    <x v="1"/>
    <x v="0"/>
    <x v="217"/>
    <d v="2026-11-14T00:00:00"/>
    <m/>
    <m/>
    <x v="2"/>
    <x v="0"/>
    <x v="0"/>
    <m/>
    <x v="3"/>
    <s v="Change of use of first floor from former financial services floorspace to 2 x one bedroom flats. Alterations to rear elevation and reinstatement of first floor roof terrace."/>
    <s v="256 Upper Richmond Road West, East Sheen SW14 7JF_x000a_"/>
    <s v="SW14 7JF"/>
    <m/>
    <m/>
    <m/>
    <m/>
    <m/>
    <m/>
    <m/>
    <m/>
    <m/>
    <n v="0"/>
    <s v="N"/>
    <n v="2"/>
    <m/>
    <m/>
    <m/>
    <m/>
    <m/>
    <m/>
    <m/>
    <n v="2"/>
    <n v="2"/>
    <n v="0"/>
    <n v="0"/>
    <n v="0"/>
    <n v="0"/>
    <n v="0"/>
    <n v="0"/>
    <n v="0"/>
    <n v="2"/>
    <x v="1"/>
    <m/>
    <n v="0.5"/>
    <n v="0.5"/>
    <n v="0.5"/>
    <n v="0.5"/>
    <m/>
    <m/>
    <m/>
    <m/>
    <m/>
    <m/>
    <m/>
    <m/>
    <m/>
    <m/>
    <m/>
    <m/>
    <n v="2"/>
    <n v="2"/>
    <s v="N"/>
    <s v="N"/>
    <s v="N"/>
    <n v="520486"/>
    <n v="175416"/>
    <x v="3"/>
    <x v="12"/>
    <x v="2"/>
    <x v="0"/>
    <m/>
    <x v="1"/>
    <x v="0"/>
    <s v="CA70 Sheen Lane Mortlake"/>
    <x v="1"/>
    <s v="Y"/>
    <x v="7"/>
    <x v="0"/>
  </r>
  <r>
    <s v="22/3112/FUL"/>
    <x v="0"/>
    <x v="0"/>
    <x v="218"/>
    <d v="2026-09-14T00:00:00"/>
    <m/>
    <m/>
    <x v="2"/>
    <x v="4"/>
    <x v="0"/>
    <m/>
    <x v="3"/>
    <s v="Erection of one 4-storey building and one 2-storey building to provide 12 affordable housing units (7 Supported Living units and 5 London Living Rent units), plus one residential support unit; removal of existing vehicular access; landscaping including co"/>
    <s v="Meadows Hall, Church Road, Richmond TW10 6LN_x000a_"/>
    <s v="TW10 6LN"/>
    <m/>
    <m/>
    <m/>
    <m/>
    <m/>
    <m/>
    <m/>
    <m/>
    <m/>
    <n v="0"/>
    <s v="Y"/>
    <n v="2"/>
    <n v="3"/>
    <m/>
    <m/>
    <m/>
    <m/>
    <m/>
    <m/>
    <n v="5"/>
    <n v="2"/>
    <n v="3"/>
    <n v="0"/>
    <n v="0"/>
    <n v="0"/>
    <n v="0"/>
    <n v="0"/>
    <n v="0"/>
    <n v="5"/>
    <x v="1"/>
    <m/>
    <m/>
    <n v="2.5"/>
    <n v="2.5"/>
    <m/>
    <m/>
    <m/>
    <m/>
    <m/>
    <m/>
    <m/>
    <m/>
    <m/>
    <m/>
    <m/>
    <m/>
    <m/>
    <n v="5"/>
    <n v="5"/>
    <s v="N"/>
    <s v="N"/>
    <s v="N"/>
    <n v="518385"/>
    <n v="174928"/>
    <x v="5"/>
    <x v="10"/>
    <x v="0"/>
    <x v="0"/>
    <m/>
    <x v="1"/>
    <x v="0"/>
    <s v="CA30 St Matthias Richmond"/>
    <x v="1"/>
    <s v="Y"/>
    <x v="5"/>
    <x v="0"/>
  </r>
  <r>
    <s v="22/3112/FUL"/>
    <x v="0"/>
    <x v="0"/>
    <x v="218"/>
    <d v="2026-09-14T00:00:00"/>
    <m/>
    <m/>
    <x v="2"/>
    <x v="2"/>
    <x v="0"/>
    <m/>
    <x v="3"/>
    <s v="Erection of one 4-storey building and one 2-storey building to provide 12 affordable housing units (7 Supported Living units and 5 London Living Rent units), plus one residential support unit; removal of existing vehicular access; landscaping including co"/>
    <s v="Meadows Hall, Church Road, Richmond TW10 6LN_x000a_"/>
    <s v="TW10 6LN"/>
    <m/>
    <m/>
    <m/>
    <m/>
    <m/>
    <m/>
    <m/>
    <m/>
    <m/>
    <n v="0"/>
    <s v="Y"/>
    <n v="7"/>
    <m/>
    <m/>
    <m/>
    <m/>
    <m/>
    <m/>
    <m/>
    <n v="7"/>
    <n v="7"/>
    <n v="0"/>
    <n v="0"/>
    <n v="0"/>
    <n v="0"/>
    <n v="0"/>
    <n v="0"/>
    <n v="0"/>
    <n v="7"/>
    <x v="1"/>
    <m/>
    <m/>
    <n v="3.5"/>
    <n v="3.5"/>
    <m/>
    <m/>
    <m/>
    <m/>
    <m/>
    <m/>
    <m/>
    <m/>
    <m/>
    <m/>
    <m/>
    <m/>
    <m/>
    <n v="7"/>
    <n v="7"/>
    <s v="N"/>
    <s v="Y"/>
    <s v="N"/>
    <n v="518385"/>
    <n v="174928"/>
    <x v="5"/>
    <x v="10"/>
    <x v="0"/>
    <x v="0"/>
    <m/>
    <x v="1"/>
    <x v="0"/>
    <s v="CA30 St Matthias Richmond"/>
    <x v="1"/>
    <s v="Y"/>
    <x v="5"/>
    <x v="0"/>
  </r>
  <r>
    <s v="22/3141/FUL"/>
    <x v="2"/>
    <x v="0"/>
    <x v="219"/>
    <d v="2025-12-19T00:00:00"/>
    <m/>
    <m/>
    <x v="2"/>
    <x v="0"/>
    <x v="0"/>
    <m/>
    <x v="3"/>
    <s v="Rear dormer roof extension to facilitate the conversion of existing 2 bed maisonette into 2 flats (1 x 1 bed and 1 x 2 bed). Solar PV panels to rear pitched and flat roofs. 2no. Velux roof lights to front roof slope."/>
    <s v="23 Colston Road_x000a_East Sheen_x000a_London_x000a_SW14 7PQ_x000a_"/>
    <s v="SW14 7PQ"/>
    <m/>
    <m/>
    <n v="1"/>
    <m/>
    <m/>
    <m/>
    <m/>
    <m/>
    <m/>
    <n v="1"/>
    <s v="N"/>
    <n v="1"/>
    <n v="1"/>
    <m/>
    <m/>
    <m/>
    <m/>
    <m/>
    <m/>
    <n v="2"/>
    <n v="1"/>
    <n v="0"/>
    <n v="0"/>
    <n v="0"/>
    <n v="0"/>
    <n v="0"/>
    <n v="0"/>
    <n v="0"/>
    <n v="1"/>
    <x v="1"/>
    <m/>
    <n v="0.25"/>
    <n v="0.25"/>
    <n v="0.25"/>
    <n v="0.25"/>
    <m/>
    <m/>
    <m/>
    <m/>
    <m/>
    <m/>
    <m/>
    <m/>
    <m/>
    <m/>
    <m/>
    <m/>
    <n v="1"/>
    <n v="1"/>
    <s v="N"/>
    <s v="N"/>
    <s v="N"/>
    <n v="520360"/>
    <n v="175325"/>
    <x v="3"/>
    <x v="12"/>
    <x v="2"/>
    <x v="0"/>
    <m/>
    <x v="1"/>
    <x v="0"/>
    <m/>
    <x v="0"/>
    <s v="Y"/>
    <x v="7"/>
    <x v="0"/>
  </r>
  <r>
    <s v="22/3233/FUL"/>
    <x v="1"/>
    <x v="0"/>
    <x v="14"/>
    <d v="2026-04-24T00:00:00"/>
    <m/>
    <m/>
    <x v="2"/>
    <x v="0"/>
    <x v="0"/>
    <m/>
    <x v="3"/>
    <s v="Change of use from student accommodation to C3 residential use, side extension, erection of a part width rear extension to the lower and upper ground floor."/>
    <s v="Parkview, 23 Queens Road, Richmond TW10 6JW_x000a_"/>
    <s v="TW10 6JW"/>
    <m/>
    <m/>
    <m/>
    <m/>
    <m/>
    <m/>
    <m/>
    <m/>
    <m/>
    <n v="0"/>
    <s v="N"/>
    <m/>
    <m/>
    <m/>
    <m/>
    <m/>
    <m/>
    <n v="1"/>
    <m/>
    <n v="1"/>
    <n v="0"/>
    <n v="0"/>
    <n v="0"/>
    <n v="0"/>
    <n v="0"/>
    <n v="0"/>
    <n v="1"/>
    <n v="0"/>
    <n v="1"/>
    <x v="1"/>
    <m/>
    <n v="0.25"/>
    <n v="0.25"/>
    <n v="0.25"/>
    <n v="0.25"/>
    <m/>
    <m/>
    <m/>
    <m/>
    <m/>
    <m/>
    <m/>
    <m/>
    <m/>
    <m/>
    <m/>
    <m/>
    <n v="1"/>
    <n v="1"/>
    <s v="N"/>
    <s v="N"/>
    <s v="N"/>
    <n v="518610"/>
    <n v="174158"/>
    <x v="5"/>
    <x v="10"/>
    <x v="0"/>
    <x v="0"/>
    <m/>
    <x v="1"/>
    <x v="0"/>
    <s v="CA30 St Matthias Richmond"/>
    <x v="1"/>
    <s v="Y"/>
    <x v="5"/>
    <x v="0"/>
  </r>
  <r>
    <s v="22/3304/FUL"/>
    <x v="0"/>
    <x v="0"/>
    <x v="220"/>
    <d v="2026-04-25T00:00:00"/>
    <m/>
    <m/>
    <x v="2"/>
    <x v="0"/>
    <x v="0"/>
    <m/>
    <x v="3"/>
    <s v="Single storey rear extension, hip to gable and rear dormer roof extension and rooflights to front roof slope and associated cycle and refuse store and hard and soft landscaping and outbuilding to no. 2.  _x000a_Demolition of existing single storey side extension to facilitate the erection of two storey dwelling house and associated cycle and refuse stores, replacement boundary fence, hard and soft landscaping and outbuilding."/>
    <s v="2 West Hall Road, Kew, Richmond TW9 4EE_x000a_"/>
    <s v="TW9 4EE"/>
    <m/>
    <m/>
    <m/>
    <m/>
    <m/>
    <m/>
    <m/>
    <m/>
    <m/>
    <n v="0"/>
    <s v="N"/>
    <m/>
    <m/>
    <n v="1"/>
    <m/>
    <m/>
    <m/>
    <m/>
    <m/>
    <n v="1"/>
    <n v="0"/>
    <n v="0"/>
    <n v="1"/>
    <n v="0"/>
    <n v="0"/>
    <n v="0"/>
    <n v="0"/>
    <n v="0"/>
    <n v="1"/>
    <x v="1"/>
    <m/>
    <n v="0.25"/>
    <n v="0.25"/>
    <n v="0.25"/>
    <n v="0.25"/>
    <m/>
    <m/>
    <m/>
    <m/>
    <m/>
    <m/>
    <m/>
    <m/>
    <m/>
    <m/>
    <m/>
    <m/>
    <n v="1"/>
    <n v="1"/>
    <s v="N"/>
    <s v="N"/>
    <s v="N"/>
    <n v="519594"/>
    <n v="176510"/>
    <x v="5"/>
    <x v="15"/>
    <x v="0"/>
    <x v="0"/>
    <m/>
    <x v="1"/>
    <x v="0"/>
    <m/>
    <x v="0"/>
    <s v="Y"/>
    <x v="8"/>
    <x v="0"/>
  </r>
  <r>
    <s v="22/3397/GPD26"/>
    <x v="1"/>
    <x v="1"/>
    <x v="221"/>
    <d v="2025-12-15T00:00:00"/>
    <m/>
    <m/>
    <x v="2"/>
    <x v="0"/>
    <x v="0"/>
    <m/>
    <x v="3"/>
    <s v="Change of use of the building from Use Class E (Office) to C3 (Residential) single dwelling."/>
    <s v="33A Milton Road, Hampton TW12 2LL_x000a_"/>
    <s v="TW12 2LL"/>
    <m/>
    <m/>
    <m/>
    <m/>
    <m/>
    <m/>
    <m/>
    <m/>
    <m/>
    <n v="0"/>
    <s v="N"/>
    <n v="1"/>
    <m/>
    <m/>
    <m/>
    <m/>
    <m/>
    <m/>
    <m/>
    <n v="1"/>
    <n v="1"/>
    <n v="0"/>
    <n v="0"/>
    <n v="0"/>
    <n v="0"/>
    <n v="0"/>
    <n v="0"/>
    <n v="0"/>
    <n v="1"/>
    <x v="1"/>
    <m/>
    <m/>
    <n v="1"/>
    <m/>
    <m/>
    <m/>
    <m/>
    <m/>
    <m/>
    <m/>
    <m/>
    <m/>
    <m/>
    <m/>
    <m/>
    <m/>
    <m/>
    <n v="1"/>
    <n v="1"/>
    <s v="N"/>
    <s v="N"/>
    <s v="N"/>
    <n v="513402"/>
    <n v="169963"/>
    <x v="1"/>
    <x v="2"/>
    <x v="0"/>
    <x v="0"/>
    <m/>
    <x v="1"/>
    <x v="0"/>
    <m/>
    <x v="0"/>
    <s v="Y"/>
    <x v="1"/>
    <x v="0"/>
  </r>
  <r>
    <s v="22/3468/FUL"/>
    <x v="2"/>
    <x v="0"/>
    <x v="222"/>
    <d v="2027-02-26T00:00:00"/>
    <m/>
    <m/>
    <x v="2"/>
    <x v="0"/>
    <x v="0"/>
    <m/>
    <x v="3"/>
    <s v="Subdivision of no 446 to create 1 no. dwellinghouse and 1 no. 2 bed flat. Alterations to fenestration/doors. Installation of vehicle gates. Installation of a new garden fence."/>
    <s v="446 Upper Richmond Road_x000d_Barnes_x000d_London_x000d_SW15 5RQ_x000d_"/>
    <s v="SW15 5RQ"/>
    <m/>
    <m/>
    <m/>
    <m/>
    <m/>
    <m/>
    <m/>
    <m/>
    <m/>
    <n v="0"/>
    <s v="N"/>
    <m/>
    <n v="1"/>
    <m/>
    <m/>
    <m/>
    <m/>
    <m/>
    <m/>
    <n v="1"/>
    <n v="0"/>
    <n v="1"/>
    <n v="0"/>
    <n v="0"/>
    <n v="0"/>
    <n v="0"/>
    <n v="0"/>
    <n v="0"/>
    <n v="1"/>
    <x v="1"/>
    <m/>
    <n v="0.25"/>
    <n v="0.25"/>
    <n v="0.25"/>
    <n v="0.25"/>
    <m/>
    <m/>
    <m/>
    <m/>
    <m/>
    <m/>
    <m/>
    <m/>
    <m/>
    <m/>
    <m/>
    <m/>
    <n v="1"/>
    <n v="1"/>
    <s v="N"/>
    <s v="N"/>
    <s v="N"/>
    <n v="522407"/>
    <n v="175478"/>
    <x v="3"/>
    <x v="9"/>
    <x v="0"/>
    <x v="0"/>
    <m/>
    <x v="1"/>
    <x v="0"/>
    <s v="CA32 Barnes Common"/>
    <x v="1"/>
    <s v="Y"/>
    <x v="3"/>
    <x v="0"/>
  </r>
  <r>
    <s v="22/3799/FUL"/>
    <x v="4"/>
    <x v="0"/>
    <x v="223"/>
    <d v="2026-11-07T00:00:00"/>
    <m/>
    <m/>
    <x v="2"/>
    <x v="0"/>
    <x v="0"/>
    <m/>
    <x v="3"/>
    <s v="Proposed rear dormer roof extension and 2no. skylights on front roof slope. Conversion of existing flat into 3no. studio flats. Provision of cycle storage, bin and refuse storage areas."/>
    <s v="21 Colston Road, East Sheen SW14 7PQ_x000a_"/>
    <s v="SW14 7PQ"/>
    <m/>
    <m/>
    <m/>
    <m/>
    <n v="1"/>
    <m/>
    <m/>
    <m/>
    <m/>
    <n v="1"/>
    <s v="N"/>
    <n v="3"/>
    <m/>
    <m/>
    <m/>
    <m/>
    <m/>
    <m/>
    <m/>
    <n v="3"/>
    <n v="3"/>
    <n v="0"/>
    <n v="0"/>
    <n v="-1"/>
    <n v="0"/>
    <n v="0"/>
    <n v="0"/>
    <n v="0"/>
    <n v="2"/>
    <x v="1"/>
    <m/>
    <n v="0.5"/>
    <n v="0.5"/>
    <n v="0.5"/>
    <n v="0.5"/>
    <m/>
    <m/>
    <m/>
    <m/>
    <m/>
    <m/>
    <m/>
    <m/>
    <m/>
    <m/>
    <m/>
    <m/>
    <n v="2"/>
    <n v="2"/>
    <s v="N"/>
    <s v="N"/>
    <s v="N"/>
    <n v="520370"/>
    <n v="175330"/>
    <x v="3"/>
    <x v="12"/>
    <x v="2"/>
    <x v="0"/>
    <m/>
    <x v="1"/>
    <x v="0"/>
    <m/>
    <x v="0"/>
    <s v="Y"/>
    <x v="7"/>
    <x v="0"/>
  </r>
  <r>
    <s v="23/0093/FUL"/>
    <x v="3"/>
    <x v="0"/>
    <x v="224"/>
    <d v="2027-02-02T00:00:00"/>
    <m/>
    <m/>
    <x v="2"/>
    <x v="0"/>
    <x v="0"/>
    <m/>
    <x v="3"/>
    <s v="Conversion of maisonette flat into two self-contained flats, including alterations &amp; loft extension, by replacing annex hip roof with Mansard roof"/>
    <s v="74A Richmond Road_x000d_Twickenham_x000d_TW1 3BE_x000d_"/>
    <s v="TW1 3BE"/>
    <m/>
    <m/>
    <m/>
    <m/>
    <n v="1"/>
    <m/>
    <m/>
    <m/>
    <m/>
    <n v="1"/>
    <s v="N"/>
    <n v="1"/>
    <m/>
    <n v="1"/>
    <m/>
    <m/>
    <m/>
    <m/>
    <m/>
    <n v="2"/>
    <n v="1"/>
    <n v="0"/>
    <n v="1"/>
    <n v="-1"/>
    <n v="0"/>
    <n v="0"/>
    <n v="0"/>
    <n v="0"/>
    <n v="1"/>
    <x v="1"/>
    <m/>
    <n v="0.25"/>
    <n v="0.25"/>
    <n v="0.25"/>
    <n v="0.25"/>
    <m/>
    <m/>
    <m/>
    <m/>
    <m/>
    <m/>
    <m/>
    <m/>
    <m/>
    <m/>
    <m/>
    <m/>
    <n v="1"/>
    <n v="1"/>
    <s v="N"/>
    <s v="N"/>
    <s v="N"/>
    <n v="516676"/>
    <n v="173608"/>
    <x v="4"/>
    <x v="6"/>
    <x v="0"/>
    <x v="0"/>
    <m/>
    <x v="1"/>
    <x v="0"/>
    <s v="CA8 Twickenham Riverside"/>
    <x v="1"/>
    <s v="Y"/>
    <x v="4"/>
    <x v="0"/>
  </r>
  <r>
    <s v="23/0197/FUL"/>
    <x v="0"/>
    <x v="0"/>
    <x v="225"/>
    <d v="2026-06-14T00:00:00"/>
    <m/>
    <m/>
    <x v="2"/>
    <x v="0"/>
    <x v="0"/>
    <m/>
    <x v="3"/>
    <s v="Demolition of existing detached house and erection of new detached house containing 5 bedrooms"/>
    <s v="64 Ormond Avenue, Hampton TW12 2RX_x000a_"/>
    <s v="TW12 2RX"/>
    <m/>
    <m/>
    <m/>
    <n v="1"/>
    <m/>
    <m/>
    <m/>
    <m/>
    <m/>
    <n v="1"/>
    <s v="N"/>
    <m/>
    <m/>
    <m/>
    <m/>
    <n v="1"/>
    <m/>
    <m/>
    <m/>
    <n v="1"/>
    <n v="0"/>
    <n v="0"/>
    <n v="-1"/>
    <n v="0"/>
    <n v="1"/>
    <n v="0"/>
    <n v="0"/>
    <n v="0"/>
    <n v="0"/>
    <x v="1"/>
    <m/>
    <n v="0"/>
    <m/>
    <m/>
    <m/>
    <m/>
    <m/>
    <m/>
    <m/>
    <m/>
    <m/>
    <m/>
    <m/>
    <m/>
    <m/>
    <m/>
    <m/>
    <n v="0"/>
    <n v="0"/>
    <s v="N"/>
    <s v="N"/>
    <s v="N"/>
    <n v="513713"/>
    <n v="169858"/>
    <x v="1"/>
    <x v="2"/>
    <x v="0"/>
    <x v="0"/>
    <m/>
    <x v="1"/>
    <x v="0"/>
    <m/>
    <x v="0"/>
    <s v="Y"/>
    <x v="1"/>
    <x v="0"/>
  </r>
  <r>
    <s v="23/0260/FUL"/>
    <x v="0"/>
    <x v="0"/>
    <x v="226"/>
    <d v="2027-02-01T00:00:00"/>
    <m/>
    <m/>
    <x v="2"/>
    <x v="2"/>
    <x v="0"/>
    <m/>
    <x v="3"/>
    <s v="The erection of 7 part single, part two-storey residential dwellings; 8 car parking spaces (including 1 disabled parking space); landscaping incorporating communal amenity space and ecological enhancement area; secure cycle and refuse storage."/>
    <s v="The Mereway Centre, Mereway Road, Twickenham_x000a__x000a_"/>
    <s v="TW2"/>
    <m/>
    <m/>
    <m/>
    <m/>
    <m/>
    <m/>
    <m/>
    <m/>
    <m/>
    <n v="0"/>
    <s v="Y"/>
    <m/>
    <m/>
    <n v="4"/>
    <n v="3"/>
    <m/>
    <m/>
    <m/>
    <m/>
    <n v="7"/>
    <n v="0"/>
    <n v="0"/>
    <n v="4"/>
    <n v="3"/>
    <n v="0"/>
    <n v="0"/>
    <n v="0"/>
    <n v="0"/>
    <n v="7"/>
    <x v="1"/>
    <m/>
    <m/>
    <n v="7"/>
    <m/>
    <m/>
    <m/>
    <m/>
    <m/>
    <m/>
    <m/>
    <m/>
    <m/>
    <m/>
    <m/>
    <m/>
    <m/>
    <m/>
    <n v="7"/>
    <n v="7"/>
    <s v="N"/>
    <s v="N"/>
    <s v="N"/>
    <n v="515032"/>
    <n v="173280"/>
    <x v="4"/>
    <x v="7"/>
    <x v="0"/>
    <x v="0"/>
    <m/>
    <x v="1"/>
    <x v="0"/>
    <m/>
    <x v="0"/>
    <s v="Y"/>
    <x v="4"/>
    <x v="0"/>
  </r>
  <r>
    <s v="23/0328/FUL"/>
    <x v="0"/>
    <x v="0"/>
    <x v="227"/>
    <d v="2026-08-15T00:00:00"/>
    <m/>
    <m/>
    <x v="2"/>
    <x v="0"/>
    <x v="0"/>
    <m/>
    <x v="3"/>
    <s v="Erection of a terrace of three, three-bedroom townhouses and associated parking, access and landscaping on a 26-space private car park"/>
    <s v="Car Park Adjacent Elfin Works, Elfin Grove, Teddington_x000a__x000a_"/>
    <s v="TW11 8RD"/>
    <m/>
    <m/>
    <m/>
    <m/>
    <m/>
    <m/>
    <m/>
    <m/>
    <m/>
    <n v="0"/>
    <s v="N"/>
    <m/>
    <m/>
    <n v="3"/>
    <m/>
    <m/>
    <m/>
    <m/>
    <m/>
    <n v="3"/>
    <n v="0"/>
    <n v="0"/>
    <n v="3"/>
    <n v="0"/>
    <n v="0"/>
    <n v="0"/>
    <n v="0"/>
    <n v="0"/>
    <n v="3"/>
    <x v="1"/>
    <m/>
    <n v="0.75"/>
    <n v="0.75"/>
    <n v="0.75"/>
    <n v="0.75"/>
    <m/>
    <m/>
    <m/>
    <m/>
    <m/>
    <m/>
    <m/>
    <m/>
    <m/>
    <m/>
    <m/>
    <m/>
    <n v="3"/>
    <n v="3"/>
    <s v="N"/>
    <s v="N"/>
    <s v="N"/>
    <n v="515674"/>
    <n v="171025"/>
    <x v="1"/>
    <x v="16"/>
    <x v="4"/>
    <x v="0"/>
    <m/>
    <x v="1"/>
    <x v="0"/>
    <m/>
    <x v="0"/>
    <s v="Y"/>
    <x v="6"/>
    <x v="0"/>
  </r>
  <r>
    <s v="23/0970/FUL"/>
    <x v="1"/>
    <x v="0"/>
    <x v="228"/>
    <d v="2026-07-04T00:00:00"/>
    <m/>
    <m/>
    <x v="2"/>
    <x v="0"/>
    <x v="0"/>
    <m/>
    <x v="3"/>
    <s v="Change of use of second floor staff flat to ancillary office space and staff rest space to the use class F1(a) education use._x000d_"/>
    <s v="30 Cumberland Road, Kew_x000a__x000a_"/>
    <s v="TW9 3HQ"/>
    <m/>
    <n v="1"/>
    <m/>
    <m/>
    <m/>
    <m/>
    <m/>
    <m/>
    <m/>
    <n v="1"/>
    <m/>
    <m/>
    <m/>
    <m/>
    <m/>
    <m/>
    <m/>
    <m/>
    <m/>
    <n v="0"/>
    <n v="-1"/>
    <n v="0"/>
    <n v="0"/>
    <n v="0"/>
    <n v="0"/>
    <n v="0"/>
    <n v="0"/>
    <n v="0"/>
    <n v="-1"/>
    <x v="1"/>
    <m/>
    <n v="-0.25"/>
    <n v="-0.25"/>
    <n v="-0.25"/>
    <n v="-0.25"/>
    <m/>
    <m/>
    <m/>
    <m/>
    <m/>
    <m/>
    <m/>
    <m/>
    <m/>
    <m/>
    <m/>
    <m/>
    <n v="-1"/>
    <n v="-1"/>
    <m/>
    <m/>
    <m/>
    <n v="519234"/>
    <n v="177167"/>
    <x v="5"/>
    <x v="15"/>
    <x v="0"/>
    <x v="0"/>
    <m/>
    <x v="1"/>
    <x v="0"/>
    <s v="CA15 Kew Gardens"/>
    <x v="1"/>
    <s v="Y"/>
    <x v="8"/>
    <x v="2"/>
  </r>
  <r>
    <s v="23/0977/FUL"/>
    <x v="2"/>
    <x v="0"/>
    <x v="229"/>
    <d v="2027-01-24T00:00:00"/>
    <d v="2024-04-01T00:00:00"/>
    <m/>
    <x v="2"/>
    <x v="0"/>
    <x v="0"/>
    <m/>
    <x v="3"/>
    <s v="Proposed flat conversion to split into 2, 2-bed flats."/>
    <s v="148A Heath Road, Twickenham TW1 4BN_x000a_"/>
    <s v="TW1 4BN"/>
    <m/>
    <m/>
    <m/>
    <m/>
    <n v="1"/>
    <m/>
    <m/>
    <m/>
    <m/>
    <n v="1"/>
    <s v="N"/>
    <m/>
    <n v="2"/>
    <m/>
    <m/>
    <m/>
    <m/>
    <m/>
    <m/>
    <n v="2"/>
    <n v="0"/>
    <n v="2"/>
    <n v="0"/>
    <n v="-1"/>
    <n v="0"/>
    <n v="0"/>
    <n v="0"/>
    <n v="0"/>
    <n v="1"/>
    <x v="1"/>
    <m/>
    <n v="1"/>
    <m/>
    <m/>
    <m/>
    <m/>
    <m/>
    <m/>
    <m/>
    <m/>
    <m/>
    <m/>
    <m/>
    <m/>
    <m/>
    <m/>
    <m/>
    <n v="1"/>
    <n v="1"/>
    <s v="N"/>
    <s v="N"/>
    <s v="N"/>
    <n v="515669"/>
    <n v="173146"/>
    <x v="4"/>
    <x v="7"/>
    <x v="3"/>
    <x v="0"/>
    <m/>
    <x v="1"/>
    <x v="0"/>
    <m/>
    <x v="0"/>
    <s v="Y"/>
    <x v="4"/>
    <x v="0"/>
  </r>
  <r>
    <s v="23/1060/FUL"/>
    <x v="1"/>
    <x v="0"/>
    <x v="230"/>
    <d v="2026-07-05T00:00:00"/>
    <m/>
    <m/>
    <x v="2"/>
    <x v="0"/>
    <x v="0"/>
    <m/>
    <x v="3"/>
    <s v="Use of Second Floor of 24-26 Cumberland Road (staff flat) for education purposes Class F1[a]."/>
    <s v="Kew College_x000a_24 Cumberland Road_x000a_Kew_x000a_Richmond_x000a_TW9 3HQ_x000a_"/>
    <s v="TW9 3HQ"/>
    <m/>
    <n v="1"/>
    <m/>
    <m/>
    <m/>
    <m/>
    <m/>
    <m/>
    <m/>
    <n v="1"/>
    <m/>
    <m/>
    <m/>
    <m/>
    <m/>
    <m/>
    <m/>
    <m/>
    <m/>
    <n v="0"/>
    <n v="-1"/>
    <n v="0"/>
    <n v="0"/>
    <n v="0"/>
    <n v="0"/>
    <n v="0"/>
    <n v="0"/>
    <n v="0"/>
    <n v="-1"/>
    <x v="1"/>
    <m/>
    <n v="-0.25"/>
    <n v="-0.25"/>
    <n v="-0.25"/>
    <n v="-0.25"/>
    <m/>
    <m/>
    <m/>
    <m/>
    <m/>
    <m/>
    <m/>
    <m/>
    <m/>
    <m/>
    <m/>
    <m/>
    <n v="-1"/>
    <n v="-1"/>
    <m/>
    <m/>
    <m/>
    <n v="519219"/>
    <n v="177132"/>
    <x v="5"/>
    <x v="15"/>
    <x v="0"/>
    <x v="0"/>
    <m/>
    <x v="1"/>
    <x v="0"/>
    <s v="CA15 Kew Gardens"/>
    <x v="1"/>
    <s v="Y"/>
    <x v="8"/>
    <x v="2"/>
  </r>
  <r>
    <s v="23/1127/FUL"/>
    <x v="0"/>
    <x v="0"/>
    <x v="231"/>
    <d v="2027-01-26T00:00:00"/>
    <m/>
    <m/>
    <x v="2"/>
    <x v="0"/>
    <x v="0"/>
    <m/>
    <x v="3"/>
    <s v="Demolition of existing dwelling and construction of 2no. semi detached dwellings and associated parking and landscaping."/>
    <s v="6 Wensleydale Road, Hampton TW12 2LW_x000a_"/>
    <s v="TW12 2LW"/>
    <m/>
    <m/>
    <m/>
    <n v="1"/>
    <m/>
    <m/>
    <m/>
    <m/>
    <m/>
    <n v="1"/>
    <s v="N"/>
    <m/>
    <m/>
    <n v="2"/>
    <m/>
    <m/>
    <m/>
    <m/>
    <m/>
    <n v="2"/>
    <n v="0"/>
    <n v="0"/>
    <n v="1"/>
    <n v="0"/>
    <n v="0"/>
    <n v="0"/>
    <n v="0"/>
    <n v="0"/>
    <n v="1"/>
    <x v="1"/>
    <m/>
    <n v="0.25"/>
    <n v="0.25"/>
    <n v="0.25"/>
    <n v="0.25"/>
    <m/>
    <m/>
    <m/>
    <m/>
    <m/>
    <m/>
    <m/>
    <m/>
    <m/>
    <m/>
    <m/>
    <m/>
    <n v="1"/>
    <n v="1"/>
    <s v="N"/>
    <s v="N"/>
    <s v="N"/>
    <n v="513473"/>
    <n v="169912"/>
    <x v="1"/>
    <x v="2"/>
    <x v="0"/>
    <x v="0"/>
    <m/>
    <x v="1"/>
    <x v="0"/>
    <m/>
    <x v="0"/>
    <s v="Y"/>
    <x v="1"/>
    <x v="0"/>
  </r>
  <r>
    <s v="23/1413/GPH01"/>
    <x v="3"/>
    <x v="0"/>
    <x v="59"/>
    <d v="2026-07-17T00:00:00"/>
    <m/>
    <m/>
    <x v="2"/>
    <x v="0"/>
    <x v="0"/>
    <m/>
    <x v="3"/>
    <s v="Construction of an additional storey containing 3no. flats immediately above the existing topmost residential storey, and recreation of the existing roof shape; addition of 2no. off-street parking spaces along with secure bike and bin storage."/>
    <s v="Heritage House, 145 London Road, Twickenham_x000a__x000a_"/>
    <s v="TW1 1EF"/>
    <m/>
    <m/>
    <m/>
    <m/>
    <m/>
    <m/>
    <m/>
    <m/>
    <m/>
    <n v="0"/>
    <s v="N"/>
    <n v="3"/>
    <m/>
    <m/>
    <m/>
    <m/>
    <m/>
    <m/>
    <m/>
    <n v="3"/>
    <n v="3"/>
    <n v="0"/>
    <n v="0"/>
    <n v="0"/>
    <n v="0"/>
    <n v="0"/>
    <n v="0"/>
    <n v="0"/>
    <n v="3"/>
    <x v="1"/>
    <m/>
    <n v="0.75"/>
    <n v="0.75"/>
    <n v="0.75"/>
    <n v="0.75"/>
    <m/>
    <m/>
    <m/>
    <m/>
    <m/>
    <m/>
    <m/>
    <m/>
    <m/>
    <m/>
    <m/>
    <m/>
    <n v="3"/>
    <n v="3"/>
    <s v="N"/>
    <s v="N"/>
    <s v="N"/>
    <n v="516098"/>
    <n v="173924"/>
    <x v="4"/>
    <x v="5"/>
    <x v="0"/>
    <x v="0"/>
    <m/>
    <x v="1"/>
    <x v="0"/>
    <m/>
    <x v="0"/>
    <s v="Y"/>
    <x v="4"/>
    <x v="0"/>
  </r>
  <r>
    <s v="23/1487/FUL"/>
    <x v="1"/>
    <x v="0"/>
    <x v="232"/>
    <d v="2026-08-18T00:00:00"/>
    <m/>
    <m/>
    <x v="2"/>
    <x v="0"/>
    <x v="0"/>
    <m/>
    <x v="3"/>
    <s v="Change of use from C3 single dwelling to C2 children's care home"/>
    <s v="1A School Lane, Kingston Upon Thames KT1 4DF_x000a_"/>
    <s v="KT1 4DF"/>
    <m/>
    <m/>
    <m/>
    <n v="1"/>
    <m/>
    <m/>
    <m/>
    <m/>
    <m/>
    <n v="1"/>
    <m/>
    <m/>
    <m/>
    <m/>
    <m/>
    <m/>
    <m/>
    <m/>
    <m/>
    <n v="0"/>
    <n v="0"/>
    <n v="0"/>
    <n v="-1"/>
    <n v="0"/>
    <n v="0"/>
    <n v="0"/>
    <n v="0"/>
    <n v="0"/>
    <n v="-1"/>
    <x v="1"/>
    <m/>
    <n v="-0.25"/>
    <n v="-0.25"/>
    <n v="-0.25"/>
    <n v="-0.25"/>
    <m/>
    <m/>
    <m/>
    <m/>
    <m/>
    <m/>
    <m/>
    <m/>
    <m/>
    <m/>
    <m/>
    <m/>
    <n v="-1"/>
    <n v="-1"/>
    <m/>
    <m/>
    <m/>
    <n v="517435"/>
    <n v="169618"/>
    <x v="1"/>
    <x v="11"/>
    <x v="0"/>
    <x v="0"/>
    <m/>
    <x v="1"/>
    <x v="0"/>
    <s v="CA18 Hampton Wick"/>
    <x v="1"/>
    <s v="Y"/>
    <x v="6"/>
    <x v="2"/>
  </r>
  <r>
    <s v="23/1615/GPD26"/>
    <x v="1"/>
    <x v="1"/>
    <x v="233"/>
    <d v="2026-08-14T00:00:00"/>
    <m/>
    <m/>
    <x v="2"/>
    <x v="0"/>
    <x v="0"/>
    <m/>
    <x v="3"/>
    <s v="Conversion of existing ground floor offices (Class E) to residential (class C3). Retention of existing rear garden including secure cycle storage unit and recycling bin area."/>
    <s v="15 Nelson Road, Twickenham TW2 7AR_x000a_"/>
    <s v="TW2 7AR"/>
    <m/>
    <m/>
    <m/>
    <m/>
    <m/>
    <m/>
    <m/>
    <m/>
    <m/>
    <n v="0"/>
    <s v="N"/>
    <n v="1"/>
    <m/>
    <m/>
    <m/>
    <m/>
    <m/>
    <m/>
    <m/>
    <n v="1"/>
    <n v="1"/>
    <n v="0"/>
    <n v="0"/>
    <n v="0"/>
    <n v="0"/>
    <n v="0"/>
    <n v="0"/>
    <n v="0"/>
    <n v="1"/>
    <x v="1"/>
    <m/>
    <m/>
    <n v="1"/>
    <m/>
    <m/>
    <m/>
    <m/>
    <m/>
    <m/>
    <m/>
    <m/>
    <m/>
    <m/>
    <m/>
    <m/>
    <m/>
    <m/>
    <n v="1"/>
    <n v="1"/>
    <s v="N"/>
    <s v="N"/>
    <s v="N"/>
    <n v="514480"/>
    <n v="174190"/>
    <x v="0"/>
    <x v="13"/>
    <x v="0"/>
    <x v="0"/>
    <m/>
    <x v="1"/>
    <x v="0"/>
    <m/>
    <x v="0"/>
    <s v="Y"/>
    <x v="0"/>
    <x v="0"/>
  </r>
  <r>
    <s v="23/1618/GPD26"/>
    <x v="1"/>
    <x v="1"/>
    <x v="234"/>
    <d v="2026-07-28T00:00:00"/>
    <m/>
    <m/>
    <x v="2"/>
    <x v="0"/>
    <x v="0"/>
    <m/>
    <x v="3"/>
    <s v="Conversion of office space into a single dwelling with associated cycle parking and refuse and recycling provision."/>
    <s v="Station Point, 121 Sandycombe Road, Richmond_x000a__x000a_"/>
    <s v="TW9 2AD"/>
    <m/>
    <m/>
    <m/>
    <m/>
    <m/>
    <m/>
    <m/>
    <m/>
    <m/>
    <n v="0"/>
    <s v="N"/>
    <m/>
    <n v="1"/>
    <m/>
    <m/>
    <m/>
    <m/>
    <m/>
    <m/>
    <n v="1"/>
    <n v="0"/>
    <n v="1"/>
    <n v="0"/>
    <n v="0"/>
    <n v="0"/>
    <n v="0"/>
    <n v="0"/>
    <n v="0"/>
    <n v="1"/>
    <x v="1"/>
    <m/>
    <m/>
    <n v="1"/>
    <m/>
    <m/>
    <m/>
    <m/>
    <m/>
    <m/>
    <m/>
    <m/>
    <m/>
    <m/>
    <m/>
    <m/>
    <m/>
    <m/>
    <n v="1"/>
    <n v="1"/>
    <s v="N"/>
    <s v="N"/>
    <s v="N"/>
    <n v="519074"/>
    <n v="176044"/>
    <x v="5"/>
    <x v="15"/>
    <x v="0"/>
    <x v="0"/>
    <m/>
    <x v="1"/>
    <x v="0"/>
    <m/>
    <x v="0"/>
    <s v="Y"/>
    <x v="8"/>
    <x v="0"/>
  </r>
  <r>
    <s v="23/1869/FUL"/>
    <x v="2"/>
    <x v="0"/>
    <x v="235"/>
    <d v="2027-01-16T00:00:00"/>
    <m/>
    <m/>
    <x v="2"/>
    <x v="0"/>
    <x v="0"/>
    <m/>
    <x v="3"/>
    <s v="The subdivision of a two-storey maisonette flat into two separate flats and loft extension to the third flat including a flat roof dormer to the rear."/>
    <s v="391 Upper Richmond Road West_x000a_East Sheen_x000a_London_x000a_SW14 7NX_x000a_"/>
    <s v="SW14 7NX"/>
    <m/>
    <m/>
    <m/>
    <n v="1"/>
    <m/>
    <m/>
    <m/>
    <m/>
    <m/>
    <n v="1"/>
    <s v="N"/>
    <n v="3"/>
    <m/>
    <m/>
    <m/>
    <m/>
    <m/>
    <m/>
    <m/>
    <n v="3"/>
    <n v="3"/>
    <n v="0"/>
    <n v="-1"/>
    <n v="0"/>
    <n v="0"/>
    <n v="0"/>
    <n v="0"/>
    <n v="0"/>
    <n v="2"/>
    <x v="1"/>
    <m/>
    <n v="0.5"/>
    <n v="0.5"/>
    <n v="0.5"/>
    <n v="0.5"/>
    <m/>
    <m/>
    <m/>
    <m/>
    <m/>
    <m/>
    <m/>
    <m/>
    <m/>
    <m/>
    <m/>
    <m/>
    <n v="2"/>
    <n v="2"/>
    <s v="N"/>
    <s v="N"/>
    <s v="N"/>
    <n v="520411"/>
    <n v="175345"/>
    <x v="3"/>
    <x v="12"/>
    <x v="2"/>
    <x v="0"/>
    <m/>
    <x v="1"/>
    <x v="0"/>
    <m/>
    <x v="0"/>
    <s v="Y"/>
    <x v="7"/>
    <x v="0"/>
  </r>
  <r>
    <s v="23/2244/FUL"/>
    <x v="0"/>
    <x v="0"/>
    <x v="136"/>
    <d v="2026-12-21T00:00:00"/>
    <m/>
    <m/>
    <x v="2"/>
    <x v="0"/>
    <x v="0"/>
    <m/>
    <x v="3"/>
    <s v="Demolition of the existing detached two-storey dwelling house with accommodation in the roofspace and existing attached single-storey garage and outbuildings, and their replacement with a pair of semi-detached two-storey dwelling houses with associated of"/>
    <s v="233 Nelson Road_x000a_Twickenham_x000a_TW2 7BQ_x000a_"/>
    <s v="TW2 7BQ"/>
    <m/>
    <m/>
    <m/>
    <m/>
    <n v="1"/>
    <m/>
    <m/>
    <m/>
    <m/>
    <n v="1"/>
    <s v="N"/>
    <m/>
    <m/>
    <n v="2"/>
    <m/>
    <m/>
    <m/>
    <m/>
    <m/>
    <n v="2"/>
    <n v="0"/>
    <n v="0"/>
    <n v="2"/>
    <n v="-1"/>
    <n v="0"/>
    <n v="0"/>
    <n v="0"/>
    <n v="0"/>
    <n v="1"/>
    <x v="1"/>
    <m/>
    <n v="0.25"/>
    <n v="0.25"/>
    <n v="0.25"/>
    <n v="0.25"/>
    <m/>
    <m/>
    <m/>
    <m/>
    <m/>
    <m/>
    <m/>
    <m/>
    <m/>
    <m/>
    <m/>
    <m/>
    <n v="1"/>
    <n v="1"/>
    <s v="N"/>
    <s v="N"/>
    <s v="N"/>
    <n v="513815"/>
    <n v="173889"/>
    <x v="0"/>
    <x v="13"/>
    <x v="0"/>
    <x v="0"/>
    <m/>
    <x v="1"/>
    <x v="0"/>
    <m/>
    <x v="0"/>
    <s v="Y"/>
    <x v="0"/>
    <x v="0"/>
  </r>
  <r>
    <s v="23/2413/FUL"/>
    <x v="0"/>
    <x v="0"/>
    <x v="236"/>
    <d v="2027-03-13T00:00:00"/>
    <m/>
    <m/>
    <x v="2"/>
    <x v="0"/>
    <x v="0"/>
    <m/>
    <x v="3"/>
    <s v="Demolition of existing outbuilding. Erection of side/rear extension to create office floorspace and 1 x 2 bed flat with associated landscaping, cycle and refuse storage facilities."/>
    <s v="53 Sheen Lane_x000d_East Sheen_x000d_London_x000d_SW14 8AB"/>
    <s v="SW14 8AB"/>
    <m/>
    <m/>
    <m/>
    <m/>
    <m/>
    <m/>
    <m/>
    <m/>
    <m/>
    <n v="0"/>
    <s v="N"/>
    <m/>
    <n v="1"/>
    <m/>
    <m/>
    <m/>
    <m/>
    <m/>
    <m/>
    <n v="1"/>
    <n v="0"/>
    <n v="1"/>
    <n v="0"/>
    <n v="0"/>
    <n v="0"/>
    <n v="0"/>
    <n v="0"/>
    <n v="0"/>
    <n v="1"/>
    <x v="1"/>
    <m/>
    <n v="0.25"/>
    <n v="0.25"/>
    <n v="0.25"/>
    <n v="0.25"/>
    <m/>
    <m/>
    <m/>
    <m/>
    <m/>
    <m/>
    <m/>
    <m/>
    <m/>
    <m/>
    <m/>
    <m/>
    <n v="1"/>
    <n v="1"/>
    <s v="N"/>
    <s v="N"/>
    <s v="N"/>
    <n v="520508"/>
    <n v="175676"/>
    <x v="3"/>
    <x v="12"/>
    <x v="2"/>
    <x v="0"/>
    <m/>
    <x v="1"/>
    <x v="0"/>
    <s v="CA70 Sheen Lane Mortlake"/>
    <x v="1"/>
    <s v="Y"/>
    <x v="7"/>
    <x v="0"/>
  </r>
  <r>
    <s v="23/2490/FUL"/>
    <x v="0"/>
    <x v="0"/>
    <x v="229"/>
    <d v="2027-01-24T00:00:00"/>
    <m/>
    <m/>
    <x v="2"/>
    <x v="0"/>
    <x v="0"/>
    <m/>
    <x v="3"/>
    <s v="Demolition of Existing Bungalow and the Erection of a Replacement Dwelling"/>
    <s v="84A Hampton Road, Twickenham TW2 5QS_x000a_"/>
    <s v="TW2 5QS"/>
    <m/>
    <m/>
    <m/>
    <n v="1"/>
    <m/>
    <m/>
    <m/>
    <m/>
    <m/>
    <n v="1"/>
    <s v="N"/>
    <m/>
    <m/>
    <m/>
    <n v="1"/>
    <m/>
    <m/>
    <m/>
    <m/>
    <n v="1"/>
    <n v="0"/>
    <n v="0"/>
    <n v="-1"/>
    <n v="1"/>
    <n v="0"/>
    <n v="0"/>
    <n v="0"/>
    <n v="0"/>
    <n v="0"/>
    <x v="1"/>
    <m/>
    <n v="0"/>
    <m/>
    <m/>
    <m/>
    <m/>
    <m/>
    <m/>
    <m/>
    <m/>
    <m/>
    <m/>
    <m/>
    <m/>
    <m/>
    <m/>
    <m/>
    <n v="0"/>
    <n v="0"/>
    <s v="N"/>
    <s v="N"/>
    <s v="N"/>
    <n v="514998"/>
    <n v="172653"/>
    <x v="4"/>
    <x v="17"/>
    <x v="0"/>
    <x v="0"/>
    <m/>
    <x v="1"/>
    <x v="0"/>
    <m/>
    <x v="0"/>
    <s v="Y"/>
    <x v="4"/>
    <x v="0"/>
  </r>
  <r>
    <s v="23/2673/FUL"/>
    <x v="2"/>
    <x v="0"/>
    <x v="237"/>
    <d v="2026-12-14T00:00:00"/>
    <m/>
    <m/>
    <x v="2"/>
    <x v="0"/>
    <x v="0"/>
    <m/>
    <x v="3"/>
    <s v="Subdivision of two bed flat to two 1 bed flats with associated refuse storage and cycle parking."/>
    <s v="28 Hill Street, Richmond TW9 1TW"/>
    <s v="TW9 1TW"/>
    <m/>
    <m/>
    <n v="1"/>
    <m/>
    <m/>
    <m/>
    <m/>
    <m/>
    <m/>
    <n v="1"/>
    <s v="N"/>
    <n v="2"/>
    <m/>
    <m/>
    <m/>
    <m/>
    <m/>
    <m/>
    <m/>
    <n v="2"/>
    <n v="2"/>
    <n v="-1"/>
    <n v="0"/>
    <n v="0"/>
    <n v="0"/>
    <n v="0"/>
    <n v="0"/>
    <n v="0"/>
    <n v="1"/>
    <x v="1"/>
    <m/>
    <n v="0.25"/>
    <n v="0.25"/>
    <n v="0.25"/>
    <n v="0.25"/>
    <m/>
    <m/>
    <m/>
    <m/>
    <m/>
    <m/>
    <m/>
    <m/>
    <m/>
    <m/>
    <m/>
    <m/>
    <n v="1"/>
    <n v="1"/>
    <s v="N"/>
    <s v="N"/>
    <s v="N"/>
    <n v="517804"/>
    <n v="174681"/>
    <x v="5"/>
    <x v="10"/>
    <x v="1"/>
    <x v="0"/>
    <m/>
    <x v="1"/>
    <x v="0"/>
    <s v="CA17 Central Richmond"/>
    <x v="1"/>
    <s v="Y"/>
    <x v="5"/>
    <x v="0"/>
  </r>
  <r>
    <s v="23/2729/FUL"/>
    <x v="2"/>
    <x v="0"/>
    <x v="238"/>
    <d v="2027-03-08T00:00:00"/>
    <m/>
    <m/>
    <x v="2"/>
    <x v="0"/>
    <x v="0"/>
    <m/>
    <x v="3"/>
    <s v="Proposed amalgamation of the first floor studio flat and second floor x1 bedroom self contained flats to form 1 x 2-bedroom self contained flat."/>
    <s v="53 St Margarets Road_x000d_Twickenham_x000d_TW1 2LL_x000d_"/>
    <s v="TW1 2LL"/>
    <m/>
    <n v="2"/>
    <m/>
    <m/>
    <m/>
    <m/>
    <m/>
    <m/>
    <m/>
    <n v="2"/>
    <s v="N"/>
    <m/>
    <n v="1"/>
    <m/>
    <m/>
    <m/>
    <m/>
    <m/>
    <m/>
    <n v="1"/>
    <n v="-2"/>
    <n v="1"/>
    <n v="0"/>
    <n v="0"/>
    <n v="0"/>
    <n v="0"/>
    <n v="0"/>
    <n v="0"/>
    <n v="-1"/>
    <x v="1"/>
    <m/>
    <n v="-0.25"/>
    <n v="-0.25"/>
    <n v="-0.25"/>
    <n v="-0.25"/>
    <m/>
    <m/>
    <m/>
    <m/>
    <m/>
    <m/>
    <m/>
    <m/>
    <m/>
    <m/>
    <m/>
    <m/>
    <n v="-1"/>
    <n v="-1"/>
    <s v="N"/>
    <s v="N"/>
    <s v="N"/>
    <n v="517170"/>
    <n v="174144"/>
    <x v="4"/>
    <x v="6"/>
    <x v="0"/>
    <x v="0"/>
    <m/>
    <x v="1"/>
    <x v="0"/>
    <m/>
    <x v="0"/>
    <s v="Y"/>
    <x v="4"/>
    <x v="0"/>
  </r>
  <r>
    <s v="24/0264/GPD26"/>
    <x v="1"/>
    <x v="1"/>
    <x v="239"/>
    <d v="2027-03-25T00:00:00"/>
    <m/>
    <m/>
    <x v="2"/>
    <x v="0"/>
    <x v="0"/>
    <m/>
    <x v="3"/>
    <s v="Change of use of part of the ground floor from commercial (use class E) to a single residential dwelling (use class C3)."/>
    <s v="137 Percy Road, Twickenham TW2 6HU_x000a_"/>
    <s v="TW2 6HU"/>
    <m/>
    <m/>
    <m/>
    <m/>
    <m/>
    <m/>
    <m/>
    <m/>
    <m/>
    <m/>
    <s v="N"/>
    <n v="1"/>
    <m/>
    <m/>
    <m/>
    <m/>
    <m/>
    <m/>
    <m/>
    <n v="1"/>
    <n v="1"/>
    <n v="0"/>
    <n v="0"/>
    <n v="0"/>
    <n v="0"/>
    <n v="0"/>
    <n v="0"/>
    <n v="0"/>
    <n v="1"/>
    <x v="1"/>
    <m/>
    <m/>
    <m/>
    <n v="1"/>
    <m/>
    <m/>
    <m/>
    <m/>
    <m/>
    <m/>
    <m/>
    <m/>
    <m/>
    <m/>
    <m/>
    <m/>
    <m/>
    <n v="1"/>
    <n v="1"/>
    <s v="N"/>
    <s v="N"/>
    <s v="N"/>
    <n v="514200"/>
    <n v="173509"/>
    <x v="0"/>
    <x v="0"/>
    <x v="5"/>
    <x v="0"/>
    <m/>
    <x v="1"/>
    <x v="0"/>
    <m/>
    <x v="0"/>
    <s v="Y"/>
    <x v="0"/>
    <x v="0"/>
  </r>
  <r>
    <s v="21/1864/FUL"/>
    <x v="2"/>
    <x v="0"/>
    <x v="240"/>
    <d v="2025-03-31T00:00:00"/>
    <m/>
    <m/>
    <x v="2"/>
    <x v="0"/>
    <x v="0"/>
    <m/>
    <x v="3"/>
    <s v="Extension of existing house and reversion of two (33 and 35) plots into one and associated hard and soft landscaping"/>
    <s v="33 Ham Farm Road, Ham, Richmond TW10 5NA"/>
    <s v="TW10 5NA"/>
    <m/>
    <n v="1"/>
    <n v="1"/>
    <m/>
    <m/>
    <m/>
    <m/>
    <m/>
    <m/>
    <n v="2"/>
    <m/>
    <m/>
    <m/>
    <m/>
    <n v="1"/>
    <m/>
    <m/>
    <m/>
    <m/>
    <n v="1"/>
    <n v="-1"/>
    <n v="-1"/>
    <n v="0"/>
    <n v="1"/>
    <n v="0"/>
    <n v="0"/>
    <n v="0"/>
    <n v="0"/>
    <n v="-1"/>
    <x v="1"/>
    <m/>
    <m/>
    <n v="-0.5"/>
    <n v="-0.5"/>
    <m/>
    <m/>
    <m/>
    <m/>
    <m/>
    <m/>
    <m/>
    <m/>
    <m/>
    <m/>
    <m/>
    <m/>
    <m/>
    <n v="-1"/>
    <n v="-1"/>
    <s v="N"/>
    <s v="N"/>
    <s v="N"/>
    <n v="518104"/>
    <n v="171628"/>
    <x v="2"/>
    <x v="3"/>
    <x v="6"/>
    <x v="2"/>
    <e v="#N/A"/>
    <x v="1"/>
    <x v="6"/>
    <e v="#N/A"/>
    <x v="0"/>
    <e v="#N/A"/>
    <x v="2"/>
    <x v="0"/>
  </r>
  <r>
    <s v="Site Allocation"/>
    <x v="0"/>
    <x v="0"/>
    <x v="241"/>
    <m/>
    <m/>
    <m/>
    <x v="3"/>
    <x v="8"/>
    <x v="2"/>
    <m/>
    <x v="3"/>
    <m/>
    <s v="Sainsbury’s, Manor Road"/>
    <m/>
    <m/>
    <m/>
    <m/>
    <m/>
    <m/>
    <m/>
    <m/>
    <m/>
    <m/>
    <m/>
    <m/>
    <m/>
    <m/>
    <m/>
    <m/>
    <m/>
    <m/>
    <m/>
    <m/>
    <n v="250"/>
    <n v="0"/>
    <n v="0"/>
    <n v="0"/>
    <n v="0"/>
    <n v="0"/>
    <n v="0"/>
    <n v="0"/>
    <n v="0"/>
    <n v="250"/>
    <x v="0"/>
    <m/>
    <m/>
    <m/>
    <m/>
    <m/>
    <m/>
    <n v="50"/>
    <n v="50"/>
    <n v="50"/>
    <n v="50"/>
    <n v="50"/>
    <m/>
    <m/>
    <m/>
    <m/>
    <m/>
    <m/>
    <n v="0"/>
    <n v="250"/>
    <m/>
    <m/>
    <m/>
    <n v="519125"/>
    <n v="175579"/>
    <x v="5"/>
    <x v="8"/>
    <x v="6"/>
    <x v="2"/>
    <e v="#N/A"/>
    <x v="1"/>
    <x v="6"/>
    <e v="#N/A"/>
    <x v="0"/>
    <e v="#N/A"/>
    <x v="5"/>
    <x v="2"/>
  </r>
  <r>
    <s v="Site Allocation"/>
    <x v="4"/>
    <x v="0"/>
    <x v="241"/>
    <m/>
    <m/>
    <m/>
    <x v="3"/>
    <x v="8"/>
    <x v="3"/>
    <m/>
    <x v="3"/>
    <m/>
    <s v="Teddington Telephone Exchange"/>
    <m/>
    <m/>
    <m/>
    <m/>
    <m/>
    <m/>
    <m/>
    <m/>
    <m/>
    <m/>
    <m/>
    <m/>
    <m/>
    <m/>
    <m/>
    <m/>
    <m/>
    <m/>
    <m/>
    <m/>
    <n v="20"/>
    <n v="0"/>
    <n v="0"/>
    <n v="0"/>
    <n v="0"/>
    <n v="0"/>
    <n v="0"/>
    <n v="0"/>
    <n v="0"/>
    <n v="20"/>
    <x v="0"/>
    <m/>
    <m/>
    <m/>
    <m/>
    <m/>
    <m/>
    <m/>
    <n v="5"/>
    <n v="5"/>
    <n v="5"/>
    <n v="5"/>
    <m/>
    <m/>
    <m/>
    <m/>
    <m/>
    <m/>
    <n v="0"/>
    <n v="20"/>
    <m/>
    <m/>
    <m/>
    <n v="516258"/>
    <n v="171100"/>
    <x v="1"/>
    <x v="16"/>
    <x v="6"/>
    <x v="2"/>
    <e v="#N/A"/>
    <x v="1"/>
    <x v="6"/>
    <e v="#N/A"/>
    <x v="0"/>
    <e v="#N/A"/>
    <x v="6"/>
    <x v="2"/>
  </r>
  <r>
    <s v="19/0510/FUL"/>
    <x v="0"/>
    <x v="0"/>
    <x v="242"/>
    <d v="2027-05-23T00:00:00"/>
    <m/>
    <m/>
    <x v="4"/>
    <x v="8"/>
    <x v="4"/>
    <m/>
    <x v="3"/>
    <s v="Demolition of existing buildings and structures and comprehensive phased residential-led redevelopment to provide 453 residential units (of which 173 units will be affordable), flexible retail, community and office uses, provision of car and cycle parking, landscaping, public and private open spaces and all other necessary enabling works"/>
    <s v="Homebase, 84 Manor Road Richmond TW9 1YB"/>
    <m/>
    <m/>
    <m/>
    <m/>
    <m/>
    <m/>
    <m/>
    <m/>
    <m/>
    <m/>
    <m/>
    <m/>
    <m/>
    <m/>
    <m/>
    <m/>
    <m/>
    <m/>
    <m/>
    <m/>
    <n v="453"/>
    <n v="0"/>
    <n v="0"/>
    <n v="0"/>
    <n v="0"/>
    <n v="0"/>
    <n v="0"/>
    <n v="0"/>
    <n v="0"/>
    <n v="453"/>
    <x v="0"/>
    <m/>
    <m/>
    <m/>
    <m/>
    <n v="226.5"/>
    <n v="226.5"/>
    <m/>
    <m/>
    <m/>
    <m/>
    <m/>
    <m/>
    <m/>
    <m/>
    <m/>
    <m/>
    <m/>
    <n v="453"/>
    <n v="453"/>
    <m/>
    <m/>
    <m/>
    <n v="518920"/>
    <n v="175418"/>
    <x v="5"/>
    <x v="8"/>
    <x v="6"/>
    <x v="2"/>
    <e v="#N/A"/>
    <x v="1"/>
    <x v="6"/>
    <e v="#N/A"/>
    <x v="0"/>
    <e v="#N/A"/>
    <x v="5"/>
    <x v="2"/>
  </r>
  <r>
    <s v="21/3107/FUL"/>
    <x v="0"/>
    <x v="0"/>
    <x v="241"/>
    <m/>
    <m/>
    <m/>
    <x v="4"/>
    <x v="8"/>
    <x v="5"/>
    <m/>
    <x v="3"/>
    <s v="Demolition of existing structures and redevelopment of site including construction of three new buildings comprising 106 residential units of mixed tenure (Use Class C3), alterations and conversion of two existing buildings for 3 residential use (Use Class C3), car and cycle parking, landscaping and associated works"/>
    <s v="Barnes Hospital, South Worple Way, East Sheen"/>
    <m/>
    <m/>
    <m/>
    <m/>
    <m/>
    <m/>
    <m/>
    <m/>
    <m/>
    <m/>
    <m/>
    <m/>
    <m/>
    <m/>
    <m/>
    <m/>
    <m/>
    <m/>
    <m/>
    <m/>
    <n v="107"/>
    <n v="0"/>
    <n v="0"/>
    <n v="0"/>
    <n v="0"/>
    <n v="0"/>
    <n v="0"/>
    <n v="0"/>
    <n v="0"/>
    <n v="107"/>
    <x v="0"/>
    <m/>
    <m/>
    <m/>
    <n v="35.666666666666664"/>
    <n v="35.666666666666664"/>
    <n v="35.666666666666664"/>
    <m/>
    <m/>
    <m/>
    <m/>
    <m/>
    <m/>
    <m/>
    <m/>
    <m/>
    <m/>
    <m/>
    <n v="107"/>
    <n v="107"/>
    <m/>
    <m/>
    <m/>
    <n v="521203"/>
    <n v="175677"/>
    <x v="3"/>
    <x v="9"/>
    <x v="6"/>
    <x v="2"/>
    <e v="#N/A"/>
    <x v="1"/>
    <x v="6"/>
    <e v="#N/A"/>
    <x v="0"/>
    <e v="#N/A"/>
    <x v="7"/>
    <x v="2"/>
  </r>
  <r>
    <s v="22/0900/OUT"/>
    <x v="4"/>
    <x v="0"/>
    <x v="241"/>
    <m/>
    <m/>
    <m/>
    <x v="4"/>
    <x v="8"/>
    <x v="6"/>
    <m/>
    <x v="3"/>
    <s v="Hybrid application to include: 1. Demolition of existing buildings (except the Maltings and the façade of the Bottling Plant and former Hotel), walls, associated structures, site clearance and groundworks, to allow for the comprehensive phased redevelopment of the site: 2. Detailed application for the works to the east side of Ship Lane which comprise: a. Alterations and extensions to existing buildings and erection of buildings varying in height from 3 to 9 storeys plus a basement of one to two storeys below ground to allow for residential apartments; flexible use floorspace for retail, financial and professional services, café/restaurant and drinking establishment uses, offices, non-residential institutions and community use and boathouse; Hotel / public house with accommodation; Cinema and Offices. b. New pedestrian, vehicle and cycle accesses and internal routes, and associated highway works c. Provision of on-site cycle, vehicle and servicing parking at surface and basement level d. Provision of public open space, amenity and play space and landscaping e. Flood defence and towpath works f. Installation of plant and energy equipment 3. Outline application, with all matters reserved for works to the west of Ship Lane which comprise: a. The erection of a single storey basement and buildings varying in height from 3 to 8 storeys b. Residential development c. Provision of on-site cycle, vehicle and servicing parking d. Provision of public open space, amenity and play space and landscaping e. New pedestrian, vehicle and cycle accesses and internal routes, and associated highways works."/>
    <s v="The Stag Brewery Lower Richmond Road Mortlake London SW14 7ET "/>
    <m/>
    <m/>
    <m/>
    <m/>
    <m/>
    <m/>
    <m/>
    <m/>
    <m/>
    <m/>
    <m/>
    <m/>
    <m/>
    <m/>
    <m/>
    <m/>
    <m/>
    <m/>
    <m/>
    <m/>
    <n v="1071"/>
    <n v="0"/>
    <n v="0"/>
    <n v="0"/>
    <n v="0"/>
    <n v="0"/>
    <n v="0"/>
    <n v="0"/>
    <n v="0"/>
    <n v="1071"/>
    <x v="0"/>
    <m/>
    <m/>
    <m/>
    <m/>
    <m/>
    <n v="355"/>
    <n v="693"/>
    <m/>
    <n v="23"/>
    <m/>
    <m/>
    <m/>
    <m/>
    <m/>
    <m/>
    <m/>
    <m/>
    <n v="355"/>
    <n v="1071"/>
    <m/>
    <m/>
    <m/>
    <n v="520502"/>
    <n v="175950"/>
    <x v="3"/>
    <x v="9"/>
    <x v="6"/>
    <x v="2"/>
    <e v="#N/A"/>
    <x v="1"/>
    <x v="6"/>
    <e v="#N/A"/>
    <x v="0"/>
    <e v="#N/A"/>
    <x v="7"/>
    <x v="2"/>
  </r>
  <r>
    <s v="22/1029/FUL"/>
    <x v="1"/>
    <x v="0"/>
    <x v="241"/>
    <m/>
    <m/>
    <m/>
    <x v="4"/>
    <x v="8"/>
    <x v="7"/>
    <m/>
    <x v="3"/>
    <s v="Change of use of the building from student accommodation to provide 70 residential flats (C3 Use Class) including 4 social rent units, and 7 wheelchair accessible dwellings M4(3), facade and elevational alterations, infill extension at ground floor level and with associated landscaping, widening of two crossovers, access, parking/refuse provision and other external alterations."/>
    <s v="Kingston Bridge House, Church Grove, Hampton Wick KT1 4AG"/>
    <m/>
    <m/>
    <m/>
    <m/>
    <m/>
    <m/>
    <m/>
    <m/>
    <m/>
    <m/>
    <m/>
    <m/>
    <m/>
    <m/>
    <m/>
    <m/>
    <m/>
    <m/>
    <m/>
    <m/>
    <n v="70"/>
    <n v="0"/>
    <n v="0"/>
    <n v="0"/>
    <n v="0"/>
    <n v="0"/>
    <n v="0"/>
    <n v="0"/>
    <n v="0"/>
    <n v="70"/>
    <x v="0"/>
    <m/>
    <m/>
    <n v="35"/>
    <n v="35"/>
    <m/>
    <m/>
    <m/>
    <m/>
    <m/>
    <m/>
    <m/>
    <m/>
    <m/>
    <m/>
    <m/>
    <m/>
    <m/>
    <n v="70"/>
    <n v="70"/>
    <m/>
    <m/>
    <m/>
    <n v="517487"/>
    <n v="169400"/>
    <x v="1"/>
    <x v="11"/>
    <x v="6"/>
    <x v="2"/>
    <e v="#N/A"/>
    <x v="1"/>
    <x v="6"/>
    <e v="#N/A"/>
    <x v="0"/>
    <e v="#N/A"/>
    <x v="6"/>
    <x v="2"/>
  </r>
  <r>
    <s v="22/2204/FUL"/>
    <x v="0"/>
    <x v="0"/>
    <x v="241"/>
    <m/>
    <m/>
    <m/>
    <x v="4"/>
    <x v="8"/>
    <x v="8"/>
    <m/>
    <x v="3"/>
    <s v="Demolition of existing buildings and erection of 1no. mixed use building between three and five storeys plus basement in height, comprising 86no. residential flats (Class C3) and 1,311.2sq.m of commercial floorspace (Class E); 1no.two storey building comprising 595sq.m of commercial floorspace (Class E); 14no. residential houses (Class C3); and, associated access, external landscaping and car parking."/>
    <s v="St Clare Business Park And 7 - 11 Windmill Road, Hampton Hill"/>
    <m/>
    <m/>
    <m/>
    <m/>
    <m/>
    <m/>
    <m/>
    <m/>
    <m/>
    <m/>
    <m/>
    <m/>
    <m/>
    <m/>
    <m/>
    <m/>
    <m/>
    <m/>
    <m/>
    <m/>
    <n v="100"/>
    <n v="0"/>
    <n v="0"/>
    <n v="0"/>
    <n v="0"/>
    <n v="0"/>
    <n v="0"/>
    <n v="0"/>
    <n v="0"/>
    <n v="100"/>
    <x v="0"/>
    <m/>
    <m/>
    <m/>
    <n v="33.333333333333336"/>
    <n v="33.333333333333336"/>
    <n v="33.333333333333336"/>
    <m/>
    <m/>
    <m/>
    <m/>
    <m/>
    <m/>
    <m/>
    <m/>
    <m/>
    <m/>
    <m/>
    <n v="100"/>
    <n v="100"/>
    <m/>
    <m/>
    <m/>
    <n v="514199"/>
    <n v="170906"/>
    <x v="1"/>
    <x v="14"/>
    <x v="6"/>
    <x v="2"/>
    <e v="#N/A"/>
    <x v="1"/>
    <x v="6"/>
    <e v="#N/A"/>
    <x v="0"/>
    <e v="#N/A"/>
    <x v="1"/>
    <x v="2"/>
  </r>
  <r>
    <s v="22/2556/FUL"/>
    <x v="0"/>
    <x v="0"/>
    <x v="243"/>
    <d v="2027-06-14T00:00:00"/>
    <m/>
    <m/>
    <x v="4"/>
    <x v="8"/>
    <x v="9"/>
    <m/>
    <x v="3"/>
    <s v="Demolition of existing buildings (with retention of a single dwelling) and redevelopment of the site to provide up to 116 residential units and 175 sqm commercial floorspace (Use Class E(g)) with associated hard and soft landscaping, car parking and highways works and other associated works."/>
    <s v="Greggs And No. 2 Gould Road, Gould Road, Twickenham"/>
    <m/>
    <m/>
    <m/>
    <m/>
    <m/>
    <m/>
    <m/>
    <m/>
    <m/>
    <m/>
    <m/>
    <m/>
    <m/>
    <m/>
    <m/>
    <m/>
    <m/>
    <m/>
    <m/>
    <m/>
    <n v="116"/>
    <n v="0"/>
    <n v="0"/>
    <n v="0"/>
    <n v="0"/>
    <n v="0"/>
    <n v="0"/>
    <n v="0"/>
    <n v="0"/>
    <n v="116"/>
    <x v="0"/>
    <m/>
    <m/>
    <m/>
    <n v="38.666666666666664"/>
    <n v="38.666666666666664"/>
    <n v="38.666666666666664"/>
    <m/>
    <m/>
    <m/>
    <m/>
    <m/>
    <m/>
    <m/>
    <m/>
    <m/>
    <m/>
    <m/>
    <n v="116"/>
    <n v="116"/>
    <m/>
    <m/>
    <m/>
    <n v="515321"/>
    <n v="173342"/>
    <x v="4"/>
    <x v="7"/>
    <x v="6"/>
    <x v="2"/>
    <e v="#N/A"/>
    <x v="1"/>
    <x v="6"/>
    <e v="#N/A"/>
    <x v="0"/>
    <e v="#N/A"/>
    <x v="4"/>
    <x v="2"/>
  </r>
  <r>
    <s v="Site Allocation"/>
    <x v="4"/>
    <x v="0"/>
    <x v="241"/>
    <m/>
    <m/>
    <m/>
    <x v="5"/>
    <x v="8"/>
    <x v="10"/>
    <m/>
    <x v="3"/>
    <m/>
    <s v="Teddington Police Station"/>
    <m/>
    <m/>
    <m/>
    <m/>
    <m/>
    <m/>
    <m/>
    <m/>
    <m/>
    <m/>
    <m/>
    <m/>
    <m/>
    <m/>
    <m/>
    <m/>
    <m/>
    <m/>
    <m/>
    <m/>
    <n v="20"/>
    <n v="0"/>
    <n v="0"/>
    <n v="0"/>
    <n v="0"/>
    <n v="0"/>
    <n v="0"/>
    <n v="0"/>
    <n v="0"/>
    <n v="20"/>
    <x v="0"/>
    <m/>
    <m/>
    <m/>
    <m/>
    <m/>
    <n v="20"/>
    <m/>
    <m/>
    <m/>
    <m/>
    <m/>
    <m/>
    <m/>
    <m/>
    <m/>
    <m/>
    <m/>
    <n v="20"/>
    <n v="20"/>
    <m/>
    <m/>
    <m/>
    <n v="515852"/>
    <n v="170855"/>
    <x v="1"/>
    <x v="16"/>
    <x v="6"/>
    <x v="2"/>
    <e v="#N/A"/>
    <x v="1"/>
    <x v="6"/>
    <e v="#N/A"/>
    <x v="0"/>
    <e v="#N/A"/>
    <x v="6"/>
    <x v="2"/>
  </r>
  <r>
    <s v="Site Allocation"/>
    <x v="4"/>
    <x v="0"/>
    <x v="241"/>
    <m/>
    <m/>
    <m/>
    <x v="5"/>
    <x v="8"/>
    <x v="11"/>
    <m/>
    <x v="3"/>
    <m/>
    <s v="Twickenham Telephone Exchange"/>
    <m/>
    <m/>
    <m/>
    <m/>
    <m/>
    <m/>
    <m/>
    <m/>
    <m/>
    <m/>
    <m/>
    <m/>
    <m/>
    <m/>
    <m/>
    <m/>
    <m/>
    <m/>
    <m/>
    <m/>
    <n v="20"/>
    <n v="0"/>
    <n v="0"/>
    <n v="0"/>
    <n v="0"/>
    <n v="0"/>
    <n v="0"/>
    <n v="0"/>
    <n v="0"/>
    <n v="20"/>
    <x v="0"/>
    <m/>
    <m/>
    <m/>
    <m/>
    <n v="10"/>
    <n v="10"/>
    <m/>
    <m/>
    <m/>
    <m/>
    <m/>
    <m/>
    <m/>
    <m/>
    <m/>
    <m/>
    <m/>
    <n v="20"/>
    <n v="20"/>
    <m/>
    <m/>
    <m/>
    <n v="516325"/>
    <n v="173426"/>
    <x v="4"/>
    <x v="6"/>
    <x v="6"/>
    <x v="2"/>
    <e v="#N/A"/>
    <x v="1"/>
    <x v="6"/>
    <e v="#N/A"/>
    <x v="0"/>
    <e v="#N/A"/>
    <x v="4"/>
    <x v="2"/>
  </r>
  <r>
    <s v="Site Allocation"/>
    <x v="4"/>
    <x v="0"/>
    <x v="241"/>
    <m/>
    <m/>
    <m/>
    <x v="5"/>
    <x v="8"/>
    <x v="12"/>
    <m/>
    <x v="3"/>
    <m/>
    <s v="Whitton Telephone Exchange"/>
    <m/>
    <m/>
    <m/>
    <m/>
    <m/>
    <m/>
    <m/>
    <m/>
    <m/>
    <m/>
    <m/>
    <m/>
    <m/>
    <m/>
    <m/>
    <m/>
    <m/>
    <m/>
    <m/>
    <m/>
    <n v="20"/>
    <n v="0"/>
    <n v="0"/>
    <n v="0"/>
    <n v="0"/>
    <n v="0"/>
    <n v="0"/>
    <n v="0"/>
    <n v="0"/>
    <n v="20"/>
    <x v="0"/>
    <m/>
    <m/>
    <m/>
    <m/>
    <n v="10"/>
    <n v="10"/>
    <m/>
    <m/>
    <m/>
    <m/>
    <m/>
    <m/>
    <m/>
    <m/>
    <m/>
    <m/>
    <m/>
    <n v="20"/>
    <n v="20"/>
    <m/>
    <m/>
    <m/>
    <n v="514055"/>
    <n v="173847"/>
    <x v="0"/>
    <x v="13"/>
    <x v="6"/>
    <x v="2"/>
    <e v="#N/A"/>
    <x v="1"/>
    <x v="6"/>
    <e v="#N/A"/>
    <x v="0"/>
    <e v="#N/A"/>
    <x v="0"/>
    <x v="2"/>
  </r>
  <r>
    <s v="Large Sites Trend"/>
    <x v="4"/>
    <x v="0"/>
    <x v="241"/>
    <m/>
    <m/>
    <m/>
    <x v="6"/>
    <x v="8"/>
    <x v="13"/>
    <m/>
    <x v="3"/>
    <m/>
    <s v="Large Sites Trend"/>
    <m/>
    <m/>
    <m/>
    <m/>
    <m/>
    <m/>
    <m/>
    <m/>
    <m/>
    <m/>
    <m/>
    <m/>
    <m/>
    <m/>
    <m/>
    <m/>
    <m/>
    <m/>
    <m/>
    <m/>
    <n v="432"/>
    <n v="0"/>
    <n v="0"/>
    <n v="0"/>
    <n v="0"/>
    <n v="0"/>
    <n v="0"/>
    <n v="0"/>
    <n v="0"/>
    <n v="144"/>
    <x v="1"/>
    <m/>
    <m/>
    <m/>
    <m/>
    <m/>
    <m/>
    <m/>
    <m/>
    <m/>
    <n v="72"/>
    <n v="72"/>
    <n v="72"/>
    <n v="72"/>
    <n v="72"/>
    <n v="72"/>
    <n v="72"/>
    <n v="72"/>
    <n v="0"/>
    <n v="144"/>
    <m/>
    <m/>
    <m/>
    <m/>
    <m/>
    <x v="6"/>
    <x v="18"/>
    <x v="6"/>
    <x v="2"/>
    <e v="#N/A"/>
    <x v="1"/>
    <x v="6"/>
    <e v="#N/A"/>
    <x v="0"/>
    <e v="#N/A"/>
    <x v="9"/>
    <x v="2"/>
  </r>
  <r>
    <s v="Small Sites Trend"/>
    <x v="4"/>
    <x v="0"/>
    <x v="241"/>
    <m/>
    <m/>
    <m/>
    <x v="6"/>
    <x v="8"/>
    <x v="14"/>
    <m/>
    <x v="3"/>
    <m/>
    <s v="Small Sites Trend"/>
    <m/>
    <m/>
    <m/>
    <m/>
    <m/>
    <m/>
    <m/>
    <m/>
    <m/>
    <m/>
    <m/>
    <m/>
    <m/>
    <m/>
    <m/>
    <m/>
    <m/>
    <m/>
    <m/>
    <m/>
    <n v="3316"/>
    <n v="0"/>
    <n v="0"/>
    <n v="0"/>
    <n v="0"/>
    <n v="0"/>
    <n v="0"/>
    <n v="0"/>
    <n v="0"/>
    <n v="1912"/>
    <x v="1"/>
    <m/>
    <n v="20"/>
    <n v="20"/>
    <n v="234"/>
    <n v="234"/>
    <n v="234"/>
    <n v="234"/>
    <n v="234"/>
    <n v="234"/>
    <n v="234"/>
    <n v="234"/>
    <n v="234"/>
    <n v="234"/>
    <n v="234"/>
    <n v="234"/>
    <n v="234"/>
    <n v="234"/>
    <n v="742"/>
    <n v="1912"/>
    <m/>
    <m/>
    <m/>
    <m/>
    <m/>
    <x v="6"/>
    <x v="18"/>
    <x v="6"/>
    <x v="2"/>
    <e v="#N/A"/>
    <x v="1"/>
    <x v="6"/>
    <e v="#N/A"/>
    <x v="0"/>
    <e v="#N/A"/>
    <x v="9"/>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s v="23/1664/ES191"/>
    <s v="CHU"/>
    <s v="HMO"/>
    <d v="2023-08-08T00:00:00"/>
    <m/>
    <d v="2023-08-08T00:00:00"/>
    <d v="2023-08-08T00:00:00"/>
    <x v="0"/>
    <s v="Open Market"/>
    <s v="To establish the use of the property as an HMO exceeding 6 unrelated persons (sui generis)."/>
    <s v="175 Sheen Lane, East Sheen SW14 8LE"/>
    <s v="SW14 8LE"/>
    <m/>
    <m/>
    <m/>
    <m/>
    <n v="0"/>
    <n v="17"/>
    <n v="17"/>
    <m/>
    <m/>
    <m/>
    <m/>
    <m/>
    <m/>
    <n v="9.4444444444444446"/>
    <m/>
    <m/>
    <m/>
    <m/>
    <n v="9.4444444444444446"/>
    <n v="9"/>
    <m/>
    <m/>
    <m/>
    <m/>
    <m/>
    <m/>
    <m/>
    <m/>
    <m/>
    <m/>
    <m/>
  </r>
  <r>
    <s v="19/0111/FUL"/>
    <s v="MIX"/>
    <s v="HMO"/>
    <d v="2019-12-12T00:00:00"/>
    <d v="2022-12-12T00:00:00"/>
    <d v="2020-03-30T00:00:00"/>
    <m/>
    <x v="1"/>
    <s v="Open Market"/>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s v="27-29 Lower Teddington Road"/>
    <s v="KT1"/>
    <m/>
    <m/>
    <m/>
    <m/>
    <n v="14"/>
    <n v="0"/>
    <n v="-14"/>
    <m/>
    <m/>
    <m/>
    <m/>
    <m/>
    <m/>
    <n v="-7.7777777777777777"/>
    <m/>
    <m/>
    <m/>
    <s v="Teddington and the Hamptons"/>
    <n v="-7.7777777777777777"/>
    <m/>
    <m/>
    <n v="-8"/>
    <m/>
    <m/>
    <m/>
    <m/>
    <m/>
    <m/>
    <m/>
    <m/>
    <n v="-8"/>
  </r>
  <r>
    <s v="19/0111/FUL"/>
    <s v="MIX"/>
    <s v="Student Bedrooms"/>
    <d v="2019-12-12T00:00:00"/>
    <d v="2022-12-12T00:00:00"/>
    <d v="2020-03-30T00:00:00"/>
    <m/>
    <x v="1"/>
    <s v="Open Market"/>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s v="23-27 Lower Teddington Road"/>
    <s v="KT1"/>
    <m/>
    <m/>
    <m/>
    <m/>
    <m/>
    <m/>
    <m/>
    <n v="0"/>
    <n v="10"/>
    <n v="10"/>
    <m/>
    <m/>
    <m/>
    <m/>
    <n v="4"/>
    <m/>
    <m/>
    <s v="Teddington and the Hamptons"/>
    <n v="4"/>
    <m/>
    <m/>
    <n v="4"/>
    <m/>
    <m/>
    <m/>
    <m/>
    <m/>
    <m/>
    <m/>
    <m/>
    <n v="4"/>
  </r>
  <r>
    <s v="23/1897/VRC"/>
    <s v="MIX"/>
    <s v="Care Home Beds"/>
    <d v="2024-01-24T00:00:00"/>
    <d v="2027-01-24T00:00:00"/>
    <d v="2024-03-21T00:00:00"/>
    <m/>
    <x v="1"/>
    <s v="Open Market"/>
    <s v="Change of use from hotel (Class C1) to care and physiotherapy-led rehabilitation centre (Class C2) to include partial demolition and extension of the existing building along with the provision of associated car parking, cycle parking, refuse storage, landscaping, boundary treatments, servicing, access and necessary highways works."/>
    <s v="Richmond Inn Hotel, 50 - 56 Sheen Road, Richmond, TW9 1UG"/>
    <s v="TW9 1UG"/>
    <m/>
    <m/>
    <n v="50"/>
    <n v="50"/>
    <m/>
    <m/>
    <m/>
    <m/>
    <m/>
    <m/>
    <m/>
    <m/>
    <m/>
    <m/>
    <m/>
    <m/>
    <m/>
    <s v="Richmond"/>
    <n v="50"/>
    <m/>
    <m/>
    <n v="50"/>
    <m/>
    <m/>
    <m/>
    <m/>
    <m/>
    <m/>
    <m/>
    <m/>
    <n v="50"/>
  </r>
  <r>
    <s v="21/2661/FUL"/>
    <s v="EXT"/>
    <s v="Student Bedrooms"/>
    <d v="2021-12-24T00:00:00"/>
    <d v="2024-12-24T00:00:00"/>
    <m/>
    <m/>
    <x v="2"/>
    <s v="Open Market"/>
    <s v="Conversion and extension of roof space above modern boarding blocks (C2 use) to provide additional boarding accommodation and rooflights. Raising of parapet walls.  Plant at ground level; 4No electric vehicle charging points in Entrance Forecourt; tempora"/>
    <s v="The Royal Ballet School, White Lodge, Richmond Park, Richmond, TW10 5HR, "/>
    <s v="TW10 5HR"/>
    <m/>
    <m/>
    <m/>
    <m/>
    <m/>
    <m/>
    <m/>
    <n v="86"/>
    <n v="124"/>
    <n v="38"/>
    <m/>
    <m/>
    <m/>
    <m/>
    <n v="15.2"/>
    <m/>
    <m/>
    <s v="Richmond"/>
    <n v="15.2"/>
    <m/>
    <m/>
    <m/>
    <n v="5"/>
    <n v="5"/>
    <n v="5"/>
    <m/>
    <m/>
    <m/>
    <m/>
    <m/>
    <n v="15"/>
  </r>
  <r>
    <s v="19/2822/FUL "/>
    <s v="MIX"/>
    <s v="Care Home Beds"/>
    <d v="2023-05-12T00:00:00"/>
    <d v="2026-05-12T00:00:00"/>
    <m/>
    <m/>
    <x v="2"/>
    <s v="Open Market"/>
    <s v="Retention and refurbishment of the former police station building with part demolition of rear wings and ancillary buildings, and the construction of a three storey side and rear extension and basement to form a registered care home comprising 22 care suites and 66 care bed units, with shared facilities, car and cycle parking, landscaping and ancillary works."/>
    <s v="Hampton Police Station, Station Road, Hampton TW12 2AX"/>
    <s v="TW12 2AX"/>
    <m/>
    <m/>
    <n v="88"/>
    <n v="88"/>
    <m/>
    <m/>
    <m/>
    <m/>
    <m/>
    <m/>
    <m/>
    <m/>
    <m/>
    <m/>
    <m/>
    <m/>
    <m/>
    <s v="Teddington and the Hamptons"/>
    <n v="88"/>
    <m/>
    <m/>
    <m/>
    <n v="29.333333333333332"/>
    <n v="29.333333333333332"/>
    <n v="29.333333333333332"/>
    <m/>
    <m/>
    <m/>
    <m/>
    <m/>
    <n v="88"/>
  </r>
  <r>
    <s v="22/1029/FUL"/>
    <s v="CHU"/>
    <s v="Student Bedrooms"/>
    <d v="2024-04-26T00:00:00"/>
    <d v="2027-04-26T00:00:00"/>
    <m/>
    <m/>
    <x v="3"/>
    <m/>
    <s v="Change of use of the building from student accommodation to provide 70 residential flats (C3 Use Class) including 4 social rent units, and 7 wheelchair accessible dwellings M4(3), facade and elevational alterations, infill extension at ground floor level and with associated landscaping, widening of two crossovers, access, parking/refuse provision and other external alterations."/>
    <s v="Kingston Bridge House, Church Grove, Hampton Wick KT1 4AG"/>
    <m/>
    <m/>
    <m/>
    <m/>
    <m/>
    <m/>
    <m/>
    <m/>
    <n v="216"/>
    <n v="0"/>
    <n v="-216"/>
    <m/>
    <m/>
    <m/>
    <m/>
    <n v="-86.4"/>
    <m/>
    <m/>
    <m/>
    <n v="-86.4"/>
    <m/>
    <m/>
    <n v="-43.2"/>
    <n v="-43.2"/>
    <m/>
    <m/>
    <m/>
    <m/>
    <m/>
    <m/>
    <m/>
    <n v="-8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574112-46E0-4930-A2A2-6E82853A0059}" name="PivotTable36"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500:C510" firstHeaderRow="1" firstDataRow="1" firstDataCol="1" rowPageCount="4" colPageCount="1"/>
  <pivotFields count="84">
    <pivotField showAll="0" defaultSubtotal="0"/>
    <pivotField axis="axisPage" multipleItemSelectionAllowed="1" showAll="0" defaultSubtotal="0">
      <items count="5">
        <item h="1" x="1"/>
        <item h="1" x="2"/>
        <item h="1" x="3"/>
        <item x="4"/>
        <item x="0"/>
      </items>
    </pivotField>
    <pivotField axis="axisPage" multipleItemSelectionAllowed="1" showAll="0" defaultSubtotal="0">
      <items count="2">
        <item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multipleItemSelectionAllowed="1" showAll="0" defaultSubtotal="0"/>
    <pivotField axis="axisPage" multipleItemSelectionAllowed="1" showAll="0">
      <items count="16">
        <item x="7"/>
        <item x="13"/>
        <item h="1" x="1"/>
        <item x="2"/>
        <item x="14"/>
        <item x="6"/>
        <item x="10"/>
        <item x="3"/>
        <item x="11"/>
        <item x="12"/>
        <item x="0"/>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3"/>
        <item x="2"/>
        <item x="6"/>
        <item x="5"/>
        <item x="1"/>
        <item x="4"/>
        <item x="0"/>
        <item t="default"/>
      </items>
    </pivotField>
    <pivotField showAll="0"/>
    <pivotField showAll="0"/>
    <pivotField showAll="0"/>
    <pivotField showAll="0"/>
    <pivotField showAll="0"/>
    <pivotField showAll="0"/>
    <pivotField showAll="0"/>
    <pivotField showAll="0"/>
    <pivotField showAll="0"/>
    <pivotField axis="axisRow" showAll="0">
      <items count="11">
        <item x="3"/>
        <item x="2"/>
        <item x="1"/>
        <item x="8"/>
        <item x="7"/>
        <item x="5"/>
        <item x="6"/>
        <item x="4"/>
        <item x="0"/>
        <item x="9"/>
        <item t="default"/>
      </items>
    </pivotField>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9"/>
  </rowFields>
  <rowItems count="10">
    <i>
      <x/>
    </i>
    <i>
      <x v="1"/>
    </i>
    <i>
      <x v="2"/>
    </i>
    <i>
      <x v="3"/>
    </i>
    <i>
      <x v="4"/>
    </i>
    <i>
      <x v="5"/>
    </i>
    <i>
      <x v="6"/>
    </i>
    <i>
      <x v="7"/>
    </i>
    <i>
      <x v="8"/>
    </i>
    <i t="grand">
      <x/>
    </i>
  </rowItems>
  <colItems count="1">
    <i/>
  </colItems>
  <pageFields count="4">
    <pageField fld="9" hier="-1"/>
    <pageField fld="7" hier="-1"/>
    <pageField fld="2" hier="-1"/>
    <pageField fld="1" hier="-1"/>
  </pageFields>
  <dataFields count="1">
    <dataField name="Sum of Net Dwellings" fld="43" baseField="0" baseItem="0"/>
  </dataFields>
  <formats count="42">
    <format dxfId="43">
      <pivotArea type="all" dataOnly="0" outline="0" fieldPosition="0"/>
    </format>
    <format dxfId="42">
      <pivotArea type="all" dataOnly="0" outline="0" fieldPosition="0"/>
    </format>
    <format dxfId="41">
      <pivotArea type="all" dataOnly="0" outline="0" fieldPosition="0"/>
    </format>
    <format dxfId="40">
      <pivotArea type="all" dataOnly="0" outline="0" fieldPosition="0"/>
    </format>
    <format dxfId="39">
      <pivotArea type="all" dataOnly="0" outline="0" fieldPosition="0"/>
    </format>
    <format dxfId="38">
      <pivotArea type="all" dataOnly="0" outline="0" fieldPosition="0"/>
    </format>
    <format dxfId="37">
      <pivotArea type="all" dataOnly="0" outline="0" fieldPosition="0"/>
    </format>
    <format dxfId="36">
      <pivotArea dataOnly="0" labelOnly="1" outline="0" fieldPosition="0">
        <references count="1">
          <reference field="4294967294" count="1">
            <x v="0"/>
          </reference>
        </references>
      </pivotArea>
    </format>
    <format dxfId="35">
      <pivotArea dataOnly="0" labelOnly="1" outline="0" fieldPosition="0">
        <references count="1">
          <reference field="4294967294" count="1">
            <x v="0"/>
          </reference>
        </references>
      </pivotArea>
    </format>
    <format dxfId="34">
      <pivotArea dataOnly="0" labelOnly="1" outline="0" fieldPosition="0">
        <references count="1">
          <reference field="4294967294" count="1">
            <x v="0"/>
          </reference>
        </references>
      </pivotArea>
    </format>
    <format dxfId="33">
      <pivotArea type="all" dataOnly="0" outline="0" fieldPosition="0"/>
    </format>
    <format dxfId="32">
      <pivotArea type="all" dataOnly="0" outline="0" fieldPosition="0"/>
    </format>
    <format dxfId="31">
      <pivotArea type="all" dataOnly="0" outline="0" fieldPosition="0"/>
    </format>
    <format dxfId="30">
      <pivotArea type="all" dataOnly="0" outline="0" fieldPosition="0"/>
    </format>
    <format dxfId="29">
      <pivotArea outline="0" collapsedLevelsAreSubtotals="1" fieldPosition="0"/>
    </format>
    <format dxfId="28">
      <pivotArea dataOnly="0" labelOnly="1" grandRow="1" outline="0" fieldPosition="0"/>
    </format>
    <format dxfId="27">
      <pivotArea dataOnly="0" labelOnly="1" outline="0" axis="axisValues" fieldPosition="0"/>
    </format>
    <format dxfId="26">
      <pivotArea type="all" dataOnly="0" outline="0" fieldPosition="0"/>
    </format>
    <format dxfId="25">
      <pivotArea outline="0" collapsedLevelsAreSubtotals="1" fieldPosition="0"/>
    </format>
    <format dxfId="24">
      <pivotArea dataOnly="0" labelOnly="1" grandRow="1" outline="0" fieldPosition="0"/>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dataOnly="0" labelOnly="1" grandRow="1" outline="0" fieldPosition="0"/>
    </format>
    <format dxfId="19">
      <pivotArea dataOnly="0" labelOnly="1" outline="0" axis="axisValues" fieldPosition="0"/>
    </format>
    <format dxfId="18">
      <pivotArea type="all" dataOnly="0" outline="0" fieldPosition="0"/>
    </format>
    <format dxfId="17">
      <pivotArea outline="0" collapsedLevelsAreSubtotals="1" fieldPosition="0"/>
    </format>
    <format dxfId="16">
      <pivotArea dataOnly="0" labelOnly="1" grandRow="1" outline="0"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dataOnly="0" labelOnly="1" grandRow="1" outline="0" fieldPosition="0"/>
    </format>
    <format dxfId="11">
      <pivotArea dataOnly="0" labelOnly="1" outline="0" axis="axisValues" fieldPosition="0"/>
    </format>
    <format dxfId="10">
      <pivotArea type="all" dataOnly="0" outline="0" fieldPosition="0"/>
    </format>
    <format dxfId="9">
      <pivotArea outline="0" collapsedLevelsAreSubtotals="1" fieldPosition="0"/>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69" type="button" dataOnly="0" labelOnly="1" outline="0"/>
    </format>
    <format dxfId="3">
      <pivotArea dataOnly="0" labelOnly="1" grandRow="1" outline="0"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E4E1F98-0054-4FDC-843E-4BCAE03DECC9}" name="PivotTable34"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500:F510" firstHeaderRow="1" firstDataRow="1" firstDataCol="1" rowPageCount="4" colPageCount="1"/>
  <pivotFields count="84">
    <pivotField showAll="0" defaultSubtotal="0"/>
    <pivotField axis="axisPage" multipleItemSelectionAllowed="1" showAll="0" defaultSubtotal="0">
      <items count="5">
        <item h="1" x="1"/>
        <item h="1" x="2"/>
        <item h="1" x="3"/>
        <item x="4"/>
        <item x="0"/>
      </items>
    </pivotField>
    <pivotField axis="axisPage" multipleItemSelectionAllowed="1" showAll="0" defaultSubtotal="0">
      <items count="2">
        <item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multipleItemSelectionAllowed="1" showAll="0" defaultSubtotal="0"/>
    <pivotField axis="axisPage" multipleItemSelectionAllowed="1" showAll="0">
      <items count="16">
        <item x="7"/>
        <item x="13"/>
        <item h="1" x="1"/>
        <item x="2"/>
        <item x="14"/>
        <item x="6"/>
        <item x="10"/>
        <item x="3"/>
        <item x="11"/>
        <item x="12"/>
        <item x="0"/>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3"/>
        <item x="2"/>
        <item x="6"/>
        <item x="5"/>
        <item x="1"/>
        <item x="4"/>
        <item x="0"/>
        <item t="default"/>
      </items>
    </pivotField>
    <pivotField showAll="0">
      <items count="20">
        <item x="4"/>
        <item x="12"/>
        <item x="2"/>
        <item x="1"/>
        <item x="0"/>
        <item x="15"/>
        <item x="8"/>
        <item x="10"/>
        <item x="7"/>
        <item x="16"/>
        <item x="6"/>
        <item x="17"/>
        <item x="13"/>
        <item x="14"/>
        <item x="9"/>
        <item x="3"/>
        <item x="11"/>
        <item x="5"/>
        <item x="18"/>
        <item t="default"/>
      </items>
    </pivotField>
    <pivotField showAll="0"/>
    <pivotField showAll="0"/>
    <pivotField showAll="0"/>
    <pivotField showAll="0"/>
    <pivotField showAll="0"/>
    <pivotField showAll="0"/>
    <pivotField showAll="0"/>
    <pivotField showAll="0"/>
    <pivotField axis="axisRow" showAll="0">
      <items count="11">
        <item x="3"/>
        <item x="2"/>
        <item x="1"/>
        <item x="8"/>
        <item x="7"/>
        <item x="5"/>
        <item x="6"/>
        <item x="4"/>
        <item x="0"/>
        <item x="9"/>
        <item t="default"/>
      </items>
    </pivotField>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9"/>
  </rowFields>
  <rowItems count="10">
    <i>
      <x/>
    </i>
    <i>
      <x v="1"/>
    </i>
    <i>
      <x v="2"/>
    </i>
    <i>
      <x v="3"/>
    </i>
    <i>
      <x v="4"/>
    </i>
    <i>
      <x v="5"/>
    </i>
    <i>
      <x v="6"/>
    </i>
    <i>
      <x v="7"/>
    </i>
    <i>
      <x v="8"/>
    </i>
    <i t="grand">
      <x/>
    </i>
  </rowItems>
  <colItems count="1">
    <i/>
  </colItems>
  <pageFields count="4">
    <pageField fld="9" hier="-1"/>
    <pageField fld="7" hier="-1"/>
    <pageField fld="2" hier="-1"/>
    <pageField fld="1" hier="-1"/>
  </pageFields>
  <dataFields count="1">
    <dataField name="Sum of Net Dwellings" fld="43" baseField="0" baseItem="0"/>
  </dataFields>
  <formats count="45">
    <format dxfId="88">
      <pivotArea type="all" dataOnly="0" outline="0" fieldPosition="0"/>
    </format>
    <format dxfId="87">
      <pivotArea type="all" dataOnly="0" outline="0" fieldPosition="0"/>
    </format>
    <format dxfId="86">
      <pivotArea type="all" dataOnly="0" outline="0" fieldPosition="0"/>
    </format>
    <format dxfId="85">
      <pivotArea type="all" dataOnly="0" outline="0" fieldPosition="0"/>
    </format>
    <format dxfId="84">
      <pivotArea type="all" dataOnly="0" outline="0" fieldPosition="0"/>
    </format>
    <format dxfId="83">
      <pivotArea type="all" dataOnly="0" outline="0" fieldPosition="0"/>
    </format>
    <format dxfId="82">
      <pivotArea type="all" dataOnly="0" outline="0" fieldPosition="0"/>
    </format>
    <format dxfId="81">
      <pivotArea dataOnly="0" labelOnly="1" outline="0" fieldPosition="0">
        <references count="1">
          <reference field="4294967294" count="1">
            <x v="0"/>
          </reference>
        </references>
      </pivotArea>
    </format>
    <format dxfId="80">
      <pivotArea dataOnly="0" labelOnly="1" outline="0" fieldPosition="0">
        <references count="1">
          <reference field="4294967294" count="1">
            <x v="0"/>
          </reference>
        </references>
      </pivotArea>
    </format>
    <format dxfId="79">
      <pivotArea dataOnly="0" labelOnly="1" outline="0" fieldPosition="0">
        <references count="1">
          <reference field="4294967294" count="1">
            <x v="0"/>
          </reference>
        </references>
      </pivotArea>
    </format>
    <format dxfId="78">
      <pivotArea type="all" dataOnly="0" outline="0" fieldPosition="0"/>
    </format>
    <format dxfId="77">
      <pivotArea type="all" dataOnly="0" outline="0" fieldPosition="0"/>
    </format>
    <format dxfId="76">
      <pivotArea type="all" dataOnly="0" outline="0" fieldPosition="0"/>
    </format>
    <format dxfId="75">
      <pivotArea type="all" dataOnly="0" outline="0" fieldPosition="0"/>
    </format>
    <format dxfId="74">
      <pivotArea outline="0" collapsedLevelsAreSubtotals="1" fieldPosition="0"/>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dataOnly="0" labelOnly="1" grandRow="1" outline="0" fieldPosition="0"/>
    </format>
    <format dxfId="68">
      <pivotArea dataOnly="0" labelOnly="1" outline="0" axis="axisValues" fieldPosition="0"/>
    </format>
    <format dxfId="67">
      <pivotArea type="all" dataOnly="0" outline="0" fieldPosition="0"/>
    </format>
    <format dxfId="66">
      <pivotArea outline="0" collapsedLevelsAreSubtotals="1" fieldPosition="0"/>
    </format>
    <format dxfId="65">
      <pivotArea dataOnly="0" labelOnly="1" grandRow="1" outline="0" fieldPosition="0"/>
    </format>
    <format dxfId="64">
      <pivotArea dataOnly="0" labelOnly="1" outline="0" axis="axisValues" fieldPosition="0"/>
    </format>
    <format dxfId="63">
      <pivotArea type="all" dataOnly="0" outline="0" fieldPosition="0"/>
    </format>
    <format dxfId="62">
      <pivotArea outline="0" collapsedLevelsAreSubtotals="1" fieldPosition="0"/>
    </format>
    <format dxfId="61">
      <pivotArea field="70" type="button" dataOnly="0" labelOnly="1" outline="0"/>
    </format>
    <format dxfId="60">
      <pivotArea dataOnly="0" labelOnly="1" grandRow="1" outline="0" fieldPosition="0"/>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field="70" type="button" dataOnly="0" labelOnly="1" outline="0"/>
    </format>
    <format dxfId="55">
      <pivotArea dataOnly="0" labelOnly="1" grandRow="1" outline="0"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field="70" type="button" dataOnly="0" labelOnly="1" outline="0"/>
    </format>
    <format dxfId="50">
      <pivotArea dataOnly="0" labelOnly="1" grandRow="1" outline="0" fieldPosition="0"/>
    </format>
    <format dxfId="49">
      <pivotArea dataOnly="0" labelOnly="1" outline="0" axis="axisValues" fieldPosition="0"/>
    </format>
    <format dxfId="48">
      <pivotArea type="all" dataOnly="0" outline="0" fieldPosition="0"/>
    </format>
    <format dxfId="47">
      <pivotArea outline="0" collapsedLevelsAreSubtotals="1" fieldPosition="0"/>
    </format>
    <format dxfId="46">
      <pivotArea field="69" type="button" dataOnly="0" labelOnly="1" outline="0"/>
    </format>
    <format dxfId="45">
      <pivotArea dataOnly="0" labelOnly="1" grandRow="1" outline="0" fieldPosition="0"/>
    </format>
    <format dxfId="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7E232CE-76F4-4BA2-991E-54DF94020D18}" name="PivotTable19" cacheId="0" applyNumberFormats="0" applyBorderFormats="0" applyFontFormats="0" applyPatternFormats="0" applyAlignmentFormats="0" applyWidthHeightFormats="1" dataCaption="Values" missingCaption="0" updatedVersion="8" minRefreshableVersion="3" itemPrintTitles="1" createdVersion="4" indent="0" outline="1" outlineData="1" multipleFieldFilters="0">
  <location ref="H458:I465" firstHeaderRow="1" firstDataRow="1" firstDataCol="1" rowPageCount="4" colPageCount="1"/>
  <pivotFields count="84">
    <pivotField showAll="0" defaultSubtotal="0"/>
    <pivotField axis="axisPage" multipleItemSelectionAllowed="1" showAll="0" defaultSubtotal="0">
      <items count="5">
        <item x="1"/>
        <item x="2"/>
        <item x="3"/>
        <item h="1" x="4"/>
        <item h="1" x="0"/>
      </items>
    </pivotField>
    <pivotField axis="axisPage" multipleItemSelectionAllowed="1" showAll="0" defaultSubtotal="0">
      <items count="2">
        <item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x="1"/>
        <item h="1" x="2"/>
        <item h="1" x="6"/>
        <item h="1" x="3"/>
        <item h="1" x="4"/>
        <item h="1" x="5"/>
      </items>
    </pivotField>
    <pivotField multipleItemSelectionAllowed="1" showAll="0" defaultSubtotal="0"/>
    <pivotField axis="axisPage" multipleItemSelectionAllowed="1" showAll="0">
      <items count="16">
        <item x="5"/>
        <item x="9"/>
        <item x="4"/>
        <item x="7"/>
        <item x="13"/>
        <item h="1" x="1"/>
        <item x="2"/>
        <item x="14"/>
        <item x="8"/>
        <item x="6"/>
        <item x="10"/>
        <item x="3"/>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3"/>
        <item x="2"/>
        <item x="6"/>
        <item x="5"/>
        <item x="1"/>
        <item x="4"/>
        <item x="0"/>
        <item t="default"/>
      </items>
    </pivotField>
    <pivotField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69"/>
  </rowFields>
  <rowItems count="7">
    <i>
      <x/>
    </i>
    <i>
      <x v="1"/>
    </i>
    <i>
      <x v="3"/>
    </i>
    <i>
      <x v="4"/>
    </i>
    <i>
      <x v="5"/>
    </i>
    <i>
      <x v="6"/>
    </i>
    <i t="grand">
      <x/>
    </i>
  </rowItems>
  <colItems count="1">
    <i/>
  </colItems>
  <pageFields count="4">
    <pageField fld="9" hier="-1"/>
    <pageField fld="7" hier="-1"/>
    <pageField fld="2" hier="-1"/>
    <pageField fld="1" hier="-1"/>
  </pageFields>
  <dataFields count="1">
    <dataField name="Sum of Net Dwellings" fld="43" baseField="0" baseItem="0"/>
  </dataFields>
  <formats count="50">
    <format dxfId="138">
      <pivotArea type="all" dataOnly="0" outline="0" fieldPosition="0"/>
    </format>
    <format dxfId="137">
      <pivotArea type="all" dataOnly="0" outline="0" fieldPosition="0"/>
    </format>
    <format dxfId="136">
      <pivotArea type="all" dataOnly="0" outline="0" fieldPosition="0"/>
    </format>
    <format dxfId="135">
      <pivotArea type="all" dataOnly="0" outline="0" fieldPosition="0"/>
    </format>
    <format dxfId="134">
      <pivotArea type="all" dataOnly="0" outline="0" fieldPosition="0"/>
    </format>
    <format dxfId="133">
      <pivotArea type="all" dataOnly="0" outline="0" fieldPosition="0"/>
    </format>
    <format dxfId="132">
      <pivotArea type="all" dataOnly="0" outline="0" fieldPosition="0"/>
    </format>
    <format dxfId="131">
      <pivotArea dataOnly="0" labelOnly="1" outline="0" fieldPosition="0">
        <references count="1">
          <reference field="4294967294" count="1">
            <x v="0"/>
          </reference>
        </references>
      </pivotArea>
    </format>
    <format dxfId="130">
      <pivotArea dataOnly="0" labelOnly="1" outline="0" fieldPosition="0">
        <references count="1">
          <reference field="4294967294" count="1">
            <x v="0"/>
          </reference>
        </references>
      </pivotArea>
    </format>
    <format dxfId="129">
      <pivotArea dataOnly="0" labelOnly="1" outline="0" fieldPosition="0">
        <references count="1">
          <reference field="4294967294" count="1">
            <x v="0"/>
          </reference>
        </references>
      </pivotArea>
    </format>
    <format dxfId="128">
      <pivotArea type="all" dataOnly="0" outline="0" fieldPosition="0"/>
    </format>
    <format dxfId="127">
      <pivotArea type="all" dataOnly="0" outline="0" fieldPosition="0"/>
    </format>
    <format dxfId="126">
      <pivotArea type="all" dataOnly="0" outline="0" fieldPosition="0"/>
    </format>
    <format dxfId="125">
      <pivotArea type="all" dataOnly="0" outline="0" fieldPosition="0"/>
    </format>
    <format dxfId="124">
      <pivotArea outline="0" collapsedLevelsAreSubtotals="1" fieldPosition="0"/>
    </format>
    <format dxfId="123">
      <pivotArea dataOnly="0" labelOnly="1" grandRow="1" outline="0" fieldPosition="0"/>
    </format>
    <format dxfId="122">
      <pivotArea dataOnly="0" labelOnly="1" outline="0" axis="axisValues" fieldPosition="0"/>
    </format>
    <format dxfId="121">
      <pivotArea grandRow="1" outline="0" collapsedLevelsAreSubtotals="1" fieldPosition="0"/>
    </format>
    <format dxfId="120">
      <pivotArea type="all" dataOnly="0" outline="0" fieldPosition="0"/>
    </format>
    <format dxfId="119">
      <pivotArea outline="0" collapsedLevelsAreSubtotals="1" fieldPosition="0"/>
    </format>
    <format dxfId="118">
      <pivotArea dataOnly="0" labelOnly="1" grandRow="1" outline="0" fieldPosition="0"/>
    </format>
    <format dxfId="117">
      <pivotArea dataOnly="0" labelOnly="1" outline="0" axis="axisValues" fieldPosition="0"/>
    </format>
    <format dxfId="116">
      <pivotArea type="all" dataOnly="0" outline="0" fieldPosition="0"/>
    </format>
    <format dxfId="115">
      <pivotArea outline="0" collapsedLevelsAreSubtotals="1" fieldPosition="0"/>
    </format>
    <format dxfId="114">
      <pivotArea dataOnly="0" labelOnly="1" grandRow="1" outline="0" fieldPosition="0"/>
    </format>
    <format dxfId="113">
      <pivotArea dataOnly="0" labelOnly="1" outline="0" axis="axisValues" fieldPosition="0"/>
    </format>
    <format dxfId="112">
      <pivotArea type="all" dataOnly="0" outline="0" fieldPosition="0"/>
    </format>
    <format dxfId="111">
      <pivotArea outline="0" collapsedLevelsAreSubtotals="1" fieldPosition="0"/>
    </format>
    <format dxfId="110">
      <pivotArea field="70" type="button" dataOnly="0" labelOnly="1" outline="0"/>
    </format>
    <format dxfId="109">
      <pivotArea dataOnly="0" labelOnly="1" grandRow="1" outline="0" fieldPosition="0"/>
    </format>
    <format dxfId="108">
      <pivotArea dataOnly="0" labelOnly="1" outline="0" axis="axisValues" fieldPosition="0"/>
    </format>
    <format dxfId="107">
      <pivotArea type="all" dataOnly="0" outline="0" fieldPosition="0"/>
    </format>
    <format dxfId="106">
      <pivotArea outline="0" collapsedLevelsAreSubtotals="1" fieldPosition="0"/>
    </format>
    <format dxfId="105">
      <pivotArea field="70" type="button" dataOnly="0" labelOnly="1" outline="0"/>
    </format>
    <format dxfId="104">
      <pivotArea dataOnly="0" labelOnly="1" grandRow="1" outline="0" fieldPosition="0"/>
    </format>
    <format dxfId="103">
      <pivotArea dataOnly="0" labelOnly="1" outline="0" axis="axisValues" fieldPosition="0"/>
    </format>
    <format dxfId="102">
      <pivotArea type="all" dataOnly="0" outline="0" fieldPosition="0"/>
    </format>
    <format dxfId="101">
      <pivotArea outline="0" collapsedLevelsAreSubtotals="1" fieldPosition="0"/>
    </format>
    <format dxfId="100">
      <pivotArea field="70" type="button" dataOnly="0" labelOnly="1" outline="0"/>
    </format>
    <format dxfId="99">
      <pivotArea dataOnly="0" labelOnly="1" grandRow="1" outline="0" fieldPosition="0"/>
    </format>
    <format dxfId="98">
      <pivotArea dataOnly="0" labelOnly="1" outline="0" axis="axisValues" fieldPosition="0"/>
    </format>
    <format dxfId="97">
      <pivotArea dataOnly="0" labelOnly="1" outline="0" fieldPosition="0">
        <references count="1">
          <reference field="2" count="0"/>
        </references>
      </pivotArea>
    </format>
    <format dxfId="96">
      <pivotArea type="all" dataOnly="0" outline="0" fieldPosition="0"/>
    </format>
    <format dxfId="95">
      <pivotArea outline="0" collapsedLevelsAreSubtotals="1" fieldPosition="0"/>
    </format>
    <format dxfId="94">
      <pivotArea field="69" type="button" dataOnly="0" labelOnly="1" outline="0" axis="axisRow" fieldPosition="0"/>
    </format>
    <format dxfId="93">
      <pivotArea dataOnly="0" labelOnly="1" fieldPosition="0">
        <references count="1">
          <reference field="69" count="6">
            <x v="0"/>
            <x v="1"/>
            <x v="3"/>
            <x v="4"/>
            <x v="5"/>
            <x v="6"/>
          </reference>
        </references>
      </pivotArea>
    </format>
    <format dxfId="92">
      <pivotArea dataOnly="0" labelOnly="1" grandRow="1" outline="0" fieldPosition="0"/>
    </format>
    <format dxfId="91">
      <pivotArea dataOnly="0" labelOnly="1" outline="0" axis="axisValues" fieldPosition="0"/>
    </format>
    <format dxfId="90">
      <pivotArea outline="0" collapsedLevelsAreSubtotals="1" fieldPosition="0"/>
    </format>
    <format dxfId="8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5283D97-6F8D-403E-BBCD-5F6781A22A35}" name="PivotTable65"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73:B174" firstHeaderRow="1" firstDataRow="1" firstDataCol="0" rowPageCount="3"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h="1" x="0"/>
        <item h="1" x="5"/>
        <item x="6"/>
        <item h="1" x="2"/>
        <item h="1" x="3"/>
        <item h="1" x="1"/>
        <item h="1" x="7"/>
        <item h="1" x="4"/>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3">
    <pageField fld="7" hier="-1"/>
    <pageField fld="1" hier="-1"/>
    <pageField fld="8" hier="-1"/>
  </pageFields>
  <dataFields count="1">
    <dataField name="Sum of Net Dwellings" fld="43" baseField="0" baseItem="0"/>
  </dataFields>
  <formats count="40">
    <format dxfId="178">
      <pivotArea type="all" dataOnly="0" outline="0" fieldPosition="0"/>
    </format>
    <format dxfId="177">
      <pivotArea type="all" dataOnly="0" outline="0" fieldPosition="0"/>
    </format>
    <format dxfId="176">
      <pivotArea type="all" dataOnly="0" outline="0" fieldPosition="0"/>
    </format>
    <format dxfId="175">
      <pivotArea type="all" dataOnly="0" outline="0" fieldPosition="0"/>
    </format>
    <format dxfId="174">
      <pivotArea type="all" dataOnly="0" outline="0" fieldPosition="0"/>
    </format>
    <format dxfId="173">
      <pivotArea type="all" dataOnly="0" outline="0" fieldPosition="0"/>
    </format>
    <format dxfId="172">
      <pivotArea type="all" dataOnly="0" outline="0" fieldPosition="0"/>
    </format>
    <format dxfId="171">
      <pivotArea type="all" dataOnly="0" outline="0" fieldPosition="0"/>
    </format>
    <format dxfId="170">
      <pivotArea type="all" dataOnly="0" outline="0" fieldPosition="0"/>
    </format>
    <format dxfId="169">
      <pivotArea type="all" dataOnly="0" outline="0" fieldPosition="0"/>
    </format>
    <format dxfId="168">
      <pivotArea type="all" dataOnly="0" outline="0" fieldPosition="0"/>
    </format>
    <format dxfId="167">
      <pivotArea outline="0" collapsedLevelsAreSubtotals="1" fieldPosition="0"/>
    </format>
    <format dxfId="166">
      <pivotArea dataOnly="0" labelOnly="1" outline="0" axis="axisValues" fieldPosition="0"/>
    </format>
    <format dxfId="165">
      <pivotArea type="all" dataOnly="0" outline="0" fieldPosition="0"/>
    </format>
    <format dxfId="164">
      <pivotArea outline="0" collapsedLevelsAreSubtotals="1" fieldPosition="0"/>
    </format>
    <format dxfId="163">
      <pivotArea dataOnly="0" labelOnly="1" outline="0" axis="axisValues" fieldPosition="0"/>
    </format>
    <format dxfId="162">
      <pivotArea type="all" dataOnly="0" outline="0" fieldPosition="0"/>
    </format>
    <format dxfId="161">
      <pivotArea outline="0" collapsedLevelsAreSubtotals="1" fieldPosition="0"/>
    </format>
    <format dxfId="160">
      <pivotArea dataOnly="0" labelOnly="1" outline="0" axis="axisValues" fieldPosition="0"/>
    </format>
    <format dxfId="159">
      <pivotArea type="all" dataOnly="0" outline="0" fieldPosition="0"/>
    </format>
    <format dxfId="158">
      <pivotArea outline="0" collapsedLevelsAreSubtotals="1" fieldPosition="0"/>
    </format>
    <format dxfId="157">
      <pivotArea dataOnly="0" labelOnly="1" outline="0" axis="axisValues" fieldPosition="0"/>
    </format>
    <format dxfId="156">
      <pivotArea type="all" dataOnly="0" outline="0" fieldPosition="0"/>
    </format>
    <format dxfId="155">
      <pivotArea outline="0" collapsedLevelsAreSubtotals="1" fieldPosition="0"/>
    </format>
    <format dxfId="154">
      <pivotArea dataOnly="0" labelOnly="1" outline="0" axis="axisValues" fieldPosition="0"/>
    </format>
    <format dxfId="153">
      <pivotArea type="all" dataOnly="0" outline="0" fieldPosition="0"/>
    </format>
    <format dxfId="152">
      <pivotArea outline="0" collapsedLevelsAreSubtotals="1" fieldPosition="0"/>
    </format>
    <format dxfId="151">
      <pivotArea dataOnly="0" labelOnly="1" outline="0" axis="axisValues" fieldPosition="0"/>
    </format>
    <format dxfId="150">
      <pivotArea type="all" dataOnly="0" outline="0" fieldPosition="0"/>
    </format>
    <format dxfId="149">
      <pivotArea outline="0" collapsedLevelsAreSubtotals="1" fieldPosition="0"/>
    </format>
    <format dxfId="148">
      <pivotArea dataOnly="0" labelOnly="1" outline="0" axis="axisValues" fieldPosition="0"/>
    </format>
    <format dxfId="147">
      <pivotArea type="all" dataOnly="0" outline="0" fieldPosition="0"/>
    </format>
    <format dxfId="146">
      <pivotArea outline="0" collapsedLevelsAreSubtotals="1" fieldPosition="0"/>
    </format>
    <format dxfId="145">
      <pivotArea type="all" dataOnly="0" outline="0" fieldPosition="0"/>
    </format>
    <format dxfId="144">
      <pivotArea outline="0" collapsedLevelsAreSubtotals="1" fieldPosition="0"/>
    </format>
    <format dxfId="143">
      <pivotArea outline="0" collapsedLevelsAreSubtotals="1" fieldPosition="0"/>
    </format>
    <format dxfId="142">
      <pivotArea type="all" dataOnly="0" outline="0" fieldPosition="0"/>
    </format>
    <format dxfId="141">
      <pivotArea type="all" dataOnly="0" outline="0" fieldPosition="0"/>
    </format>
    <format dxfId="140">
      <pivotArea outline="0" collapsedLevelsAreSubtotals="1" fieldPosition="0"/>
    </format>
    <format dxfId="1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017D656-D350-40B7-A555-AF74C6277D2F}" name="PivotTable4"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4:B25" firstHeaderRow="1" firstDataRow="1" firstDataCol="0" rowPageCount="3" colPageCount="1"/>
  <pivotFields count="84">
    <pivotField showAll="0"/>
    <pivotField axis="axisPage" multipleItemSelectionAllowed="1" showAll="0" defaultSubtotal="0">
      <items count="5">
        <item h="1" x="1"/>
        <item h="1" x="2"/>
        <item h="1" x="3"/>
        <item x="4"/>
        <item x="0"/>
      </items>
    </pivotField>
    <pivotField showAll="0"/>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h="1" x="0"/>
        <item h="1" x="1"/>
        <item x="2"/>
        <item h="1" x="3"/>
        <item h="1" x="6"/>
        <item h="1" x="4"/>
        <item h="1" x="5"/>
        <item t="default"/>
      </items>
    </pivotField>
    <pivotField showAll="0"/>
    <pivotField axis="axisPage" multipleItemSelectionAllowed="1" showAll="0">
      <items count="16">
        <item h="1" x="1"/>
        <item x="0"/>
        <item h="1" x="2"/>
        <item h="1" x="3"/>
        <item h="1" x="6"/>
        <item h="1" x="10"/>
        <item h="1" x="11"/>
        <item h="1" x="12"/>
        <item h="1" x="13"/>
        <item h="1" x="14"/>
        <item h="1" x="7"/>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3">
    <pageField fld="1" hier="-1"/>
    <pageField fld="7" hier="-1"/>
    <pageField fld="9" hier="-1"/>
  </pageFields>
  <dataFields count="1">
    <dataField name="Sum of Net Dwellings" fld="43" baseField="0" baseItem="0" numFmtId="1"/>
  </dataFields>
  <formats count="44">
    <format dxfId="222">
      <pivotArea type="all" dataOnly="0" outline="0" fieldPosition="0"/>
    </format>
    <format dxfId="221">
      <pivotArea type="all" dataOnly="0" outline="0" fieldPosition="0"/>
    </format>
    <format dxfId="220">
      <pivotArea type="all" dataOnly="0" outline="0" fieldPosition="0"/>
    </format>
    <format dxfId="219">
      <pivotArea type="all" dataOnly="0" outline="0" fieldPosition="0"/>
    </format>
    <format dxfId="218">
      <pivotArea type="all" dataOnly="0" outline="0" fieldPosition="0"/>
    </format>
    <format dxfId="217">
      <pivotArea type="all" dataOnly="0" outline="0" fieldPosition="0"/>
    </format>
    <format dxfId="216">
      <pivotArea type="all" dataOnly="0" outline="0" fieldPosition="0"/>
    </format>
    <format dxfId="215">
      <pivotArea type="all" dataOnly="0" outline="0" fieldPosition="0"/>
    </format>
    <format dxfId="214">
      <pivotArea type="all" dataOnly="0" outline="0" fieldPosition="0"/>
    </format>
    <format dxfId="213">
      <pivotArea type="all" dataOnly="0" outline="0" fieldPosition="0"/>
    </format>
    <format dxfId="212">
      <pivotArea type="all" dataOnly="0" outline="0" fieldPosition="0"/>
    </format>
    <format dxfId="211">
      <pivotArea outline="0" collapsedLevelsAreSubtotals="1" fieldPosition="0"/>
    </format>
    <format dxfId="210">
      <pivotArea dataOnly="0" labelOnly="1" outline="0" axis="axisValues" fieldPosition="0"/>
    </format>
    <format dxfId="209">
      <pivotArea type="all" dataOnly="0" outline="0" fieldPosition="0"/>
    </format>
    <format dxfId="208">
      <pivotArea outline="0" collapsedLevelsAreSubtotals="1" fieldPosition="0"/>
    </format>
    <format dxfId="207">
      <pivotArea dataOnly="0" labelOnly="1" outline="0" axis="axisValues" fieldPosition="0"/>
    </format>
    <format dxfId="206">
      <pivotArea type="all" dataOnly="0" outline="0" fieldPosition="0"/>
    </format>
    <format dxfId="205">
      <pivotArea outline="0" collapsedLevelsAreSubtotals="1" fieldPosition="0"/>
    </format>
    <format dxfId="204">
      <pivotArea dataOnly="0" labelOnly="1" outline="0" axis="axisValues" fieldPosition="0"/>
    </format>
    <format dxfId="203">
      <pivotArea type="all" dataOnly="0" outline="0" fieldPosition="0"/>
    </format>
    <format dxfId="202">
      <pivotArea outline="0" collapsedLevelsAreSubtotals="1" fieldPosition="0"/>
    </format>
    <format dxfId="201">
      <pivotArea dataOnly="0" labelOnly="1" outline="0" axis="axisValues" fieldPosition="0"/>
    </format>
    <format dxfId="200">
      <pivotArea outline="0" collapsedLevelsAreSubtotals="1" fieldPosition="0"/>
    </format>
    <format dxfId="199">
      <pivotArea outline="0" collapsedLevelsAreSubtotals="1" fieldPosition="0"/>
    </format>
    <format dxfId="198">
      <pivotArea type="all" dataOnly="0" outline="0" fieldPosition="0"/>
    </format>
    <format dxfId="197">
      <pivotArea outline="0" collapsedLevelsAreSubtotals="1" fieldPosition="0"/>
    </format>
    <format dxfId="196">
      <pivotArea dataOnly="0" labelOnly="1" outline="0" axis="axisValues" fieldPosition="0"/>
    </format>
    <format dxfId="195">
      <pivotArea type="all" dataOnly="0" outline="0" fieldPosition="0"/>
    </format>
    <format dxfId="194">
      <pivotArea outline="0" collapsedLevelsAreSubtotals="1" fieldPosition="0"/>
    </format>
    <format dxfId="193">
      <pivotArea dataOnly="0" labelOnly="1" outline="0" axis="axisValues" fieldPosition="0"/>
    </format>
    <format dxfId="192">
      <pivotArea type="all" dataOnly="0" outline="0" fieldPosition="0"/>
    </format>
    <format dxfId="191">
      <pivotArea outline="0" collapsedLevelsAreSubtotals="1" fieldPosition="0"/>
    </format>
    <format dxfId="190">
      <pivotArea dataOnly="0" labelOnly="1" outline="0" axis="axisValues" fieldPosition="0"/>
    </format>
    <format dxfId="189">
      <pivotArea type="all" dataOnly="0" outline="0" fieldPosition="0"/>
    </format>
    <format dxfId="188">
      <pivotArea outline="0" collapsedLevelsAreSubtotals="1" fieldPosition="0"/>
    </format>
    <format dxfId="187">
      <pivotArea type="all" dataOnly="0" outline="0" fieldPosition="0"/>
    </format>
    <format dxfId="186">
      <pivotArea outline="0" collapsedLevelsAreSubtotals="1" fieldPosition="0"/>
    </format>
    <format dxfId="185">
      <pivotArea outline="0" collapsedLevelsAreSubtotals="1" fieldPosition="0"/>
    </format>
    <format dxfId="184">
      <pivotArea outline="0" collapsedLevelsAreSubtotals="1" fieldPosition="0"/>
    </format>
    <format dxfId="183">
      <pivotArea outline="0" collapsedLevelsAreSubtotals="1" fieldPosition="0"/>
    </format>
    <format dxfId="182">
      <pivotArea type="all" dataOnly="0" outline="0" fieldPosition="0"/>
    </format>
    <format dxfId="181">
      <pivotArea type="all" dataOnly="0" outline="0" fieldPosition="0"/>
    </format>
    <format dxfId="180">
      <pivotArea outline="0" collapsedLevelsAreSubtotals="1" fieldPosition="0"/>
    </format>
    <format dxfId="17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5AB027B-8DFF-4B24-A51D-8B6DFEDD94FD}" name="PivotTable11"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71:B72" firstHeaderRow="1" firstDataRow="1" firstDataCol="0" rowPageCount="2"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2">
    <pageField fld="7" hier="-1"/>
    <pageField fld="1" hier="-1"/>
  </pageFields>
  <dataFields count="1">
    <dataField name="Sum of Units Proposed" fld="34" baseField="0" baseItem="0"/>
  </dataFields>
  <formats count="40">
    <format dxfId="262">
      <pivotArea type="all" dataOnly="0" outline="0" fieldPosition="0"/>
    </format>
    <format dxfId="261">
      <pivotArea type="all" dataOnly="0" outline="0" fieldPosition="0"/>
    </format>
    <format dxfId="260">
      <pivotArea type="all" dataOnly="0" outline="0" fieldPosition="0"/>
    </format>
    <format dxfId="259">
      <pivotArea type="all" dataOnly="0" outline="0" fieldPosition="0"/>
    </format>
    <format dxfId="258">
      <pivotArea type="all" dataOnly="0" outline="0" fieldPosition="0"/>
    </format>
    <format dxfId="257">
      <pivotArea type="all" dataOnly="0" outline="0" fieldPosition="0"/>
    </format>
    <format dxfId="256">
      <pivotArea type="all" dataOnly="0" outline="0" fieldPosition="0"/>
    </format>
    <format dxfId="255">
      <pivotArea type="all" dataOnly="0" outline="0" fieldPosition="0"/>
    </format>
    <format dxfId="254">
      <pivotArea type="all" dataOnly="0" outline="0" fieldPosition="0"/>
    </format>
    <format dxfId="253">
      <pivotArea type="all" dataOnly="0" outline="0" fieldPosition="0"/>
    </format>
    <format dxfId="252">
      <pivotArea type="all" dataOnly="0" outline="0" fieldPosition="0"/>
    </format>
    <format dxfId="251">
      <pivotArea outline="0" collapsedLevelsAreSubtotals="1" fieldPosition="0"/>
    </format>
    <format dxfId="250">
      <pivotArea dataOnly="0" labelOnly="1" outline="0" axis="axisValues" fieldPosition="0"/>
    </format>
    <format dxfId="249">
      <pivotArea type="all" dataOnly="0" outline="0" fieldPosition="0"/>
    </format>
    <format dxfId="248">
      <pivotArea outline="0" collapsedLevelsAreSubtotals="1" fieldPosition="0"/>
    </format>
    <format dxfId="247">
      <pivotArea dataOnly="0" labelOnly="1" outline="0" axis="axisValues" fieldPosition="0"/>
    </format>
    <format dxfId="246">
      <pivotArea type="all" dataOnly="0" outline="0" fieldPosition="0"/>
    </format>
    <format dxfId="245">
      <pivotArea outline="0" collapsedLevelsAreSubtotals="1" fieldPosition="0"/>
    </format>
    <format dxfId="244">
      <pivotArea dataOnly="0" labelOnly="1" outline="0" axis="axisValues" fieldPosition="0"/>
    </format>
    <format dxfId="243">
      <pivotArea type="all" dataOnly="0" outline="0" fieldPosition="0"/>
    </format>
    <format dxfId="242">
      <pivotArea outline="0" collapsedLevelsAreSubtotals="1" fieldPosition="0"/>
    </format>
    <format dxfId="241">
      <pivotArea dataOnly="0" labelOnly="1" outline="0" axis="axisValues" fieldPosition="0"/>
    </format>
    <format dxfId="240">
      <pivotArea type="all" dataOnly="0" outline="0" fieldPosition="0"/>
    </format>
    <format dxfId="239">
      <pivotArea outline="0" collapsedLevelsAreSubtotals="1" fieldPosition="0"/>
    </format>
    <format dxfId="238">
      <pivotArea dataOnly="0" labelOnly="1" outline="0" axis="axisValues" fieldPosition="0"/>
    </format>
    <format dxfId="237">
      <pivotArea type="all" dataOnly="0" outline="0" fieldPosition="0"/>
    </format>
    <format dxfId="236">
      <pivotArea outline="0" collapsedLevelsAreSubtotals="1" fieldPosition="0"/>
    </format>
    <format dxfId="235">
      <pivotArea dataOnly="0" labelOnly="1" outline="0" axis="axisValues" fieldPosition="0"/>
    </format>
    <format dxfId="234">
      <pivotArea type="all" dataOnly="0" outline="0" fieldPosition="0"/>
    </format>
    <format dxfId="233">
      <pivotArea outline="0" collapsedLevelsAreSubtotals="1" fieldPosition="0"/>
    </format>
    <format dxfId="232">
      <pivotArea dataOnly="0" labelOnly="1" outline="0" axis="axisValues" fieldPosition="0"/>
    </format>
    <format dxfId="231">
      <pivotArea type="all" dataOnly="0" outline="0" fieldPosition="0"/>
    </format>
    <format dxfId="230">
      <pivotArea outline="0" collapsedLevelsAreSubtotals="1" fieldPosition="0"/>
    </format>
    <format dxfId="229">
      <pivotArea type="all" dataOnly="0" outline="0" fieldPosition="0"/>
    </format>
    <format dxfId="228">
      <pivotArea outline="0" collapsedLevelsAreSubtotals="1" fieldPosition="0"/>
    </format>
    <format dxfId="227">
      <pivotArea outline="0" collapsedLevelsAreSubtotals="1" fieldPosition="0"/>
    </format>
    <format dxfId="226">
      <pivotArea type="all" dataOnly="0" outline="0" fieldPosition="0"/>
    </format>
    <format dxfId="225">
      <pivotArea type="all" dataOnly="0" outline="0" fieldPosition="0"/>
    </format>
    <format dxfId="224">
      <pivotArea outline="0" collapsedLevelsAreSubtotals="1" fieldPosition="0"/>
    </format>
    <format dxfId="2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8085545-43AA-4162-8D47-067691E25D98}" name="PivotTable84" cacheId="0" applyNumberFormats="0" applyBorderFormats="0" applyFontFormats="0" applyPatternFormats="0" applyAlignmentFormats="0" applyWidthHeightFormats="1" dataCaption="Values" updatedVersion="8" minRefreshableVersion="3" itemPrintTitles="1" createdVersion="4" indent="0" outline="1" outlineData="1" multipleFieldFilters="0" rowHeaderCaption="SELECT SITES">
  <location ref="E24:F36" firstHeaderRow="1" firstDataRow="1" firstDataCol="1" rowPageCount="1" colPageCount="1"/>
  <pivotFields count="84">
    <pivotField showAll="0"/>
    <pivotField multipleItemSelectionAllowed="1" showAll="0" defaultSubtotal="0"/>
    <pivotField multipleItemSelectionAllowed="1" showAll="0"/>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h="1" x="0"/>
        <item h="1" x="1"/>
        <item h="1" x="2"/>
        <item x="6"/>
        <item h="1" x="3"/>
        <item x="4"/>
        <item x="5"/>
        <item t="default"/>
      </items>
    </pivotField>
    <pivotField showAll="0"/>
    <pivotField axis="axisRow" showAll="0" sortType="ascending">
      <items count="16">
        <item x="5"/>
        <item x="9"/>
        <item x="4"/>
        <item x="7"/>
        <item x="13"/>
        <item x="1"/>
        <item x="2"/>
        <item x="14"/>
        <item x="8"/>
        <item x="6"/>
        <item x="10"/>
        <item x="3"/>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9"/>
  </rowFields>
  <rowItems count="12">
    <i>
      <x/>
    </i>
    <i>
      <x v="1"/>
    </i>
    <i>
      <x v="2"/>
    </i>
    <i>
      <x v="3"/>
    </i>
    <i>
      <x v="4"/>
    </i>
    <i>
      <x v="7"/>
    </i>
    <i>
      <x v="8"/>
    </i>
    <i>
      <x v="9"/>
    </i>
    <i>
      <x v="10"/>
    </i>
    <i>
      <x v="12"/>
    </i>
    <i>
      <x v="13"/>
    </i>
    <i t="grand">
      <x/>
    </i>
  </rowItems>
  <colItems count="1">
    <i/>
  </colItems>
  <pageFields count="1">
    <pageField fld="7" hier="-1"/>
  </pageFields>
  <dataFields count="1">
    <dataField name="Sum of 2024-2034 Total" fld="63" baseField="0" baseItem="0"/>
  </dataFields>
  <formats count="81">
    <format dxfId="343">
      <pivotArea type="all" dataOnly="0" outline="0" fieldPosition="0"/>
    </format>
    <format dxfId="342">
      <pivotArea type="all" dataOnly="0" outline="0" fieldPosition="0"/>
    </format>
    <format dxfId="341">
      <pivotArea type="all" dataOnly="0" outline="0" fieldPosition="0"/>
    </format>
    <format dxfId="340">
      <pivotArea type="all" dataOnly="0" outline="0" fieldPosition="0"/>
    </format>
    <format dxfId="339">
      <pivotArea type="all" dataOnly="0" outline="0" fieldPosition="0"/>
    </format>
    <format dxfId="338">
      <pivotArea type="all" dataOnly="0" outline="0" fieldPosition="0"/>
    </format>
    <format dxfId="337">
      <pivotArea type="all" dataOnly="0" outline="0" fieldPosition="0"/>
    </format>
    <format dxfId="336">
      <pivotArea type="all" dataOnly="0" outline="0" fieldPosition="0"/>
    </format>
    <format dxfId="335">
      <pivotArea type="all" dataOnly="0" outline="0" fieldPosition="0"/>
    </format>
    <format dxfId="334">
      <pivotArea type="all" dataOnly="0" outline="0" fieldPosition="0"/>
    </format>
    <format dxfId="333">
      <pivotArea type="all" dataOnly="0" outline="0" fieldPosition="0"/>
    </format>
    <format dxfId="332">
      <pivotArea outline="0" collapsedLevelsAreSubtotals="1" fieldPosition="0"/>
    </format>
    <format dxfId="331">
      <pivotArea dataOnly="0" labelOnly="1" outline="0" axis="axisValues" fieldPosition="0"/>
    </format>
    <format dxfId="330">
      <pivotArea type="all" dataOnly="0" outline="0" fieldPosition="0"/>
    </format>
    <format dxfId="329">
      <pivotArea outline="0" collapsedLevelsAreSubtotals="1" fieldPosition="0"/>
    </format>
    <format dxfId="328">
      <pivotArea dataOnly="0" labelOnly="1" grandRow="1" outline="0" fieldPosition="0"/>
    </format>
    <format dxfId="327">
      <pivotArea dataOnly="0" labelOnly="1" outline="0" axis="axisValues" fieldPosition="0"/>
    </format>
    <format dxfId="326">
      <pivotArea type="all" dataOnly="0" outline="0" fieldPosition="0"/>
    </format>
    <format dxfId="325">
      <pivotArea outline="0" collapsedLevelsAreSubtotals="1" fieldPosition="0"/>
    </format>
    <format dxfId="324">
      <pivotArea dataOnly="0" labelOnly="1" grandRow="1" outline="0" fieldPosition="0"/>
    </format>
    <format dxfId="323">
      <pivotArea dataOnly="0" labelOnly="1" outline="0" axis="axisValues" fieldPosition="0"/>
    </format>
    <format dxfId="322">
      <pivotArea type="all" dataOnly="0" outline="0" fieldPosition="0"/>
    </format>
    <format dxfId="321">
      <pivotArea type="all" dataOnly="0" outline="0" fieldPosition="0"/>
    </format>
    <format dxfId="320">
      <pivotArea outline="0" collapsedLevelsAreSubtotals="1" fieldPosition="0"/>
    </format>
    <format dxfId="319">
      <pivotArea dataOnly="0" labelOnly="1" grandRow="1" outline="0" fieldPosition="0"/>
    </format>
    <format dxfId="318">
      <pivotArea dataOnly="0" labelOnly="1" outline="0" axis="axisValues" fieldPosition="0"/>
    </format>
    <format dxfId="317">
      <pivotArea type="all" dataOnly="0" outline="0" fieldPosition="0"/>
    </format>
    <format dxfId="316">
      <pivotArea outline="0" collapsedLevelsAreSubtotals="1" fieldPosition="0"/>
    </format>
    <format dxfId="315">
      <pivotArea dataOnly="0" labelOnly="1" grandRow="1" outline="0" fieldPosition="0"/>
    </format>
    <format dxfId="314">
      <pivotArea dataOnly="0" labelOnly="1" outline="0" axis="axisValues" fieldPosition="0"/>
    </format>
    <format dxfId="313">
      <pivotArea type="all" dataOnly="0" outline="0" fieldPosition="0"/>
    </format>
    <format dxfId="312">
      <pivotArea outline="0" collapsedLevelsAreSubtotals="1" fieldPosition="0"/>
    </format>
    <format dxfId="311">
      <pivotArea dataOnly="0" labelOnly="1" grandRow="1" outline="0" fieldPosition="0"/>
    </format>
    <format dxfId="310">
      <pivotArea dataOnly="0" labelOnly="1" outline="0" axis="axisValues" fieldPosition="0"/>
    </format>
    <format dxfId="309">
      <pivotArea type="all" dataOnly="0" outline="0" fieldPosition="0"/>
    </format>
    <format dxfId="308">
      <pivotArea outline="0" collapsedLevelsAreSubtotals="1" fieldPosition="0"/>
    </format>
    <format dxfId="307">
      <pivotArea dataOnly="0" labelOnly="1" grandRow="1" outline="0" fieldPosition="0"/>
    </format>
    <format dxfId="306">
      <pivotArea dataOnly="0" labelOnly="1" outline="0" axis="axisValues" fieldPosition="0"/>
    </format>
    <format dxfId="305">
      <pivotArea type="all" dataOnly="0" outline="0" fieldPosition="0"/>
    </format>
    <format dxfId="304">
      <pivotArea outline="0" collapsedLevelsAreSubtotals="1" fieldPosition="0"/>
    </format>
    <format dxfId="303">
      <pivotArea dataOnly="0" labelOnly="1" grandRow="1" outline="0" fieldPosition="0"/>
    </format>
    <format dxfId="302">
      <pivotArea dataOnly="0" labelOnly="1" outline="0" axis="axisValues" fieldPosition="0"/>
    </format>
    <format dxfId="301">
      <pivotArea type="all" dataOnly="0" outline="0" fieldPosition="0"/>
    </format>
    <format dxfId="300">
      <pivotArea outline="0" collapsedLevelsAreSubtotals="1" fieldPosition="0"/>
    </format>
    <format dxfId="299">
      <pivotArea dataOnly="0" labelOnly="1" grandRow="1" outline="0" fieldPosition="0"/>
    </format>
    <format dxfId="298">
      <pivotArea dataOnly="0" labelOnly="1" outline="0" axis="axisValues" fieldPosition="0"/>
    </format>
    <format dxfId="297">
      <pivotArea type="all" dataOnly="0" outline="0" fieldPosition="0"/>
    </format>
    <format dxfId="296">
      <pivotArea outline="0" collapsedLevelsAreSubtotals="1" fieldPosition="0"/>
    </format>
    <format dxfId="295">
      <pivotArea dataOnly="0" labelOnly="1" grandRow="1" outline="0" fieldPosition="0"/>
    </format>
    <format dxfId="294">
      <pivotArea dataOnly="0" labelOnly="1" outline="0" axis="axisValues" fieldPosition="0"/>
    </format>
    <format dxfId="293">
      <pivotArea type="all" dataOnly="0" outline="0" fieldPosition="0"/>
    </format>
    <format dxfId="292">
      <pivotArea outline="0" collapsedLevelsAreSubtotals="1" fieldPosition="0"/>
    </format>
    <format dxfId="291">
      <pivotArea dataOnly="0" labelOnly="1" grandRow="1" outline="0" fieldPosition="0"/>
    </format>
    <format dxfId="290">
      <pivotArea dataOnly="0" labelOnly="1" outline="0" axis="axisValues" fieldPosition="0"/>
    </format>
    <format dxfId="289">
      <pivotArea type="all" dataOnly="0" outline="0" fieldPosition="0"/>
    </format>
    <format dxfId="288">
      <pivotArea type="all" dataOnly="0" outline="0" fieldPosition="0"/>
    </format>
    <format dxfId="287">
      <pivotArea dataOnly="0" labelOnly="1" grandRow="1" outline="0" fieldPosition="0"/>
    </format>
    <format dxfId="286">
      <pivotArea dataOnly="0" labelOnly="1" grandRow="1" outline="0" fieldPosition="0"/>
    </format>
    <format dxfId="285">
      <pivotArea type="all" dataOnly="0" outline="0" fieldPosition="0"/>
    </format>
    <format dxfId="284">
      <pivotArea outline="0" collapsedLevelsAreSubtotals="1" fieldPosition="0"/>
    </format>
    <format dxfId="283">
      <pivotArea field="9" type="button" dataOnly="0" labelOnly="1" outline="0" axis="axisRow" fieldPosition="0"/>
    </format>
    <format dxfId="282">
      <pivotArea dataOnly="0" labelOnly="1" fieldPosition="0">
        <references count="1">
          <reference field="9" count="5">
            <x v="7"/>
            <x v="9"/>
            <x v="10"/>
            <x v="12"/>
            <x v="13"/>
          </reference>
        </references>
      </pivotArea>
    </format>
    <format dxfId="281">
      <pivotArea dataOnly="0" labelOnly="1" grandRow="1" outline="0" fieldPosition="0"/>
    </format>
    <format dxfId="280">
      <pivotArea dataOnly="0" labelOnly="1" outline="0" axis="axisValues" fieldPosition="0"/>
    </format>
    <format dxfId="279">
      <pivotArea type="all" dataOnly="0" outline="0" fieldPosition="0"/>
    </format>
    <format dxfId="278">
      <pivotArea type="all" dataOnly="0" outline="0" fieldPosition="0"/>
    </format>
    <format dxfId="277">
      <pivotArea collapsedLevelsAreSubtotals="1" fieldPosition="0">
        <references count="1">
          <reference field="9" count="5">
            <x v="7"/>
            <x v="9"/>
            <x v="10"/>
            <x v="12"/>
            <x v="13"/>
          </reference>
        </references>
      </pivotArea>
    </format>
    <format dxfId="276">
      <pivotArea grandRow="1" outline="0" collapsedLevelsAreSubtotals="1" fieldPosition="0"/>
    </format>
    <format dxfId="275">
      <pivotArea type="all" dataOnly="0" outline="0" fieldPosition="0"/>
    </format>
    <format dxfId="274">
      <pivotArea outline="0" collapsedLevelsAreSubtotals="1" fieldPosition="0"/>
    </format>
    <format dxfId="273">
      <pivotArea field="9" type="button" dataOnly="0" labelOnly="1" outline="0" axis="axisRow" fieldPosition="0"/>
    </format>
    <format dxfId="272">
      <pivotArea dataOnly="0" labelOnly="1" fieldPosition="0">
        <references count="1">
          <reference field="9" count="6">
            <x v="4"/>
            <x v="7"/>
            <x v="9"/>
            <x v="10"/>
            <x v="12"/>
            <x v="13"/>
          </reference>
        </references>
      </pivotArea>
    </format>
    <format dxfId="271">
      <pivotArea dataOnly="0" labelOnly="1" grandRow="1" outline="0" fieldPosition="0"/>
    </format>
    <format dxfId="270">
      <pivotArea type="all" dataOnly="0" outline="0" fieldPosition="0"/>
    </format>
    <format dxfId="269">
      <pivotArea outline="0" collapsedLevelsAreSubtotals="1" fieldPosition="0"/>
    </format>
    <format dxfId="268">
      <pivotArea field="9" type="button" dataOnly="0" labelOnly="1" outline="0" axis="axisRow" fieldPosition="0"/>
    </format>
    <format dxfId="267">
      <pivotArea dataOnly="0" labelOnly="1" fieldPosition="0">
        <references count="1">
          <reference field="9" count="6">
            <x v="4"/>
            <x v="7"/>
            <x v="9"/>
            <x v="10"/>
            <x v="12"/>
            <x v="13"/>
          </reference>
        </references>
      </pivotArea>
    </format>
    <format dxfId="266">
      <pivotArea dataOnly="0" labelOnly="1" grandRow="1" outline="0" fieldPosition="0"/>
    </format>
    <format dxfId="265">
      <pivotArea dataOnly="0" labelOnly="1" outline="0" axis="axisValues" fieldPosition="0"/>
    </format>
    <format dxfId="264">
      <pivotArea dataOnly="0" labelOnly="1" fieldPosition="0">
        <references count="1">
          <reference field="9" count="11">
            <x v="0"/>
            <x v="1"/>
            <x v="2"/>
            <x v="3"/>
            <x v="4"/>
            <x v="7"/>
            <x v="8"/>
            <x v="9"/>
            <x v="10"/>
            <x v="12"/>
            <x v="13"/>
          </reference>
        </references>
      </pivotArea>
    </format>
    <format dxfId="263">
      <pivotArea collapsedLevelsAreSubtotals="1" fieldPosition="0">
        <references count="1">
          <reference field="9" count="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5864275-FC48-4FEB-8675-AE4D8A236075}" name="PivotTable8"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40:C243" firstHeaderRow="1"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44"/>
  </rowFields>
  <rowItems count="3">
    <i>
      <x/>
    </i>
    <i>
      <x v="1"/>
    </i>
    <i t="grand">
      <x/>
    </i>
  </rowItems>
  <colItems count="1">
    <i/>
  </colItems>
  <pageFields count="1">
    <pageField fld="7" hier="-1"/>
  </pageFields>
  <dataFields count="1">
    <dataField name="Sum of Net Dwellings" fld="43" baseField="0" baseItem="0"/>
  </dataFields>
  <formats count="35">
    <format dxfId="378">
      <pivotArea type="all" dataOnly="0" outline="0" fieldPosition="0"/>
    </format>
    <format dxfId="377">
      <pivotArea type="all" dataOnly="0" outline="0" fieldPosition="0"/>
    </format>
    <format dxfId="376">
      <pivotArea type="all" dataOnly="0" outline="0" fieldPosition="0"/>
    </format>
    <format dxfId="375">
      <pivotArea type="all" dataOnly="0" outline="0" fieldPosition="0"/>
    </format>
    <format dxfId="374">
      <pivotArea type="all" dataOnly="0" outline="0" fieldPosition="0"/>
    </format>
    <format dxfId="373">
      <pivotArea type="all" dataOnly="0" outline="0" fieldPosition="0"/>
    </format>
    <format dxfId="372">
      <pivotArea type="all" dataOnly="0" outline="0" fieldPosition="0"/>
    </format>
    <format dxfId="371">
      <pivotArea type="all" dataOnly="0" outline="0" fieldPosition="0"/>
    </format>
    <format dxfId="370">
      <pivotArea type="all" dataOnly="0" outline="0" fieldPosition="0"/>
    </format>
    <format dxfId="369">
      <pivotArea type="all" dataOnly="0" outline="0" fieldPosition="0"/>
    </format>
    <format dxfId="368">
      <pivotArea type="all" dataOnly="0" outline="0" fieldPosition="0"/>
    </format>
    <format dxfId="367">
      <pivotArea outline="0" collapsedLevelsAreSubtotals="1" fieldPosition="0"/>
    </format>
    <format dxfId="366">
      <pivotArea dataOnly="0" labelOnly="1" grandRow="1" outline="0" fieldPosition="0"/>
    </format>
    <format dxfId="365">
      <pivotArea dataOnly="0" labelOnly="1" outline="0" axis="axisValues" fieldPosition="0"/>
    </format>
    <format dxfId="364">
      <pivotArea type="all" dataOnly="0" outline="0" fieldPosition="0"/>
    </format>
    <format dxfId="363">
      <pivotArea outline="0" collapsedLevelsAreSubtotals="1" fieldPosition="0"/>
    </format>
    <format dxfId="362">
      <pivotArea dataOnly="0" labelOnly="1" grandRow="1" outline="0" fieldPosition="0"/>
    </format>
    <format dxfId="361">
      <pivotArea dataOnly="0" labelOnly="1" outline="0" axis="axisValues" fieldPosition="0"/>
    </format>
    <format dxfId="360">
      <pivotArea type="all" dataOnly="0" outline="0" fieldPosition="0"/>
    </format>
    <format dxfId="359">
      <pivotArea outline="0" collapsedLevelsAreSubtotals="1" fieldPosition="0"/>
    </format>
    <format dxfId="358">
      <pivotArea dataOnly="0" labelOnly="1" grandRow="1" outline="0" fieldPosition="0"/>
    </format>
    <format dxfId="357">
      <pivotArea dataOnly="0" labelOnly="1" outline="0" axis="axisValues" fieldPosition="0"/>
    </format>
    <format dxfId="356">
      <pivotArea type="all" dataOnly="0" outline="0" fieldPosition="0"/>
    </format>
    <format dxfId="355">
      <pivotArea outline="0" collapsedLevelsAreSubtotals="1" fieldPosition="0"/>
    </format>
    <format dxfId="354">
      <pivotArea dataOnly="0" labelOnly="1" grandRow="1" outline="0" fieldPosition="0"/>
    </format>
    <format dxfId="353">
      <pivotArea dataOnly="0" labelOnly="1" outline="0" axis="axisValues" fieldPosition="0"/>
    </format>
    <format dxfId="352">
      <pivotArea type="all" dataOnly="0" outline="0" fieldPosition="0"/>
    </format>
    <format dxfId="351">
      <pivotArea type="all" dataOnly="0" outline="0" fieldPosition="0"/>
    </format>
    <format dxfId="350">
      <pivotArea type="all" dataOnly="0" outline="0" fieldPosition="0"/>
    </format>
    <format dxfId="349">
      <pivotArea outline="0" collapsedLevelsAreSubtotals="1" fieldPosition="0"/>
    </format>
    <format dxfId="348">
      <pivotArea dataOnly="0" labelOnly="1" grandRow="1" outline="0" fieldPosition="0"/>
    </format>
    <format dxfId="347">
      <pivotArea type="all" dataOnly="0" outline="0" fieldPosition="0"/>
    </format>
    <format dxfId="346">
      <pivotArea outline="0" collapsedLevelsAreSubtotals="1" fieldPosition="0"/>
    </format>
    <format dxfId="345">
      <pivotArea dataOnly="0" labelOnly="1" grandRow="1" outline="0" fieldPosition="0"/>
    </format>
    <format dxfId="3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A2A0A56-887F-4768-8EF8-3DD7B78E54F9}" name="PivotTable2"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6:B7" firstHeaderRow="1" firstDataRow="1" firstDataCol="0" rowPageCount="1" colPageCount="1"/>
  <pivotFields count="84">
    <pivotField showAll="0"/>
    <pivotField multipleItemSelectionAllowed="1" showAll="0" defaultSubtotal="0"/>
    <pivotField showAll="0"/>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x="0"/>
        <item h="1" x="1"/>
        <item h="1" x="2"/>
        <item h="1" x="3"/>
        <item h="1" x="6"/>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1">
    <pageField fld="7" hier="-1"/>
  </pageFields>
  <dataFields count="1">
    <dataField name="Sum of Net Dwellings" fld="43" baseField="0" baseItem="0"/>
  </dataFields>
  <formats count="43">
    <format dxfId="421">
      <pivotArea type="all" dataOnly="0" outline="0" fieldPosition="0"/>
    </format>
    <format dxfId="420">
      <pivotArea type="all" dataOnly="0" outline="0" fieldPosition="0"/>
    </format>
    <format dxfId="419">
      <pivotArea type="all" dataOnly="0" outline="0" fieldPosition="0"/>
    </format>
    <format dxfId="418">
      <pivotArea type="all" dataOnly="0" outline="0" fieldPosition="0"/>
    </format>
    <format dxfId="417">
      <pivotArea type="all" dataOnly="0" outline="0" fieldPosition="0"/>
    </format>
    <format dxfId="416">
      <pivotArea type="all" dataOnly="0" outline="0" fieldPosition="0"/>
    </format>
    <format dxfId="415">
      <pivotArea type="all" dataOnly="0" outline="0" fieldPosition="0"/>
    </format>
    <format dxfId="414">
      <pivotArea type="all" dataOnly="0" outline="0" fieldPosition="0"/>
    </format>
    <format dxfId="413">
      <pivotArea type="all" dataOnly="0" outline="0" fieldPosition="0"/>
    </format>
    <format dxfId="412">
      <pivotArea type="all" dataOnly="0" outline="0" fieldPosition="0"/>
    </format>
    <format dxfId="411">
      <pivotArea type="all" dataOnly="0" outline="0" fieldPosition="0"/>
    </format>
    <format dxfId="410">
      <pivotArea outline="0" collapsedLevelsAreSubtotals="1" fieldPosition="0"/>
    </format>
    <format dxfId="409">
      <pivotArea dataOnly="0" labelOnly="1" outline="0" axis="axisValues" fieldPosition="0"/>
    </format>
    <format dxfId="408">
      <pivotArea type="all" dataOnly="0" outline="0" fieldPosition="0"/>
    </format>
    <format dxfId="407">
      <pivotArea outline="0" collapsedLevelsAreSubtotals="1" fieldPosition="0"/>
    </format>
    <format dxfId="406">
      <pivotArea dataOnly="0" labelOnly="1" outline="0" axis="axisValues" fieldPosition="0"/>
    </format>
    <format dxfId="405">
      <pivotArea type="all" dataOnly="0" outline="0" fieldPosition="0"/>
    </format>
    <format dxfId="404">
      <pivotArea outline="0" collapsedLevelsAreSubtotals="1" fieldPosition="0"/>
    </format>
    <format dxfId="403">
      <pivotArea dataOnly="0" labelOnly="1" outline="0" axis="axisValues" fieldPosition="0"/>
    </format>
    <format dxfId="402">
      <pivotArea type="all" dataOnly="0" outline="0" fieldPosition="0"/>
    </format>
    <format dxfId="401">
      <pivotArea outline="0" collapsedLevelsAreSubtotals="1" fieldPosition="0"/>
    </format>
    <format dxfId="400">
      <pivotArea dataOnly="0" labelOnly="1" outline="0" axis="axisValues" fieldPosition="0"/>
    </format>
    <format dxfId="399">
      <pivotArea type="all" dataOnly="0" outline="0" fieldPosition="0"/>
    </format>
    <format dxfId="398">
      <pivotArea outline="0" collapsedLevelsAreSubtotals="1" fieldPosition="0"/>
    </format>
    <format dxfId="397">
      <pivotArea dataOnly="0" labelOnly="1" outline="0" axis="axisValues" fieldPosition="0"/>
    </format>
    <format dxfId="396">
      <pivotArea type="all" dataOnly="0" outline="0" fieldPosition="0"/>
    </format>
    <format dxfId="395">
      <pivotArea outline="0" collapsedLevelsAreSubtotals="1" fieldPosition="0"/>
    </format>
    <format dxfId="394">
      <pivotArea dataOnly="0" labelOnly="1" outline="0" axis="axisValues" fieldPosition="0"/>
    </format>
    <format dxfId="393">
      <pivotArea type="all" dataOnly="0" outline="0" fieldPosition="0"/>
    </format>
    <format dxfId="392">
      <pivotArea outline="0" collapsedLevelsAreSubtotals="1" fieldPosition="0"/>
    </format>
    <format dxfId="391">
      <pivotArea outline="0" collapsedLevelsAreSubtotals="1" fieldPosition="0"/>
    </format>
    <format dxfId="390">
      <pivotArea type="all" dataOnly="0" outline="0" fieldPosition="0"/>
    </format>
    <format dxfId="389">
      <pivotArea outline="0" collapsedLevelsAreSubtotals="1" fieldPosition="0"/>
    </format>
    <format dxfId="388">
      <pivotArea dataOnly="0" labelOnly="1" outline="0" axis="axisValues" fieldPosition="0"/>
    </format>
    <format dxfId="387">
      <pivotArea type="all" dataOnly="0" outline="0" fieldPosition="0"/>
    </format>
    <format dxfId="386">
      <pivotArea outline="0" collapsedLevelsAreSubtotals="1" fieldPosition="0"/>
    </format>
    <format dxfId="385">
      <pivotArea type="all" dataOnly="0" outline="0" fieldPosition="0"/>
    </format>
    <format dxfId="384">
      <pivotArea outline="0" collapsedLevelsAreSubtotals="1" fieldPosition="0"/>
    </format>
    <format dxfId="383">
      <pivotArea outline="0" collapsedLevelsAreSubtotals="1" fieldPosition="0"/>
    </format>
    <format dxfId="382">
      <pivotArea type="all" dataOnly="0" outline="0" fieldPosition="0"/>
    </format>
    <format dxfId="381">
      <pivotArea type="all" dataOnly="0" outline="0" fieldPosition="0"/>
    </format>
    <format dxfId="380">
      <pivotArea outline="0" collapsedLevelsAreSubtotals="1" fieldPosition="0"/>
    </format>
    <format dxfId="37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C07761E-C479-4EB7-8AE2-014B3D2F85E0}" name="PivotTable78"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357:F376" firstHeaderRow="1" firstDataRow="1" firstDataCol="1" rowPageCount="4" colPageCount="1"/>
  <pivotFields count="84">
    <pivotField showAll="0" defaultSubtotal="0"/>
    <pivotField axis="axisPage" multipleItemSelectionAllowed="1" showAll="0" defaultSubtotal="0">
      <items count="5">
        <item h="1" x="1"/>
        <item h="1" x="2"/>
        <item h="1" x="3"/>
        <item x="4"/>
        <item x="0"/>
      </items>
    </pivotField>
    <pivotField axis="axisPage" multipleItemSelectionAllowed="1" showAll="0" defaultSubtotal="0">
      <items count="2">
        <item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multipleItemSelectionAllowed="1" showAll="0" defaultSubtotal="0"/>
    <pivotField axis="axisPage" multipleItemSelectionAllowed="1" showAll="0">
      <items count="16">
        <item x="7"/>
        <item x="13"/>
        <item h="1" x="1"/>
        <item x="2"/>
        <item x="14"/>
        <item x="6"/>
        <item x="10"/>
        <item x="3"/>
        <item x="11"/>
        <item x="12"/>
        <item x="0"/>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4"/>
        <item x="12"/>
        <item x="2"/>
        <item x="1"/>
        <item x="0"/>
        <item x="15"/>
        <item x="8"/>
        <item x="10"/>
        <item x="7"/>
        <item x="16"/>
        <item x="6"/>
        <item x="17"/>
        <item x="13"/>
        <item x="14"/>
        <item x="9"/>
        <item x="3"/>
        <item x="11"/>
        <item x="5"/>
        <item x="18"/>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19">
    <i>
      <x/>
    </i>
    <i>
      <x v="1"/>
    </i>
    <i>
      <x v="2"/>
    </i>
    <i>
      <x v="3"/>
    </i>
    <i>
      <x v="4"/>
    </i>
    <i>
      <x v="5"/>
    </i>
    <i>
      <x v="6"/>
    </i>
    <i>
      <x v="7"/>
    </i>
    <i>
      <x v="8"/>
    </i>
    <i>
      <x v="9"/>
    </i>
    <i>
      <x v="10"/>
    </i>
    <i>
      <x v="11"/>
    </i>
    <i>
      <x v="12"/>
    </i>
    <i>
      <x v="13"/>
    </i>
    <i>
      <x v="14"/>
    </i>
    <i>
      <x v="15"/>
    </i>
    <i>
      <x v="16"/>
    </i>
    <i>
      <x v="17"/>
    </i>
    <i t="grand">
      <x/>
    </i>
  </rowItems>
  <colItems count="1">
    <i/>
  </colItems>
  <pageFields count="4">
    <pageField fld="9" hier="-1"/>
    <pageField fld="7" hier="-1"/>
    <pageField fld="2" hier="-1"/>
    <pageField fld="1" hier="-1"/>
  </pageFields>
  <dataFields count="1">
    <dataField name="Sum of Net Dwellings" fld="43" baseField="0" baseItem="0"/>
  </dataFields>
  <formats count="41">
    <format dxfId="462">
      <pivotArea type="all" dataOnly="0" outline="0" fieldPosition="0"/>
    </format>
    <format dxfId="461">
      <pivotArea type="all" dataOnly="0" outline="0" fieldPosition="0"/>
    </format>
    <format dxfId="460">
      <pivotArea type="all" dataOnly="0" outline="0" fieldPosition="0"/>
    </format>
    <format dxfId="459">
      <pivotArea type="all" dataOnly="0" outline="0" fieldPosition="0"/>
    </format>
    <format dxfId="458">
      <pivotArea type="all" dataOnly="0" outline="0" fieldPosition="0"/>
    </format>
    <format dxfId="457">
      <pivotArea type="all" dataOnly="0" outline="0" fieldPosition="0"/>
    </format>
    <format dxfId="456">
      <pivotArea type="all" dataOnly="0" outline="0" fieldPosition="0"/>
    </format>
    <format dxfId="455">
      <pivotArea dataOnly="0" labelOnly="1" outline="0" fieldPosition="0">
        <references count="1">
          <reference field="4294967294" count="1">
            <x v="0"/>
          </reference>
        </references>
      </pivotArea>
    </format>
    <format dxfId="454">
      <pivotArea dataOnly="0" labelOnly="1" outline="0" fieldPosition="0">
        <references count="1">
          <reference field="4294967294" count="1">
            <x v="0"/>
          </reference>
        </references>
      </pivotArea>
    </format>
    <format dxfId="453">
      <pivotArea dataOnly="0" labelOnly="1" outline="0" fieldPosition="0">
        <references count="1">
          <reference field="4294967294" count="1">
            <x v="0"/>
          </reference>
        </references>
      </pivotArea>
    </format>
    <format dxfId="452">
      <pivotArea type="all" dataOnly="0" outline="0" fieldPosition="0"/>
    </format>
    <format dxfId="451">
      <pivotArea type="all" dataOnly="0" outline="0" fieldPosition="0"/>
    </format>
    <format dxfId="450">
      <pivotArea type="all" dataOnly="0" outline="0" fieldPosition="0"/>
    </format>
    <format dxfId="449">
      <pivotArea type="all" dataOnly="0" outline="0" fieldPosition="0"/>
    </format>
    <format dxfId="448">
      <pivotArea outline="0" collapsedLevelsAreSubtotals="1" fieldPosition="0"/>
    </format>
    <format dxfId="447">
      <pivotArea dataOnly="0" labelOnly="1" grandRow="1" outline="0" fieldPosition="0"/>
    </format>
    <format dxfId="446">
      <pivotArea dataOnly="0" labelOnly="1" outline="0" axis="axisValues" fieldPosition="0"/>
    </format>
    <format dxfId="445">
      <pivotArea type="all" dataOnly="0" outline="0" fieldPosition="0"/>
    </format>
    <format dxfId="444">
      <pivotArea outline="0" collapsedLevelsAreSubtotals="1" fieldPosition="0"/>
    </format>
    <format dxfId="443">
      <pivotArea dataOnly="0" labelOnly="1" grandRow="1" outline="0" fieldPosition="0"/>
    </format>
    <format dxfId="442">
      <pivotArea dataOnly="0" labelOnly="1" outline="0" axis="axisValues" fieldPosition="0"/>
    </format>
    <format dxfId="441">
      <pivotArea type="all" dataOnly="0" outline="0" fieldPosition="0"/>
    </format>
    <format dxfId="440">
      <pivotArea outline="0" collapsedLevelsAreSubtotals="1" fieldPosition="0"/>
    </format>
    <format dxfId="439">
      <pivotArea dataOnly="0" labelOnly="1" grandRow="1" outline="0" fieldPosition="0"/>
    </format>
    <format dxfId="438">
      <pivotArea dataOnly="0" labelOnly="1" outline="0" axis="axisValues" fieldPosition="0"/>
    </format>
    <format dxfId="437">
      <pivotArea type="all" dataOnly="0" outline="0" fieldPosition="0"/>
    </format>
    <format dxfId="436">
      <pivotArea outline="0" collapsedLevelsAreSubtotals="1" fieldPosition="0"/>
    </format>
    <format dxfId="435">
      <pivotArea field="70" type="button" dataOnly="0" labelOnly="1" outline="0" axis="axisRow" fieldPosition="0"/>
    </format>
    <format dxfId="434">
      <pivotArea dataOnly="0" labelOnly="1" grandRow="1" outline="0" fieldPosition="0"/>
    </format>
    <format dxfId="433">
      <pivotArea dataOnly="0" labelOnly="1" outline="0" axis="axisValues" fieldPosition="0"/>
    </format>
    <format dxfId="432">
      <pivotArea type="all" dataOnly="0" outline="0" fieldPosition="0"/>
    </format>
    <format dxfId="431">
      <pivotArea outline="0" collapsedLevelsAreSubtotals="1" fieldPosition="0"/>
    </format>
    <format dxfId="430">
      <pivotArea field="70" type="button" dataOnly="0" labelOnly="1" outline="0" axis="axisRow" fieldPosition="0"/>
    </format>
    <format dxfId="429">
      <pivotArea dataOnly="0" labelOnly="1" grandRow="1" outline="0" fieldPosition="0"/>
    </format>
    <format dxfId="428">
      <pivotArea dataOnly="0" labelOnly="1" outline="0" axis="axisValues" fieldPosition="0"/>
    </format>
    <format dxfId="427">
      <pivotArea type="all" dataOnly="0" outline="0" fieldPosition="0"/>
    </format>
    <format dxfId="426">
      <pivotArea outline="0" collapsedLevelsAreSubtotals="1" fieldPosition="0"/>
    </format>
    <format dxfId="425">
      <pivotArea field="70" type="button" dataOnly="0" labelOnly="1" outline="0" axis="axisRow" fieldPosition="0"/>
    </format>
    <format dxfId="424">
      <pivotArea dataOnly="0" labelOnly="1" fieldPosition="0">
        <references count="1">
          <reference field="70" count="15">
            <x v="0"/>
            <x v="1"/>
            <x v="2"/>
            <x v="3"/>
            <x v="4"/>
            <x v="5"/>
            <x v="6"/>
            <x v="7"/>
            <x v="8"/>
            <x v="9"/>
            <x v="10"/>
            <x v="11"/>
            <x v="12"/>
            <x v="13"/>
            <x v="14"/>
          </reference>
        </references>
      </pivotArea>
    </format>
    <format dxfId="423">
      <pivotArea dataOnly="0" labelOnly="1" grandRow="1" outline="0" fieldPosition="0"/>
    </format>
    <format dxfId="4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A3AAE73-ED36-4FFC-9FC8-D4D83C1809E7}" name="PivotTable18"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457:F464" firstHeaderRow="1" firstDataRow="1" firstDataCol="1" rowPageCount="4" colPageCount="1"/>
  <pivotFields count="84">
    <pivotField showAll="0" defaultSubtotal="0"/>
    <pivotField axis="axisPage" multipleItemSelectionAllowed="1" showAll="0" defaultSubtotal="0">
      <items count="5">
        <item h="1" x="1"/>
        <item h="1" x="2"/>
        <item h="1" x="3"/>
        <item x="4"/>
        <item x="0"/>
      </items>
    </pivotField>
    <pivotField axis="axisPage" multipleItemSelectionAllowed="1" showAll="0" defaultSubtotal="0">
      <items count="2">
        <item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multipleItemSelectionAllowed="1" showAll="0" defaultSubtotal="0"/>
    <pivotField axis="axisPage" multipleItemSelectionAllowed="1" showAll="0">
      <items count="16">
        <item x="7"/>
        <item x="13"/>
        <item h="1" x="1"/>
        <item x="2"/>
        <item x="14"/>
        <item x="6"/>
        <item x="10"/>
        <item x="3"/>
        <item x="11"/>
        <item x="12"/>
        <item x="0"/>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3"/>
        <item x="2"/>
        <item x="6"/>
        <item x="5"/>
        <item x="1"/>
        <item x="4"/>
        <item x="0"/>
        <item t="default"/>
      </items>
    </pivotField>
    <pivotField showAll="0">
      <items count="20">
        <item x="4"/>
        <item x="12"/>
        <item x="2"/>
        <item x="1"/>
        <item x="0"/>
        <item x="15"/>
        <item x="8"/>
        <item x="10"/>
        <item x="7"/>
        <item x="16"/>
        <item x="6"/>
        <item x="17"/>
        <item x="13"/>
        <item x="14"/>
        <item x="9"/>
        <item x="3"/>
        <item x="11"/>
        <item x="5"/>
        <item x="18"/>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69"/>
  </rowFields>
  <rowItems count="7">
    <i>
      <x/>
    </i>
    <i>
      <x v="1"/>
    </i>
    <i>
      <x v="3"/>
    </i>
    <i>
      <x v="4"/>
    </i>
    <i>
      <x v="5"/>
    </i>
    <i>
      <x v="6"/>
    </i>
    <i t="grand">
      <x/>
    </i>
  </rowItems>
  <colItems count="1">
    <i/>
  </colItems>
  <pageFields count="4">
    <pageField fld="9" hier="-1"/>
    <pageField fld="7" hier="-1"/>
    <pageField fld="2" hier="-1"/>
    <pageField fld="1" hier="-1"/>
  </pageFields>
  <dataFields count="1">
    <dataField name="Sum of Net Dwellings" fld="43" baseField="0" baseItem="0"/>
  </dataFields>
  <formats count="46">
    <format dxfId="508">
      <pivotArea type="all" dataOnly="0" outline="0" fieldPosition="0"/>
    </format>
    <format dxfId="507">
      <pivotArea type="all" dataOnly="0" outline="0" fieldPosition="0"/>
    </format>
    <format dxfId="506">
      <pivotArea type="all" dataOnly="0" outline="0" fieldPosition="0"/>
    </format>
    <format dxfId="505">
      <pivotArea type="all" dataOnly="0" outline="0" fieldPosition="0"/>
    </format>
    <format dxfId="504">
      <pivotArea type="all" dataOnly="0" outline="0" fieldPosition="0"/>
    </format>
    <format dxfId="503">
      <pivotArea type="all" dataOnly="0" outline="0" fieldPosition="0"/>
    </format>
    <format dxfId="502">
      <pivotArea type="all" dataOnly="0" outline="0" fieldPosition="0"/>
    </format>
    <format dxfId="501">
      <pivotArea dataOnly="0" labelOnly="1" outline="0" fieldPosition="0">
        <references count="1">
          <reference field="4294967294" count="1">
            <x v="0"/>
          </reference>
        </references>
      </pivotArea>
    </format>
    <format dxfId="500">
      <pivotArea dataOnly="0" labelOnly="1" outline="0" fieldPosition="0">
        <references count="1">
          <reference field="4294967294" count="1">
            <x v="0"/>
          </reference>
        </references>
      </pivotArea>
    </format>
    <format dxfId="499">
      <pivotArea dataOnly="0" labelOnly="1" outline="0" fieldPosition="0">
        <references count="1">
          <reference field="4294967294" count="1">
            <x v="0"/>
          </reference>
        </references>
      </pivotArea>
    </format>
    <format dxfId="498">
      <pivotArea type="all" dataOnly="0" outline="0" fieldPosition="0"/>
    </format>
    <format dxfId="497">
      <pivotArea type="all" dataOnly="0" outline="0" fieldPosition="0"/>
    </format>
    <format dxfId="496">
      <pivotArea type="all" dataOnly="0" outline="0" fieldPosition="0"/>
    </format>
    <format dxfId="495">
      <pivotArea type="all" dataOnly="0" outline="0" fieldPosition="0"/>
    </format>
    <format dxfId="494">
      <pivotArea outline="0" collapsedLevelsAreSubtotals="1" fieldPosition="0"/>
    </format>
    <format dxfId="493">
      <pivotArea dataOnly="0" labelOnly="1" grandRow="1" outline="0" fieldPosition="0"/>
    </format>
    <format dxfId="492">
      <pivotArea dataOnly="0" labelOnly="1" outline="0" axis="axisValues" fieldPosition="0"/>
    </format>
    <format dxfId="491">
      <pivotArea type="all" dataOnly="0" outline="0" fieldPosition="0"/>
    </format>
    <format dxfId="490">
      <pivotArea outline="0" collapsedLevelsAreSubtotals="1" fieldPosition="0"/>
    </format>
    <format dxfId="489">
      <pivotArea dataOnly="0" labelOnly="1" grandRow="1" outline="0" fieldPosition="0"/>
    </format>
    <format dxfId="488">
      <pivotArea dataOnly="0" labelOnly="1" outline="0" axis="axisValues" fieldPosition="0"/>
    </format>
    <format dxfId="487">
      <pivotArea type="all" dataOnly="0" outline="0" fieldPosition="0"/>
    </format>
    <format dxfId="486">
      <pivotArea outline="0" collapsedLevelsAreSubtotals="1" fieldPosition="0"/>
    </format>
    <format dxfId="485">
      <pivotArea dataOnly="0" labelOnly="1" grandRow="1" outline="0" fieldPosition="0"/>
    </format>
    <format dxfId="484">
      <pivotArea dataOnly="0" labelOnly="1" outline="0" axis="axisValues" fieldPosition="0"/>
    </format>
    <format dxfId="483">
      <pivotArea type="all" dataOnly="0" outline="0" fieldPosition="0"/>
    </format>
    <format dxfId="482">
      <pivotArea outline="0" collapsedLevelsAreSubtotals="1" fieldPosition="0"/>
    </format>
    <format dxfId="481">
      <pivotArea field="70" type="button" dataOnly="0" labelOnly="1" outline="0"/>
    </format>
    <format dxfId="480">
      <pivotArea dataOnly="0" labelOnly="1" grandRow="1" outline="0" fieldPosition="0"/>
    </format>
    <format dxfId="479">
      <pivotArea dataOnly="0" labelOnly="1" outline="0" axis="axisValues" fieldPosition="0"/>
    </format>
    <format dxfId="478">
      <pivotArea type="all" dataOnly="0" outline="0" fieldPosition="0"/>
    </format>
    <format dxfId="477">
      <pivotArea outline="0" collapsedLevelsAreSubtotals="1" fieldPosition="0"/>
    </format>
    <format dxfId="476">
      <pivotArea field="70" type="button" dataOnly="0" labelOnly="1" outline="0"/>
    </format>
    <format dxfId="475">
      <pivotArea dataOnly="0" labelOnly="1" grandRow="1" outline="0" fieldPosition="0"/>
    </format>
    <format dxfId="474">
      <pivotArea dataOnly="0" labelOnly="1" outline="0" axis="axisValues" fieldPosition="0"/>
    </format>
    <format dxfId="473">
      <pivotArea type="all" dataOnly="0" outline="0" fieldPosition="0"/>
    </format>
    <format dxfId="472">
      <pivotArea outline="0" collapsedLevelsAreSubtotals="1" fieldPosition="0"/>
    </format>
    <format dxfId="471">
      <pivotArea field="70" type="button" dataOnly="0" labelOnly="1" outline="0"/>
    </format>
    <format dxfId="470">
      <pivotArea dataOnly="0" labelOnly="1" grandRow="1" outline="0" fieldPosition="0"/>
    </format>
    <format dxfId="469">
      <pivotArea dataOnly="0" labelOnly="1" outline="0" axis="axisValues" fieldPosition="0"/>
    </format>
    <format dxfId="468">
      <pivotArea type="all" dataOnly="0" outline="0" fieldPosition="0"/>
    </format>
    <format dxfId="467">
      <pivotArea outline="0" collapsedLevelsAreSubtotals="1" fieldPosition="0"/>
    </format>
    <format dxfId="466">
      <pivotArea field="69" type="button" dataOnly="0" labelOnly="1" outline="0" axis="axisRow" fieldPosition="0"/>
    </format>
    <format dxfId="465">
      <pivotArea dataOnly="0" labelOnly="1" fieldPosition="0">
        <references count="1">
          <reference field="69" count="6">
            <x v="0"/>
            <x v="1"/>
            <x v="3"/>
            <x v="4"/>
            <x v="5"/>
            <x v="6"/>
          </reference>
        </references>
      </pivotArea>
    </format>
    <format dxfId="464">
      <pivotArea dataOnly="0" labelOnly="1" grandRow="1" outline="0" fieldPosition="0"/>
    </format>
    <format dxfId="4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F632C340-2419-4CCA-B58C-0D788DD11132}" name="PivotTable7"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53:B54" firstHeaderRow="1" firstDataRow="1" firstDataCol="0" rowPageCount="4" colPageCount="1"/>
  <pivotFields count="84">
    <pivotField showAll="0"/>
    <pivotField axis="axisPage" multipleItemSelectionAllowed="1" showAll="0" defaultSubtotal="0">
      <items count="5">
        <item x="1"/>
        <item x="2"/>
        <item x="3"/>
        <item h="1" x="4"/>
        <item h="1" x="0"/>
      </items>
    </pivotField>
    <pivotField axis="axisPage" multipleItemSelectionAllowed="1" showAll="0">
      <items count="3">
        <item x="1"/>
        <item h="1" x="0"/>
        <item t="default"/>
      </items>
    </pivotField>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h="1" x="0"/>
        <item h="1" x="1"/>
        <item x="2"/>
        <item h="1" x="3"/>
        <item h="1" x="6"/>
        <item h="1" x="4"/>
        <item h="1" x="5"/>
        <item t="default"/>
      </items>
    </pivotField>
    <pivotField showAll="0"/>
    <pivotField axis="axisPage" multipleItemSelectionAllowed="1" showAll="0">
      <items count="16">
        <item x="0"/>
        <item h="1" x="1"/>
        <item h="1" x="2"/>
        <item h="1" x="3"/>
        <item h="1" x="6"/>
        <item h="1" x="10"/>
        <item h="1" x="11"/>
        <item h="1" x="12"/>
        <item h="1" x="13"/>
        <item h="1" x="14"/>
        <item h="1" x="7"/>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4">
    <pageField fld="1" hier="-1"/>
    <pageField fld="2" hier="-1"/>
    <pageField fld="7" hier="-1"/>
    <pageField fld="9" hier="-1"/>
  </pageFields>
  <dataFields count="1">
    <dataField name="Sum of Net Dwellings" fld="43" baseField="0" baseItem="0"/>
  </dataFields>
  <formats count="40">
    <format dxfId="548">
      <pivotArea type="all" dataOnly="0" outline="0" fieldPosition="0"/>
    </format>
    <format dxfId="547">
      <pivotArea type="all" dataOnly="0" outline="0" fieldPosition="0"/>
    </format>
    <format dxfId="546">
      <pivotArea type="all" dataOnly="0" outline="0" fieldPosition="0"/>
    </format>
    <format dxfId="545">
      <pivotArea type="all" dataOnly="0" outline="0" fieldPosition="0"/>
    </format>
    <format dxfId="544">
      <pivotArea type="all" dataOnly="0" outline="0" fieldPosition="0"/>
    </format>
    <format dxfId="543">
      <pivotArea type="all" dataOnly="0" outline="0" fieldPosition="0"/>
    </format>
    <format dxfId="542">
      <pivotArea type="all" dataOnly="0" outline="0" fieldPosition="0"/>
    </format>
    <format dxfId="541">
      <pivotArea type="all" dataOnly="0" outline="0" fieldPosition="0"/>
    </format>
    <format dxfId="540">
      <pivotArea type="all" dataOnly="0" outline="0" fieldPosition="0"/>
    </format>
    <format dxfId="539">
      <pivotArea type="all" dataOnly="0" outline="0" fieldPosition="0"/>
    </format>
    <format dxfId="538">
      <pivotArea type="all" dataOnly="0" outline="0" fieldPosition="0"/>
    </format>
    <format dxfId="537">
      <pivotArea outline="0" collapsedLevelsAreSubtotals="1" fieldPosition="0"/>
    </format>
    <format dxfId="536">
      <pivotArea dataOnly="0" labelOnly="1" outline="0" axis="axisValues" fieldPosition="0"/>
    </format>
    <format dxfId="535">
      <pivotArea type="all" dataOnly="0" outline="0" fieldPosition="0"/>
    </format>
    <format dxfId="534">
      <pivotArea outline="0" collapsedLevelsAreSubtotals="1" fieldPosition="0"/>
    </format>
    <format dxfId="533">
      <pivotArea dataOnly="0" labelOnly="1" outline="0" axis="axisValues" fieldPosition="0"/>
    </format>
    <format dxfId="532">
      <pivotArea type="all" dataOnly="0" outline="0" fieldPosition="0"/>
    </format>
    <format dxfId="531">
      <pivotArea outline="0" collapsedLevelsAreSubtotals="1" fieldPosition="0"/>
    </format>
    <format dxfId="530">
      <pivotArea dataOnly="0" labelOnly="1" outline="0" axis="axisValues" fieldPosition="0"/>
    </format>
    <format dxfId="529">
      <pivotArea type="all" dataOnly="0" outline="0" fieldPosition="0"/>
    </format>
    <format dxfId="528">
      <pivotArea outline="0" collapsedLevelsAreSubtotals="1" fieldPosition="0"/>
    </format>
    <format dxfId="527">
      <pivotArea dataOnly="0" labelOnly="1" outline="0" axis="axisValues" fieldPosition="0"/>
    </format>
    <format dxfId="526">
      <pivotArea type="all" dataOnly="0" outline="0" fieldPosition="0"/>
    </format>
    <format dxfId="525">
      <pivotArea outline="0" collapsedLevelsAreSubtotals="1" fieldPosition="0"/>
    </format>
    <format dxfId="524">
      <pivotArea dataOnly="0" labelOnly="1" outline="0" axis="axisValues" fieldPosition="0"/>
    </format>
    <format dxfId="523">
      <pivotArea type="all" dataOnly="0" outline="0" fieldPosition="0"/>
    </format>
    <format dxfId="522">
      <pivotArea outline="0" collapsedLevelsAreSubtotals="1" fieldPosition="0"/>
    </format>
    <format dxfId="521">
      <pivotArea dataOnly="0" labelOnly="1" outline="0" axis="axisValues" fieldPosition="0"/>
    </format>
    <format dxfId="520">
      <pivotArea type="all" dataOnly="0" outline="0" fieldPosition="0"/>
    </format>
    <format dxfId="519">
      <pivotArea outline="0" collapsedLevelsAreSubtotals="1" fieldPosition="0"/>
    </format>
    <format dxfId="518">
      <pivotArea dataOnly="0" labelOnly="1" outline="0" axis="axisValues" fieldPosition="0"/>
    </format>
    <format dxfId="517">
      <pivotArea type="all" dataOnly="0" outline="0" fieldPosition="0"/>
    </format>
    <format dxfId="516">
      <pivotArea outline="0" collapsedLevelsAreSubtotals="1" fieldPosition="0"/>
    </format>
    <format dxfId="515">
      <pivotArea type="all" dataOnly="0" outline="0" fieldPosition="0"/>
    </format>
    <format dxfId="514">
      <pivotArea outline="0" collapsedLevelsAreSubtotals="1" fieldPosition="0"/>
    </format>
    <format dxfId="513">
      <pivotArea outline="0" collapsedLevelsAreSubtotals="1" fieldPosition="0"/>
    </format>
    <format dxfId="512">
      <pivotArea type="all" dataOnly="0" outline="0" fieldPosition="0"/>
    </format>
    <format dxfId="511">
      <pivotArea type="all" dataOnly="0" outline="0" fieldPosition="0"/>
    </format>
    <format dxfId="510">
      <pivotArea outline="0" collapsedLevelsAreSubtotals="1" fieldPosition="0"/>
    </format>
    <format dxfId="50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E6A818F5-6B3C-4A5C-B9EA-B675D74B56C7}" name="PivotTable29"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52:I270" firstHeaderRow="1"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18">
    <i>
      <x/>
    </i>
    <i>
      <x v="1"/>
    </i>
    <i>
      <x v="2"/>
    </i>
    <i>
      <x v="3"/>
    </i>
    <i>
      <x v="4"/>
    </i>
    <i>
      <x v="5"/>
    </i>
    <i>
      <x v="6"/>
    </i>
    <i>
      <x v="7"/>
    </i>
    <i>
      <x v="8"/>
    </i>
    <i>
      <x v="9"/>
    </i>
    <i>
      <x v="11"/>
    </i>
    <i>
      <x v="12"/>
    </i>
    <i>
      <x v="13"/>
    </i>
    <i>
      <x v="14"/>
    </i>
    <i>
      <x v="15"/>
    </i>
    <i>
      <x v="16"/>
    </i>
    <i>
      <x v="18"/>
    </i>
    <i t="grand">
      <x/>
    </i>
  </rowItems>
  <colItems count="1">
    <i/>
  </colItems>
  <pageFields count="1">
    <pageField fld="7" hier="-1"/>
  </pageFields>
  <dataFields count="1">
    <dataField name="Sum of Net Dwellings" fld="43" baseField="0" baseItem="0"/>
  </dataFields>
  <formats count="38">
    <format dxfId="586">
      <pivotArea type="all" dataOnly="0" outline="0" fieldPosition="0"/>
    </format>
    <format dxfId="585">
      <pivotArea type="all" dataOnly="0" outline="0" fieldPosition="0"/>
    </format>
    <format dxfId="584">
      <pivotArea type="all" dataOnly="0" outline="0" fieldPosition="0"/>
    </format>
    <format dxfId="583">
      <pivotArea type="all" dataOnly="0" outline="0" fieldPosition="0"/>
    </format>
    <format dxfId="582">
      <pivotArea type="all" dataOnly="0" outline="0" fieldPosition="0"/>
    </format>
    <format dxfId="581">
      <pivotArea type="all" dataOnly="0" outline="0" fieldPosition="0"/>
    </format>
    <format dxfId="580">
      <pivotArea type="all" dataOnly="0" outline="0" fieldPosition="0"/>
    </format>
    <format dxfId="579">
      <pivotArea type="all" dataOnly="0" outline="0" fieldPosition="0"/>
    </format>
    <format dxfId="578">
      <pivotArea type="all" dataOnly="0" outline="0" fieldPosition="0"/>
    </format>
    <format dxfId="577">
      <pivotArea type="all" dataOnly="0" outline="0" fieldPosition="0"/>
    </format>
    <format dxfId="576">
      <pivotArea type="all" dataOnly="0" outline="0" fieldPosition="0"/>
    </format>
    <format dxfId="575">
      <pivotArea outline="0" collapsedLevelsAreSubtotals="1" fieldPosition="0"/>
    </format>
    <format dxfId="574">
      <pivotArea dataOnly="0" labelOnly="1" grandRow="1" outline="0" fieldPosition="0"/>
    </format>
    <format dxfId="573">
      <pivotArea dataOnly="0" labelOnly="1" outline="0" axis="axisValues" fieldPosition="0"/>
    </format>
    <format dxfId="572">
      <pivotArea type="all" dataOnly="0" outline="0" fieldPosition="0"/>
    </format>
    <format dxfId="571">
      <pivotArea outline="0" collapsedLevelsAreSubtotals="1" fieldPosition="0"/>
    </format>
    <format dxfId="570">
      <pivotArea dataOnly="0" labelOnly="1" grandRow="1" outline="0" fieldPosition="0"/>
    </format>
    <format dxfId="569">
      <pivotArea dataOnly="0" labelOnly="1" outline="0" axis="axisValues" fieldPosition="0"/>
    </format>
    <format dxfId="568">
      <pivotArea type="all" dataOnly="0" outline="0" fieldPosition="0"/>
    </format>
    <format dxfId="567">
      <pivotArea outline="0" collapsedLevelsAreSubtotals="1" fieldPosition="0"/>
    </format>
    <format dxfId="566">
      <pivotArea dataOnly="0" labelOnly="1" grandRow="1" outline="0" fieldPosition="0"/>
    </format>
    <format dxfId="565">
      <pivotArea dataOnly="0" labelOnly="1" outline="0" axis="axisValues" fieldPosition="0"/>
    </format>
    <format dxfId="564">
      <pivotArea type="all" dataOnly="0" outline="0" fieldPosition="0"/>
    </format>
    <format dxfId="563">
      <pivotArea outline="0" collapsedLevelsAreSubtotals="1" fieldPosition="0"/>
    </format>
    <format dxfId="562">
      <pivotArea field="70" type="button" dataOnly="0" labelOnly="1" outline="0" axis="axisRow" fieldPosition="0"/>
    </format>
    <format dxfId="561">
      <pivotArea dataOnly="0" labelOnly="1" grandRow="1" outline="0" fieldPosition="0"/>
    </format>
    <format dxfId="560">
      <pivotArea dataOnly="0" labelOnly="1" outline="0" axis="axisValues" fieldPosition="0"/>
    </format>
    <format dxfId="559">
      <pivotArea type="all" dataOnly="0" outline="0" fieldPosition="0"/>
    </format>
    <format dxfId="558">
      <pivotArea outline="0" collapsedLevelsAreSubtotals="1" fieldPosition="0"/>
    </format>
    <format dxfId="557">
      <pivotArea field="70" type="button" dataOnly="0" labelOnly="1" outline="0" axis="axisRow" fieldPosition="0"/>
    </format>
    <format dxfId="556">
      <pivotArea dataOnly="0" labelOnly="1" grandRow="1" outline="0" fieldPosition="0"/>
    </format>
    <format dxfId="555">
      <pivotArea dataOnly="0" labelOnly="1" outline="0" axis="axisValues" fieldPosition="0"/>
    </format>
    <format dxfId="554">
      <pivotArea type="all" dataOnly="0" outline="0" fieldPosition="0"/>
    </format>
    <format dxfId="553">
      <pivotArea outline="0" collapsedLevelsAreSubtotals="1" fieldPosition="0"/>
    </format>
    <format dxfId="552">
      <pivotArea field="70" type="button" dataOnly="0" labelOnly="1" outline="0" axis="axisRow" fieldPosition="0"/>
    </format>
    <format dxfId="551">
      <pivotArea dataOnly="0" labelOnly="1" fieldPosition="0">
        <references count="1">
          <reference field="70" count="15">
            <x v="0"/>
            <x v="1"/>
            <x v="2"/>
            <x v="4"/>
            <x v="5"/>
            <x v="7"/>
            <x v="8"/>
            <x v="9"/>
            <x v="11"/>
            <x v="12"/>
            <x v="13"/>
            <x v="15"/>
            <x v="16"/>
            <x v="17"/>
            <x v="18"/>
          </reference>
        </references>
      </pivotArea>
    </format>
    <format dxfId="550">
      <pivotArea dataOnly="0" labelOnly="1" grandRow="1" outline="0" fieldPosition="0"/>
    </format>
    <format dxfId="5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DEF9480-9C29-4AEA-B08C-DD07246E41F8}" name="PivotTable52"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K227:L230" firstHeaderRow="1"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axis="axisRow" showAll="0">
      <items count="9">
        <item x="0"/>
        <item x="4"/>
        <item x="7"/>
        <item x="2"/>
        <item x="1"/>
        <item x="3"/>
        <item x="5"/>
        <item x="6"/>
        <item t="default"/>
      </items>
    </pivotField>
    <pivotField showAll="0"/>
    <pivotField showAll="0"/>
    <pivotField showAll="0"/>
    <pivotField showAll="0"/>
    <pivotField showAll="0"/>
    <pivotField showAll="0"/>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5"/>
  </rowFields>
  <rowItems count="3">
    <i>
      <x/>
    </i>
    <i>
      <x v="4"/>
    </i>
    <i t="grand">
      <x/>
    </i>
  </rowItems>
  <colItems count="1">
    <i/>
  </colItems>
  <pageFields count="1">
    <pageField fld="7" hier="-1"/>
  </pageFields>
  <dataFields count="1">
    <dataField name="Sum of Net Dwellings" fld="43" baseField="0" baseItem="0"/>
  </dataFields>
  <formats count="38">
    <format dxfId="624">
      <pivotArea type="all" dataOnly="0" outline="0" fieldPosition="0"/>
    </format>
    <format dxfId="623">
      <pivotArea type="all" dataOnly="0" outline="0" fieldPosition="0"/>
    </format>
    <format dxfId="622">
      <pivotArea type="all" dataOnly="0" outline="0" fieldPosition="0"/>
    </format>
    <format dxfId="621">
      <pivotArea type="all" dataOnly="0" outline="0" fieldPosition="0"/>
    </format>
    <format dxfId="620">
      <pivotArea type="all" dataOnly="0" outline="0" fieldPosition="0"/>
    </format>
    <format dxfId="619">
      <pivotArea type="all" dataOnly="0" outline="0" fieldPosition="0"/>
    </format>
    <format dxfId="618">
      <pivotArea type="all" dataOnly="0" outline="0" fieldPosition="0"/>
    </format>
    <format dxfId="617">
      <pivotArea type="all" dataOnly="0" outline="0" fieldPosition="0"/>
    </format>
    <format dxfId="616">
      <pivotArea type="all" dataOnly="0" outline="0" fieldPosition="0"/>
    </format>
    <format dxfId="615">
      <pivotArea type="all" dataOnly="0" outline="0" fieldPosition="0"/>
    </format>
    <format dxfId="614">
      <pivotArea type="all" dataOnly="0" outline="0" fieldPosition="0"/>
    </format>
    <format dxfId="613">
      <pivotArea outline="0" collapsedLevelsAreSubtotals="1" fieldPosition="0"/>
    </format>
    <format dxfId="612">
      <pivotArea dataOnly="0" labelOnly="1" grandRow="1" outline="0" fieldPosition="0"/>
    </format>
    <format dxfId="611">
      <pivotArea dataOnly="0" labelOnly="1" outline="0" axis="axisValues" fieldPosition="0"/>
    </format>
    <format dxfId="610">
      <pivotArea type="all" dataOnly="0" outline="0" fieldPosition="0"/>
    </format>
    <format dxfId="609">
      <pivotArea outline="0" collapsedLevelsAreSubtotals="1" fieldPosition="0"/>
    </format>
    <format dxfId="608">
      <pivotArea dataOnly="0" labelOnly="1" grandRow="1" outline="0" fieldPosition="0"/>
    </format>
    <format dxfId="607">
      <pivotArea dataOnly="0" labelOnly="1" outline="0" axis="axisValues" fieldPosition="0"/>
    </format>
    <format dxfId="606">
      <pivotArea type="all" dataOnly="0" outline="0" fieldPosition="0"/>
    </format>
    <format dxfId="605">
      <pivotArea outline="0" collapsedLevelsAreSubtotals="1" fieldPosition="0"/>
    </format>
    <format dxfId="604">
      <pivotArea dataOnly="0" labelOnly="1" grandRow="1" outline="0" fieldPosition="0"/>
    </format>
    <format dxfId="603">
      <pivotArea dataOnly="0" labelOnly="1" outline="0" axis="axisValues" fieldPosition="0"/>
    </format>
    <format dxfId="602">
      <pivotArea type="all" dataOnly="0" outline="0" fieldPosition="0"/>
    </format>
    <format dxfId="601">
      <pivotArea outline="0" collapsedLevelsAreSubtotals="1" fieldPosition="0"/>
    </format>
    <format dxfId="600">
      <pivotArea dataOnly="0" labelOnly="1" grandRow="1" outline="0" fieldPosition="0"/>
    </format>
    <format dxfId="599">
      <pivotArea dataOnly="0" labelOnly="1" outline="0" axis="axisValues" fieldPosition="0"/>
    </format>
    <format dxfId="598">
      <pivotArea type="all" dataOnly="0" outline="0" fieldPosition="0"/>
    </format>
    <format dxfId="597">
      <pivotArea outline="0" collapsedLevelsAreSubtotals="1" fieldPosition="0"/>
    </format>
    <format dxfId="596">
      <pivotArea type="all" dataOnly="0" outline="0" fieldPosition="0"/>
    </format>
    <format dxfId="595">
      <pivotArea outline="0" collapsedLevelsAreSubtotals="1" fieldPosition="0"/>
    </format>
    <format dxfId="594">
      <pivotArea outline="0" collapsedLevelsAreSubtotals="1" fieldPosition="0"/>
    </format>
    <format dxfId="593">
      <pivotArea type="all" dataOnly="0" outline="0" fieldPosition="0"/>
    </format>
    <format dxfId="592">
      <pivotArea outline="0" collapsedLevelsAreSubtotals="1" fieldPosition="0"/>
    </format>
    <format dxfId="591">
      <pivotArea field="72" type="button" dataOnly="0" labelOnly="1" outline="0"/>
    </format>
    <format dxfId="590">
      <pivotArea dataOnly="0" labelOnly="1" grandRow="1" outline="0" fieldPosition="0"/>
    </format>
    <format dxfId="589">
      <pivotArea dataOnly="0" labelOnly="1" outline="0" axis="axisValues" fieldPosition="0"/>
    </format>
    <format dxfId="588">
      <pivotArea type="all" dataOnly="0" outline="0" fieldPosition="0"/>
    </format>
    <format dxfId="58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D8C79F3-0940-4CF1-AA2B-32E22C3A8E71}" name="PivotTable49"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26:C232" firstHeaderRow="1"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8">
        <item x="2"/>
        <item x="1"/>
        <item x="4"/>
        <item x="3"/>
        <item x="5"/>
        <item h="1" x="6"/>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1"/>
  </rowFields>
  <rowItems count="6">
    <i>
      <x/>
    </i>
    <i>
      <x v="1"/>
    </i>
    <i>
      <x v="2"/>
    </i>
    <i>
      <x v="3"/>
    </i>
    <i>
      <x v="6"/>
    </i>
    <i t="grand">
      <x/>
    </i>
  </rowItems>
  <colItems count="1">
    <i/>
  </colItems>
  <pageFields count="1">
    <pageField fld="7" hier="-1"/>
  </pageFields>
  <dataFields count="1">
    <dataField name="Sum of Net Dwellings" fld="43" baseField="0" baseItem="0"/>
  </dataFields>
  <formats count="43">
    <format dxfId="667">
      <pivotArea type="all" dataOnly="0" outline="0" fieldPosition="0"/>
    </format>
    <format dxfId="666">
      <pivotArea type="all" dataOnly="0" outline="0" fieldPosition="0"/>
    </format>
    <format dxfId="665">
      <pivotArea type="all" dataOnly="0" outline="0" fieldPosition="0"/>
    </format>
    <format dxfId="664">
      <pivotArea type="all" dataOnly="0" outline="0" fieldPosition="0"/>
    </format>
    <format dxfId="663">
      <pivotArea type="all" dataOnly="0" outline="0" fieldPosition="0"/>
    </format>
    <format dxfId="662">
      <pivotArea type="all" dataOnly="0" outline="0" fieldPosition="0"/>
    </format>
    <format dxfId="661">
      <pivotArea type="all" dataOnly="0" outline="0" fieldPosition="0"/>
    </format>
    <format dxfId="660">
      <pivotArea type="all" dataOnly="0" outline="0" fieldPosition="0"/>
    </format>
    <format dxfId="659">
      <pivotArea type="all" dataOnly="0" outline="0" fieldPosition="0"/>
    </format>
    <format dxfId="658">
      <pivotArea type="all" dataOnly="0" outline="0" fieldPosition="0"/>
    </format>
    <format dxfId="657">
      <pivotArea type="all" dataOnly="0" outline="0" fieldPosition="0"/>
    </format>
    <format dxfId="656">
      <pivotArea outline="0" collapsedLevelsAreSubtotals="1" fieldPosition="0"/>
    </format>
    <format dxfId="655">
      <pivotArea dataOnly="0" labelOnly="1" grandRow="1" outline="0" fieldPosition="0"/>
    </format>
    <format dxfId="654">
      <pivotArea dataOnly="0" labelOnly="1" outline="0" axis="axisValues" fieldPosition="0"/>
    </format>
    <format dxfId="653">
      <pivotArea type="all" dataOnly="0" outline="0" fieldPosition="0"/>
    </format>
    <format dxfId="652">
      <pivotArea outline="0" collapsedLevelsAreSubtotals="1" fieldPosition="0"/>
    </format>
    <format dxfId="651">
      <pivotArea dataOnly="0" labelOnly="1" grandRow="1" outline="0" fieldPosition="0"/>
    </format>
    <format dxfId="650">
      <pivotArea dataOnly="0" labelOnly="1" outline="0" axis="axisValues" fieldPosition="0"/>
    </format>
    <format dxfId="649">
      <pivotArea type="all" dataOnly="0" outline="0" fieldPosition="0"/>
    </format>
    <format dxfId="648">
      <pivotArea outline="0" collapsedLevelsAreSubtotals="1" fieldPosition="0"/>
    </format>
    <format dxfId="647">
      <pivotArea dataOnly="0" labelOnly="1" grandRow="1" outline="0" fieldPosition="0"/>
    </format>
    <format dxfId="646">
      <pivotArea dataOnly="0" labelOnly="1" outline="0" axis="axisValues" fieldPosition="0"/>
    </format>
    <format dxfId="645">
      <pivotArea type="all" dataOnly="0" outline="0" fieldPosition="0"/>
    </format>
    <format dxfId="644">
      <pivotArea outline="0" collapsedLevelsAreSubtotals="1" fieldPosition="0"/>
    </format>
    <format dxfId="643">
      <pivotArea dataOnly="0" labelOnly="1" grandRow="1" outline="0" fieldPosition="0"/>
    </format>
    <format dxfId="642">
      <pivotArea dataOnly="0" labelOnly="1" outline="0" axis="axisValues" fieldPosition="0"/>
    </format>
    <format dxfId="641">
      <pivotArea type="all" dataOnly="0" outline="0" fieldPosition="0"/>
    </format>
    <format dxfId="640">
      <pivotArea outline="0" collapsedLevelsAreSubtotals="1" fieldPosition="0"/>
    </format>
    <format dxfId="639">
      <pivotArea type="all" dataOnly="0" outline="0" fieldPosition="0"/>
    </format>
    <format dxfId="638">
      <pivotArea outline="0" collapsedLevelsAreSubtotals="1" fieldPosition="0"/>
    </format>
    <format dxfId="637">
      <pivotArea outline="0" collapsedLevelsAreSubtotals="1" fieldPosition="0"/>
    </format>
    <format dxfId="636">
      <pivotArea collapsedLevelsAreSubtotals="1" fieldPosition="0">
        <references count="1">
          <reference field="71" count="1">
            <x v="6"/>
          </reference>
        </references>
      </pivotArea>
    </format>
    <format dxfId="635">
      <pivotArea grandRow="1" outline="0" collapsedLevelsAreSubtotals="1" fieldPosition="0"/>
    </format>
    <format dxfId="634">
      <pivotArea grandRow="1" outline="0" collapsedLevelsAreSubtotals="1" fieldPosition="0"/>
    </format>
    <format dxfId="633">
      <pivotArea type="all" dataOnly="0" outline="0" fieldPosition="0"/>
    </format>
    <format dxfId="632">
      <pivotArea outline="0" collapsedLevelsAreSubtotals="1" fieldPosition="0"/>
    </format>
    <format dxfId="631">
      <pivotArea field="71" type="button" dataOnly="0" labelOnly="1" outline="0" axis="axisRow" fieldPosition="0"/>
    </format>
    <format dxfId="630">
      <pivotArea dataOnly="0" labelOnly="1" fieldPosition="0">
        <references count="1">
          <reference field="71" count="1">
            <x v="6"/>
          </reference>
        </references>
      </pivotArea>
    </format>
    <format dxfId="629">
      <pivotArea dataOnly="0" labelOnly="1" grandRow="1" outline="0" fieldPosition="0"/>
    </format>
    <format dxfId="628">
      <pivotArea dataOnly="0" labelOnly="1" outline="0" axis="axisValues" fieldPosition="0"/>
    </format>
    <format dxfId="627">
      <pivotArea type="all" dataOnly="0" outline="0" fieldPosition="0"/>
    </format>
    <format dxfId="626">
      <pivotArea outline="0" collapsedLevelsAreSubtotals="1" fieldPosition="0"/>
    </format>
    <format dxfId="625">
      <pivotArea collapsedLevelsAreSubtotals="1" fieldPosition="0">
        <references count="1">
          <reference field="71"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B52B30EF-D159-4890-B9BD-CD8CDA8910EE}" name="PivotTable40"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25:B126" firstHeaderRow="1" firstDataRow="1" firstDataCol="0" rowPageCount="2" colPageCount="1"/>
  <pivotFields count="84">
    <pivotField showAll="0" defaultSubtotal="0"/>
    <pivotField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h="1" x="0"/>
        <item h="1" x="5"/>
        <item x="6"/>
        <item h="1" x="2"/>
        <item h="1" x="3"/>
        <item h="1" x="1"/>
        <item h="1" x="7"/>
        <item h="1" x="4"/>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2">
    <pageField fld="7" hier="-1"/>
    <pageField fld="8" hier="-1"/>
  </pageFields>
  <dataFields count="1">
    <dataField name="Sum of Units Proposed" fld="34" baseField="0" baseItem="0"/>
  </dataFields>
  <formats count="40">
    <format dxfId="707">
      <pivotArea type="all" dataOnly="0" outline="0" fieldPosition="0"/>
    </format>
    <format dxfId="706">
      <pivotArea type="all" dataOnly="0" outline="0" fieldPosition="0"/>
    </format>
    <format dxfId="705">
      <pivotArea type="all" dataOnly="0" outline="0" fieldPosition="0"/>
    </format>
    <format dxfId="704">
      <pivotArea type="all" dataOnly="0" outline="0" fieldPosition="0"/>
    </format>
    <format dxfId="703">
      <pivotArea type="all" dataOnly="0" outline="0" fieldPosition="0"/>
    </format>
    <format dxfId="702">
      <pivotArea type="all" dataOnly="0" outline="0" fieldPosition="0"/>
    </format>
    <format dxfId="701">
      <pivotArea type="all" dataOnly="0" outline="0" fieldPosition="0"/>
    </format>
    <format dxfId="700">
      <pivotArea type="all" dataOnly="0" outline="0" fieldPosition="0"/>
    </format>
    <format dxfId="699">
      <pivotArea type="all" dataOnly="0" outline="0" fieldPosition="0"/>
    </format>
    <format dxfId="698">
      <pivotArea type="all" dataOnly="0" outline="0" fieldPosition="0"/>
    </format>
    <format dxfId="697">
      <pivotArea type="all" dataOnly="0" outline="0" fieldPosition="0"/>
    </format>
    <format dxfId="696">
      <pivotArea outline="0" collapsedLevelsAreSubtotals="1" fieldPosition="0"/>
    </format>
    <format dxfId="695">
      <pivotArea dataOnly="0" labelOnly="1" outline="0" axis="axisValues" fieldPosition="0"/>
    </format>
    <format dxfId="694">
      <pivotArea type="all" dataOnly="0" outline="0" fieldPosition="0"/>
    </format>
    <format dxfId="693">
      <pivotArea outline="0" collapsedLevelsAreSubtotals="1" fieldPosition="0"/>
    </format>
    <format dxfId="692">
      <pivotArea dataOnly="0" labelOnly="1" outline="0" axis="axisValues" fieldPosition="0"/>
    </format>
    <format dxfId="691">
      <pivotArea type="all" dataOnly="0" outline="0" fieldPosition="0"/>
    </format>
    <format dxfId="690">
      <pivotArea outline="0" collapsedLevelsAreSubtotals="1" fieldPosition="0"/>
    </format>
    <format dxfId="689">
      <pivotArea dataOnly="0" labelOnly="1" outline="0" axis="axisValues" fieldPosition="0"/>
    </format>
    <format dxfId="688">
      <pivotArea type="all" dataOnly="0" outline="0" fieldPosition="0"/>
    </format>
    <format dxfId="687">
      <pivotArea outline="0" collapsedLevelsAreSubtotals="1" fieldPosition="0"/>
    </format>
    <format dxfId="686">
      <pivotArea dataOnly="0" labelOnly="1" outline="0" axis="axisValues" fieldPosition="0"/>
    </format>
    <format dxfId="685">
      <pivotArea type="all" dataOnly="0" outline="0" fieldPosition="0"/>
    </format>
    <format dxfId="684">
      <pivotArea outline="0" collapsedLevelsAreSubtotals="1" fieldPosition="0"/>
    </format>
    <format dxfId="683">
      <pivotArea dataOnly="0" labelOnly="1" outline="0" axis="axisValues" fieldPosition="0"/>
    </format>
    <format dxfId="682">
      <pivotArea type="all" dataOnly="0" outline="0" fieldPosition="0"/>
    </format>
    <format dxfId="681">
      <pivotArea outline="0" collapsedLevelsAreSubtotals="1" fieldPosition="0"/>
    </format>
    <format dxfId="680">
      <pivotArea dataOnly="0" labelOnly="1" outline="0" axis="axisValues" fieldPosition="0"/>
    </format>
    <format dxfId="679">
      <pivotArea type="all" dataOnly="0" outline="0" fieldPosition="0"/>
    </format>
    <format dxfId="678">
      <pivotArea outline="0" collapsedLevelsAreSubtotals="1" fieldPosition="0"/>
    </format>
    <format dxfId="677">
      <pivotArea dataOnly="0" labelOnly="1" outline="0" axis="axisValues" fieldPosition="0"/>
    </format>
    <format dxfId="676">
      <pivotArea type="all" dataOnly="0" outline="0" fieldPosition="0"/>
    </format>
    <format dxfId="675">
      <pivotArea outline="0" collapsedLevelsAreSubtotals="1" fieldPosition="0"/>
    </format>
    <format dxfId="674">
      <pivotArea type="all" dataOnly="0" outline="0" fieldPosition="0"/>
    </format>
    <format dxfId="673">
      <pivotArea outline="0" collapsedLevelsAreSubtotals="1" fieldPosition="0"/>
    </format>
    <format dxfId="672">
      <pivotArea outline="0" collapsedLevelsAreSubtotals="1" fieldPosition="0"/>
    </format>
    <format dxfId="671">
      <pivotArea type="all" dataOnly="0" outline="0" fieldPosition="0"/>
    </format>
    <format dxfId="670">
      <pivotArea type="all" dataOnly="0" outline="0" fieldPosition="0"/>
    </format>
    <format dxfId="669">
      <pivotArea outline="0" collapsedLevelsAreSubtotals="1" fieldPosition="0"/>
    </format>
    <format dxfId="66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61227D7-84F6-4C7C-A2C4-A13E11EE5A40}" name="PivotTable33"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521:I530" firstHeaderRow="1" firstDataRow="1" firstDataCol="1" rowPageCount="4" colPageCount="1"/>
  <pivotFields count="84">
    <pivotField showAll="0" defaultSubtotal="0"/>
    <pivotField axis="axisPage" multipleItemSelectionAllowed="1" showAll="0" defaultSubtotal="0">
      <items count="5">
        <item x="1"/>
        <item x="2"/>
        <item x="3"/>
        <item x="4"/>
        <item x="0"/>
      </items>
    </pivotField>
    <pivotField axis="axisPage" multipleItemSelectionAllowed="1" showAll="0" defaultSubtotal="0">
      <items count="2">
        <item x="1"/>
        <item h="1"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multipleItemSelectionAllowed="1" showAll="0" defaultSubtotal="0"/>
    <pivotField axis="axisPage" multipleItemSelectionAllowed="1" showAll="0">
      <items count="16">
        <item x="5"/>
        <item x="9"/>
        <item x="4"/>
        <item x="7"/>
        <item x="13"/>
        <item h="1" x="1"/>
        <item x="2"/>
        <item x="14"/>
        <item x="8"/>
        <item x="6"/>
        <item x="10"/>
        <item x="3"/>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3"/>
        <item x="2"/>
        <item x="6"/>
        <item x="5"/>
        <item x="1"/>
        <item x="4"/>
        <item x="0"/>
        <item t="default"/>
      </items>
    </pivotField>
    <pivotField showAll="0">
      <items count="20">
        <item x="4"/>
        <item x="12"/>
        <item x="2"/>
        <item x="1"/>
        <item x="0"/>
        <item x="15"/>
        <item x="8"/>
        <item x="10"/>
        <item x="7"/>
        <item x="16"/>
        <item x="6"/>
        <item x="17"/>
        <item x="13"/>
        <item x="14"/>
        <item x="9"/>
        <item x="3"/>
        <item x="11"/>
        <item x="5"/>
        <item x="18"/>
        <item t="default"/>
      </items>
    </pivotField>
    <pivotField showAll="0"/>
    <pivotField showAll="0"/>
    <pivotField showAll="0"/>
    <pivotField showAll="0"/>
    <pivotField showAll="0"/>
    <pivotField showAll="0"/>
    <pivotField showAll="0"/>
    <pivotField showAll="0"/>
    <pivotField axis="axisRow" showAll="0">
      <items count="11">
        <item x="3"/>
        <item x="2"/>
        <item x="1"/>
        <item x="8"/>
        <item x="7"/>
        <item x="5"/>
        <item x="6"/>
        <item x="4"/>
        <item x="0"/>
        <item x="9"/>
        <item t="default"/>
      </items>
    </pivotField>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9"/>
  </rowFields>
  <rowItems count="9">
    <i>
      <x/>
    </i>
    <i>
      <x v="2"/>
    </i>
    <i>
      <x v="3"/>
    </i>
    <i>
      <x v="4"/>
    </i>
    <i>
      <x v="5"/>
    </i>
    <i>
      <x v="6"/>
    </i>
    <i>
      <x v="7"/>
    </i>
    <i>
      <x v="8"/>
    </i>
    <i t="grand">
      <x/>
    </i>
  </rowItems>
  <colItems count="1">
    <i/>
  </colItems>
  <pageFields count="4">
    <pageField fld="9" hier="-1"/>
    <pageField fld="7" hier="-1"/>
    <pageField fld="2" hier="-1"/>
    <pageField fld="1" hier="-1"/>
  </pageFields>
  <dataFields count="1">
    <dataField name="Sum of Net Dwellings" fld="43" baseField="0" baseItem="0"/>
  </dataFields>
  <formats count="47">
    <format dxfId="754">
      <pivotArea type="all" dataOnly="0" outline="0" fieldPosition="0"/>
    </format>
    <format dxfId="753">
      <pivotArea type="all" dataOnly="0" outline="0" fieldPosition="0"/>
    </format>
    <format dxfId="752">
      <pivotArea type="all" dataOnly="0" outline="0" fieldPosition="0"/>
    </format>
    <format dxfId="751">
      <pivotArea type="all" dataOnly="0" outline="0" fieldPosition="0"/>
    </format>
    <format dxfId="750">
      <pivotArea type="all" dataOnly="0" outline="0" fieldPosition="0"/>
    </format>
    <format dxfId="749">
      <pivotArea type="all" dataOnly="0" outline="0" fieldPosition="0"/>
    </format>
    <format dxfId="748">
      <pivotArea type="all" dataOnly="0" outline="0" fieldPosition="0"/>
    </format>
    <format dxfId="747">
      <pivotArea dataOnly="0" labelOnly="1" outline="0" fieldPosition="0">
        <references count="1">
          <reference field="4294967294" count="1">
            <x v="0"/>
          </reference>
        </references>
      </pivotArea>
    </format>
    <format dxfId="746">
      <pivotArea dataOnly="0" labelOnly="1" outline="0" fieldPosition="0">
        <references count="1">
          <reference field="4294967294" count="1">
            <x v="0"/>
          </reference>
        </references>
      </pivotArea>
    </format>
    <format dxfId="745">
      <pivotArea dataOnly="0" labelOnly="1" outline="0" fieldPosition="0">
        <references count="1">
          <reference field="4294967294" count="1">
            <x v="0"/>
          </reference>
        </references>
      </pivotArea>
    </format>
    <format dxfId="744">
      <pivotArea type="all" dataOnly="0" outline="0" fieldPosition="0"/>
    </format>
    <format dxfId="743">
      <pivotArea type="all" dataOnly="0" outline="0" fieldPosition="0"/>
    </format>
    <format dxfId="742">
      <pivotArea type="all" dataOnly="0" outline="0" fieldPosition="0"/>
    </format>
    <format dxfId="741">
      <pivotArea type="all" dataOnly="0" outline="0" fieldPosition="0"/>
    </format>
    <format dxfId="740">
      <pivotArea outline="0" collapsedLevelsAreSubtotals="1" fieldPosition="0"/>
    </format>
    <format dxfId="739">
      <pivotArea dataOnly="0" labelOnly="1" grandRow="1" outline="0" fieldPosition="0"/>
    </format>
    <format dxfId="738">
      <pivotArea dataOnly="0" labelOnly="1" outline="0" axis="axisValues" fieldPosition="0"/>
    </format>
    <format dxfId="737">
      <pivotArea type="all" dataOnly="0" outline="0" fieldPosition="0"/>
    </format>
    <format dxfId="736">
      <pivotArea outline="0" collapsedLevelsAreSubtotals="1" fieldPosition="0"/>
    </format>
    <format dxfId="735">
      <pivotArea dataOnly="0" labelOnly="1" grandRow="1" outline="0" fieldPosition="0"/>
    </format>
    <format dxfId="734">
      <pivotArea dataOnly="0" labelOnly="1" outline="0" axis="axisValues" fieldPosition="0"/>
    </format>
    <format dxfId="733">
      <pivotArea type="all" dataOnly="0" outline="0" fieldPosition="0"/>
    </format>
    <format dxfId="732">
      <pivotArea outline="0" collapsedLevelsAreSubtotals="1" fieldPosition="0"/>
    </format>
    <format dxfId="731">
      <pivotArea dataOnly="0" labelOnly="1" grandRow="1" outline="0" fieldPosition="0"/>
    </format>
    <format dxfId="730">
      <pivotArea dataOnly="0" labelOnly="1" outline="0" axis="axisValues" fieldPosition="0"/>
    </format>
    <format dxfId="729">
      <pivotArea type="all" dataOnly="0" outline="0" fieldPosition="0"/>
    </format>
    <format dxfId="728">
      <pivotArea outline="0" collapsedLevelsAreSubtotals="1" fieldPosition="0"/>
    </format>
    <format dxfId="727">
      <pivotArea field="70" type="button" dataOnly="0" labelOnly="1" outline="0"/>
    </format>
    <format dxfId="726">
      <pivotArea dataOnly="0" labelOnly="1" grandRow="1" outline="0" fieldPosition="0"/>
    </format>
    <format dxfId="725">
      <pivotArea dataOnly="0" labelOnly="1" outline="0" axis="axisValues" fieldPosition="0"/>
    </format>
    <format dxfId="724">
      <pivotArea type="all" dataOnly="0" outline="0" fieldPosition="0"/>
    </format>
    <format dxfId="723">
      <pivotArea outline="0" collapsedLevelsAreSubtotals="1" fieldPosition="0"/>
    </format>
    <format dxfId="722">
      <pivotArea field="70" type="button" dataOnly="0" labelOnly="1" outline="0"/>
    </format>
    <format dxfId="721">
      <pivotArea dataOnly="0" labelOnly="1" grandRow="1" outline="0" fieldPosition="0"/>
    </format>
    <format dxfId="720">
      <pivotArea dataOnly="0" labelOnly="1" outline="0" axis="axisValues" fieldPosition="0"/>
    </format>
    <format dxfId="719">
      <pivotArea type="all" dataOnly="0" outline="0" fieldPosition="0"/>
    </format>
    <format dxfId="718">
      <pivotArea outline="0" collapsedLevelsAreSubtotals="1" fieldPosition="0"/>
    </format>
    <format dxfId="717">
      <pivotArea field="70" type="button" dataOnly="0" labelOnly="1" outline="0"/>
    </format>
    <format dxfId="716">
      <pivotArea dataOnly="0" labelOnly="1" grandRow="1" outline="0" fieldPosition="0"/>
    </format>
    <format dxfId="715">
      <pivotArea dataOnly="0" labelOnly="1" outline="0" axis="axisValues" fieldPosition="0"/>
    </format>
    <format dxfId="714">
      <pivotArea type="all" dataOnly="0" outline="0" fieldPosition="0"/>
    </format>
    <format dxfId="713">
      <pivotArea outline="0" collapsedLevelsAreSubtotals="1" fieldPosition="0"/>
    </format>
    <format dxfId="712">
      <pivotArea field="69" type="button" dataOnly="0" labelOnly="1" outline="0"/>
    </format>
    <format dxfId="711">
      <pivotArea dataOnly="0" labelOnly="1" grandRow="1" outline="0" fieldPosition="0"/>
    </format>
    <format dxfId="710">
      <pivotArea dataOnly="0" labelOnly="1" outline="0" axis="axisValues" fieldPosition="0"/>
    </format>
    <format dxfId="709">
      <pivotArea outline="0" collapsedLevelsAreSubtotals="1" fieldPosition="0"/>
    </format>
    <format dxfId="70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1EE290A8-458A-4CEC-9297-9BB5B18F0474}" name="PivotTable5"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3:B34" firstHeaderRow="1" firstDataRow="1" firstDataCol="0" rowPageCount="3" colPageCount="1"/>
  <pivotFields count="84">
    <pivotField showAll="0"/>
    <pivotField axis="axisPage" multipleItemSelectionAllowed="1" showAll="0" defaultSubtotal="0">
      <items count="5">
        <item x="1"/>
        <item x="2"/>
        <item x="3"/>
        <item h="1" x="4"/>
        <item h="1" x="0"/>
      </items>
    </pivotField>
    <pivotField showAll="0"/>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h="1" x="0"/>
        <item x="1"/>
        <item h="1" x="2"/>
        <item h="1" x="3"/>
        <item h="1" x="6"/>
        <item h="1" x="4"/>
        <item h="1" x="5"/>
        <item t="default"/>
      </items>
    </pivotField>
    <pivotField showAll="0"/>
    <pivotField axis="axisPage" multipleItemSelectionAllowed="1" showAll="0">
      <items count="16">
        <item h="1" x="1"/>
        <item x="0"/>
        <item h="1" x="2"/>
        <item h="1" x="3"/>
        <item h="1" x="6"/>
        <item h="1" x="10"/>
        <item h="1" x="11"/>
        <item h="1" x="12"/>
        <item h="1" x="13"/>
        <item h="1" x="14"/>
        <item h="1" x="7"/>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3">
    <pageField fld="1" hier="-1"/>
    <pageField fld="7" hier="-1"/>
    <pageField fld="9" hier="-1"/>
  </pageFields>
  <dataFields count="1">
    <dataField name="Sum of Net Dwellings" fld="43" baseField="0" baseItem="0"/>
  </dataFields>
  <formats count="40">
    <format dxfId="794">
      <pivotArea type="all" dataOnly="0" outline="0" fieldPosition="0"/>
    </format>
    <format dxfId="793">
      <pivotArea type="all" dataOnly="0" outline="0" fieldPosition="0"/>
    </format>
    <format dxfId="792">
      <pivotArea type="all" dataOnly="0" outline="0" fieldPosition="0"/>
    </format>
    <format dxfId="791">
      <pivotArea type="all" dataOnly="0" outline="0" fieldPosition="0"/>
    </format>
    <format dxfId="790">
      <pivotArea type="all" dataOnly="0" outline="0" fieldPosition="0"/>
    </format>
    <format dxfId="789">
      <pivotArea type="all" dataOnly="0" outline="0" fieldPosition="0"/>
    </format>
    <format dxfId="788">
      <pivotArea type="all" dataOnly="0" outline="0" fieldPosition="0"/>
    </format>
    <format dxfId="787">
      <pivotArea type="all" dataOnly="0" outline="0" fieldPosition="0"/>
    </format>
    <format dxfId="786">
      <pivotArea type="all" dataOnly="0" outline="0" fieldPosition="0"/>
    </format>
    <format dxfId="785">
      <pivotArea type="all" dataOnly="0" outline="0" fieldPosition="0"/>
    </format>
    <format dxfId="784">
      <pivotArea type="all" dataOnly="0" outline="0" fieldPosition="0"/>
    </format>
    <format dxfId="783">
      <pivotArea outline="0" collapsedLevelsAreSubtotals="1" fieldPosition="0"/>
    </format>
    <format dxfId="782">
      <pivotArea dataOnly="0" labelOnly="1" outline="0" axis="axisValues" fieldPosition="0"/>
    </format>
    <format dxfId="781">
      <pivotArea type="all" dataOnly="0" outline="0" fieldPosition="0"/>
    </format>
    <format dxfId="780">
      <pivotArea outline="0" collapsedLevelsAreSubtotals="1" fieldPosition="0"/>
    </format>
    <format dxfId="779">
      <pivotArea dataOnly="0" labelOnly="1" outline="0" axis="axisValues" fieldPosition="0"/>
    </format>
    <format dxfId="778">
      <pivotArea type="all" dataOnly="0" outline="0" fieldPosition="0"/>
    </format>
    <format dxfId="777">
      <pivotArea outline="0" collapsedLevelsAreSubtotals="1" fieldPosition="0"/>
    </format>
    <format dxfId="776">
      <pivotArea dataOnly="0" labelOnly="1" outline="0" axis="axisValues" fieldPosition="0"/>
    </format>
    <format dxfId="775">
      <pivotArea type="all" dataOnly="0" outline="0" fieldPosition="0"/>
    </format>
    <format dxfId="774">
      <pivotArea outline="0" collapsedLevelsAreSubtotals="1" fieldPosition="0"/>
    </format>
    <format dxfId="773">
      <pivotArea dataOnly="0" labelOnly="1" outline="0" axis="axisValues" fieldPosition="0"/>
    </format>
    <format dxfId="772">
      <pivotArea type="all" dataOnly="0" outline="0" fieldPosition="0"/>
    </format>
    <format dxfId="771">
      <pivotArea outline="0" collapsedLevelsAreSubtotals="1" fieldPosition="0"/>
    </format>
    <format dxfId="770">
      <pivotArea dataOnly="0" labelOnly="1" outline="0" axis="axisValues" fieldPosition="0"/>
    </format>
    <format dxfId="769">
      <pivotArea type="all" dataOnly="0" outline="0" fieldPosition="0"/>
    </format>
    <format dxfId="768">
      <pivotArea outline="0" collapsedLevelsAreSubtotals="1" fieldPosition="0"/>
    </format>
    <format dxfId="767">
      <pivotArea dataOnly="0" labelOnly="1" outline="0" axis="axisValues" fieldPosition="0"/>
    </format>
    <format dxfId="766">
      <pivotArea type="all" dataOnly="0" outline="0" fieldPosition="0"/>
    </format>
    <format dxfId="765">
      <pivotArea outline="0" collapsedLevelsAreSubtotals="1" fieldPosition="0"/>
    </format>
    <format dxfId="764">
      <pivotArea dataOnly="0" labelOnly="1" outline="0" axis="axisValues" fieldPosition="0"/>
    </format>
    <format dxfId="763">
      <pivotArea type="all" dataOnly="0" outline="0" fieldPosition="0"/>
    </format>
    <format dxfId="762">
      <pivotArea outline="0" collapsedLevelsAreSubtotals="1" fieldPosition="0"/>
    </format>
    <format dxfId="761">
      <pivotArea type="all" dataOnly="0" outline="0" fieldPosition="0"/>
    </format>
    <format dxfId="760">
      <pivotArea outline="0" collapsedLevelsAreSubtotals="1" fieldPosition="0"/>
    </format>
    <format dxfId="759">
      <pivotArea outline="0" collapsedLevelsAreSubtotals="1" fieldPosition="0"/>
    </format>
    <format dxfId="758">
      <pivotArea type="all" dataOnly="0" outline="0" fieldPosition="0"/>
    </format>
    <format dxfId="757">
      <pivotArea type="all" dataOnly="0" outline="0" fieldPosition="0"/>
    </format>
    <format dxfId="756">
      <pivotArea outline="0" collapsedLevelsAreSubtotals="1" fieldPosition="0"/>
    </format>
    <format dxfId="7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72A59EA-526A-414D-80C9-A8CBD950C500}" name="PivotTable73"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82:B183" firstHeaderRow="1" firstDataRow="1" firstDataCol="0" rowPageCount="3"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h="1" x="0"/>
        <item h="1" x="5"/>
        <item x="6"/>
        <item h="1" x="2"/>
        <item h="1" x="3"/>
        <item h="1" x="1"/>
        <item h="1" x="7"/>
        <item h="1" x="4"/>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3">
    <pageField fld="7" hier="-1"/>
    <pageField fld="1" hier="-1"/>
    <pageField fld="8" hier="-1"/>
  </pageFields>
  <dataFields count="1">
    <dataField name="Sum of Units Proposed" fld="34" baseField="0" baseItem="0"/>
  </dataFields>
  <formats count="40">
    <format dxfId="834">
      <pivotArea type="all" dataOnly="0" outline="0" fieldPosition="0"/>
    </format>
    <format dxfId="833">
      <pivotArea type="all" dataOnly="0" outline="0" fieldPosition="0"/>
    </format>
    <format dxfId="832">
      <pivotArea type="all" dataOnly="0" outline="0" fieldPosition="0"/>
    </format>
    <format dxfId="831">
      <pivotArea type="all" dataOnly="0" outline="0" fieldPosition="0"/>
    </format>
    <format dxfId="830">
      <pivotArea type="all" dataOnly="0" outline="0" fieldPosition="0"/>
    </format>
    <format dxfId="829">
      <pivotArea type="all" dataOnly="0" outline="0" fieldPosition="0"/>
    </format>
    <format dxfId="828">
      <pivotArea type="all" dataOnly="0" outline="0" fieldPosition="0"/>
    </format>
    <format dxfId="827">
      <pivotArea type="all" dataOnly="0" outline="0" fieldPosition="0"/>
    </format>
    <format dxfId="826">
      <pivotArea type="all" dataOnly="0" outline="0" fieldPosition="0"/>
    </format>
    <format dxfId="825">
      <pivotArea type="all" dataOnly="0" outline="0" fieldPosition="0"/>
    </format>
    <format dxfId="824">
      <pivotArea type="all" dataOnly="0" outline="0" fieldPosition="0"/>
    </format>
    <format dxfId="823">
      <pivotArea outline="0" collapsedLevelsAreSubtotals="1" fieldPosition="0"/>
    </format>
    <format dxfId="822">
      <pivotArea dataOnly="0" labelOnly="1" outline="0" axis="axisValues" fieldPosition="0"/>
    </format>
    <format dxfId="821">
      <pivotArea type="all" dataOnly="0" outline="0" fieldPosition="0"/>
    </format>
    <format dxfId="820">
      <pivotArea outline="0" collapsedLevelsAreSubtotals="1" fieldPosition="0"/>
    </format>
    <format dxfId="819">
      <pivotArea dataOnly="0" labelOnly="1" outline="0" axis="axisValues" fieldPosition="0"/>
    </format>
    <format dxfId="818">
      <pivotArea type="all" dataOnly="0" outline="0" fieldPosition="0"/>
    </format>
    <format dxfId="817">
      <pivotArea outline="0" collapsedLevelsAreSubtotals="1" fieldPosition="0"/>
    </format>
    <format dxfId="816">
      <pivotArea dataOnly="0" labelOnly="1" outline="0" axis="axisValues" fieldPosition="0"/>
    </format>
    <format dxfId="815">
      <pivotArea type="all" dataOnly="0" outline="0" fieldPosition="0"/>
    </format>
    <format dxfId="814">
      <pivotArea outline="0" collapsedLevelsAreSubtotals="1" fieldPosition="0"/>
    </format>
    <format dxfId="813">
      <pivotArea dataOnly="0" labelOnly="1" outline="0" axis="axisValues" fieldPosition="0"/>
    </format>
    <format dxfId="812">
      <pivotArea type="all" dataOnly="0" outline="0" fieldPosition="0"/>
    </format>
    <format dxfId="811">
      <pivotArea outline="0" collapsedLevelsAreSubtotals="1" fieldPosition="0"/>
    </format>
    <format dxfId="810">
      <pivotArea dataOnly="0" labelOnly="1" outline="0" axis="axisValues" fieldPosition="0"/>
    </format>
    <format dxfId="809">
      <pivotArea type="all" dataOnly="0" outline="0" fieldPosition="0"/>
    </format>
    <format dxfId="808">
      <pivotArea outline="0" collapsedLevelsAreSubtotals="1" fieldPosition="0"/>
    </format>
    <format dxfId="807">
      <pivotArea dataOnly="0" labelOnly="1" outline="0" axis="axisValues" fieldPosition="0"/>
    </format>
    <format dxfId="806">
      <pivotArea type="all" dataOnly="0" outline="0" fieldPosition="0"/>
    </format>
    <format dxfId="805">
      <pivotArea outline="0" collapsedLevelsAreSubtotals="1" fieldPosition="0"/>
    </format>
    <format dxfId="804">
      <pivotArea dataOnly="0" labelOnly="1" outline="0" axis="axisValues" fieldPosition="0"/>
    </format>
    <format dxfId="803">
      <pivotArea type="all" dataOnly="0" outline="0" fieldPosition="0"/>
    </format>
    <format dxfId="802">
      <pivotArea outline="0" collapsedLevelsAreSubtotals="1" fieldPosition="0"/>
    </format>
    <format dxfId="801">
      <pivotArea type="all" dataOnly="0" outline="0" fieldPosition="0"/>
    </format>
    <format dxfId="800">
      <pivotArea outline="0" collapsedLevelsAreSubtotals="1" fieldPosition="0"/>
    </format>
    <format dxfId="799">
      <pivotArea outline="0" collapsedLevelsAreSubtotals="1" fieldPosition="0"/>
    </format>
    <format dxfId="798">
      <pivotArea type="all" dataOnly="0" outline="0" fieldPosition="0"/>
    </format>
    <format dxfId="797">
      <pivotArea type="all" dataOnly="0" outline="0" fieldPosition="0"/>
    </format>
    <format dxfId="796">
      <pivotArea outline="0" collapsedLevelsAreSubtotals="1" fieldPosition="0"/>
    </format>
    <format dxfId="79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73CCCCCB-DFAA-4E47-A630-7863D29EB55E}" name="PivotTable23"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538:M544" firstHeaderRow="0" firstDataRow="1" firstDataCol="1" rowPageCount="1" colPageCount="1"/>
  <pivotFields count="84">
    <pivotField showAll="0" defaultSubtotal="0"/>
    <pivotField multipleItemSelectionAllowed="1" showAll="0" defaultSubtotal="0"/>
    <pivotField multipleItemSelectionAllowed="1"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h="1" x="2"/>
        <item x="3"/>
        <item x="6"/>
        <item x="4"/>
        <item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Row" showAll="0">
      <items count="8">
        <item x="3"/>
        <item x="2"/>
        <item h="1" x="6"/>
        <item x="5"/>
        <item x="1"/>
        <item x="4"/>
        <item x="0"/>
        <item t="default"/>
      </items>
    </pivotField>
    <pivotField showAll="0">
      <items count="20">
        <item x="4"/>
        <item x="12"/>
        <item x="14"/>
        <item x="3"/>
        <item x="2"/>
        <item x="1"/>
        <item x="11"/>
        <item x="0"/>
        <item x="15"/>
        <item x="9"/>
        <item x="8"/>
        <item x="10"/>
        <item x="7"/>
        <item x="5"/>
        <item x="16"/>
        <item x="6"/>
        <item x="17"/>
        <item x="13"/>
        <item x="18"/>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69"/>
  </rowFields>
  <rowItems count="6">
    <i>
      <x/>
    </i>
    <i>
      <x v="3"/>
    </i>
    <i>
      <x v="4"/>
    </i>
    <i>
      <x v="5"/>
    </i>
    <i>
      <x v="6"/>
    </i>
    <i t="grand">
      <x/>
    </i>
  </rowItems>
  <colFields count="1">
    <field x="-2"/>
  </colFields>
  <colItems count="11">
    <i>
      <x/>
    </i>
    <i i="1">
      <x v="1"/>
    </i>
    <i i="2">
      <x v="2"/>
    </i>
    <i i="3">
      <x v="3"/>
    </i>
    <i i="4">
      <x v="4"/>
    </i>
    <i i="5">
      <x v="5"/>
    </i>
    <i i="6">
      <x v="6"/>
    </i>
    <i i="7">
      <x v="7"/>
    </i>
    <i i="8">
      <x v="8"/>
    </i>
    <i i="9">
      <x v="9"/>
    </i>
    <i i="10">
      <x v="10"/>
    </i>
  </colItems>
  <pageFields count="1">
    <pageField fld="7" hier="-1"/>
  </pageFields>
  <dataFields count="11">
    <dataField name="Sum of 2024/25 (1)" fld="46" baseField="0" baseItem="0"/>
    <dataField name="Sum of 2025/26 (2)" fld="47" baseField="0" baseItem="0"/>
    <dataField name="Sum of 2026/27 (3)" fld="48" baseField="0" baseItem="0"/>
    <dataField name="Sum of 2027/28 (4)" fld="49" baseField="0" baseItem="0"/>
    <dataField name="Sum of 2028/29 (5)" fld="50" baseField="0" baseItem="0"/>
    <dataField name="Sum of 2029/30 (6)" fld="51" baseField="0" baseItem="0"/>
    <dataField name="Sum of 2030/31 (7)" fld="52" baseField="0" baseItem="0"/>
    <dataField name="Sum of 2031/32 (8)" fld="53" baseField="0" baseItem="0"/>
    <dataField name="Sum of 2032/33 (9)" fld="54" baseField="0" baseItem="0"/>
    <dataField name="Sum of 2033/34 (10)" fld="55" baseField="0" baseItem="0"/>
    <dataField name="Sum of 2024-2034 Total" fld="63" baseField="0" baseItem="0"/>
  </dataFields>
  <formats count="35">
    <format dxfId="869">
      <pivotArea type="all" dataOnly="0" outline="0" fieldPosition="0"/>
    </format>
    <format dxfId="868">
      <pivotArea type="all" dataOnly="0" outline="0" fieldPosition="0"/>
    </format>
    <format dxfId="867">
      <pivotArea type="all" dataOnly="0" outline="0" fieldPosition="0"/>
    </format>
    <format dxfId="866">
      <pivotArea type="all" dataOnly="0" outline="0" fieldPosition="0"/>
    </format>
    <format dxfId="865">
      <pivotArea type="all" dataOnly="0" outline="0" fieldPosition="0"/>
    </format>
    <format dxfId="864">
      <pivotArea type="all" dataOnly="0" outline="0" fieldPosition="0"/>
    </format>
    <format dxfId="863">
      <pivotArea type="all" dataOnly="0" outline="0" fieldPosition="0"/>
    </format>
    <format dxfId="862">
      <pivotArea type="all" dataOnly="0" outline="0" fieldPosition="0"/>
    </format>
    <format dxfId="861">
      <pivotArea type="all" dataOnly="0" outline="0" fieldPosition="0"/>
    </format>
    <format dxfId="860">
      <pivotArea type="all" dataOnly="0" outline="0" fieldPosition="0"/>
    </format>
    <format dxfId="859">
      <pivotArea type="all" dataOnly="0" outline="0" fieldPosition="0"/>
    </format>
    <format dxfId="858">
      <pivotArea outline="0" collapsedLevelsAreSubtotals="1" fieldPosition="0"/>
    </format>
    <format dxfId="857">
      <pivotArea dataOnly="0" labelOnly="1" grandRow="1" outline="0" fieldPosition="0"/>
    </format>
    <format dxfId="856">
      <pivotArea outline="0" collapsedLevelsAreSubtotals="1" fieldPosition="0"/>
    </format>
    <format dxfId="855">
      <pivotArea type="all" dataOnly="0" outline="0" fieldPosition="0"/>
    </format>
    <format dxfId="854">
      <pivotArea outline="0" collapsedLevelsAreSubtotals="1" fieldPosition="0"/>
    </format>
    <format dxfId="853">
      <pivotArea dataOnly="0" labelOnly="1" grandRow="1" outline="0" fieldPosition="0"/>
    </format>
    <format dxfId="852">
      <pivotArea type="all" dataOnly="0" outline="0" fieldPosition="0"/>
    </format>
    <format dxfId="851">
      <pivotArea outline="0" collapsedLevelsAreSubtotals="1" fieldPosition="0"/>
    </format>
    <format dxfId="850">
      <pivotArea dataOnly="0" labelOnly="1" grandRow="1" outline="0" fieldPosition="0"/>
    </format>
    <format dxfId="849">
      <pivotArea type="all" dataOnly="0" outline="0" fieldPosition="0"/>
    </format>
    <format dxfId="848">
      <pivotArea outline="0" collapsedLevelsAreSubtotals="1" fieldPosition="0"/>
    </format>
    <format dxfId="847">
      <pivotArea outline="0" collapsedLevelsAreSubtotals="1" fieldPosition="0"/>
    </format>
    <format dxfId="846">
      <pivotArea type="all" dataOnly="0" outline="0" fieldPosition="0"/>
    </format>
    <format dxfId="845">
      <pivotArea outline="0" collapsedLevelsAreSubtotals="1" fieldPosition="0"/>
    </format>
    <format dxfId="844">
      <pivotArea field="70" type="button" dataOnly="0" labelOnly="1" outline="0"/>
    </format>
    <format dxfId="843">
      <pivotArea dataOnly="0" labelOnly="1" grandRow="1" outline="0" fieldPosition="0"/>
    </format>
    <format dxfId="842">
      <pivotArea type="all" dataOnly="0" outline="0" fieldPosition="0"/>
    </format>
    <format dxfId="841">
      <pivotArea outline="0" collapsedLevelsAreSubtotals="1" fieldPosition="0"/>
    </format>
    <format dxfId="840">
      <pivotArea field="70" type="button" dataOnly="0" labelOnly="1" outline="0"/>
    </format>
    <format dxfId="839">
      <pivotArea dataOnly="0" labelOnly="1" grandRow="1" outline="0" fieldPosition="0"/>
    </format>
    <format dxfId="838">
      <pivotArea type="all" dataOnly="0" outline="0" fieldPosition="0"/>
    </format>
    <format dxfId="837">
      <pivotArea outline="0" collapsedLevelsAreSubtotals="1" fieldPosition="0"/>
    </format>
    <format dxfId="836">
      <pivotArea field="70" type="button" dataOnly="0" labelOnly="1" outline="0"/>
    </format>
    <format dxfId="83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D97A3AA-DFBA-47A9-BFBB-8D1F2CBFCC85}" name="PivotTable6"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3:B44" firstHeaderRow="1" firstDataRow="1" firstDataCol="0" rowPageCount="4" colPageCount="1"/>
  <pivotFields count="84">
    <pivotField showAll="0"/>
    <pivotField axis="axisPage" multipleItemSelectionAllowed="1" showAll="0" defaultSubtotal="0">
      <items count="5">
        <item x="1"/>
        <item x="2"/>
        <item x="3"/>
        <item h="1" x="4"/>
        <item h="1" x="0"/>
      </items>
    </pivotField>
    <pivotField axis="axisPage" multipleItemSelectionAllowed="1" showAll="0">
      <items count="3">
        <item h="1" x="1"/>
        <item x="0"/>
        <item t="default"/>
      </items>
    </pivotField>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h="1" x="0"/>
        <item h="1" x="1"/>
        <item x="2"/>
        <item h="1" x="3"/>
        <item h="1" x="4"/>
        <item h="1" x="5"/>
        <item h="1" x="6"/>
        <item t="default"/>
      </items>
    </pivotField>
    <pivotField showAll="0"/>
    <pivotField axis="axisPage" multipleItemSelectionAllowed="1" showAll="0">
      <items count="16">
        <item h="1" x="1"/>
        <item x="0"/>
        <item h="1" x="2"/>
        <item h="1" x="3"/>
        <item h="1" x="6"/>
        <item h="1" x="10"/>
        <item h="1" x="11"/>
        <item h="1" x="12"/>
        <item h="1" x="13"/>
        <item h="1" x="14"/>
        <item h="1" x="7"/>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4">
    <pageField fld="1" hier="-1"/>
    <pageField fld="7" hier="-1"/>
    <pageField fld="2" hier="-1"/>
    <pageField fld="9" hier="-1"/>
  </pageFields>
  <dataFields count="1">
    <dataField name="Sum of Net Dwellings" fld="43" baseField="0" baseItem="0"/>
  </dataFields>
  <formats count="40">
    <format dxfId="909">
      <pivotArea type="all" dataOnly="0" outline="0" fieldPosition="0"/>
    </format>
    <format dxfId="908">
      <pivotArea type="all" dataOnly="0" outline="0" fieldPosition="0"/>
    </format>
    <format dxfId="907">
      <pivotArea type="all" dataOnly="0" outline="0" fieldPosition="0"/>
    </format>
    <format dxfId="906">
      <pivotArea type="all" dataOnly="0" outline="0" fieldPosition="0"/>
    </format>
    <format dxfId="905">
      <pivotArea type="all" dataOnly="0" outline="0" fieldPosition="0"/>
    </format>
    <format dxfId="904">
      <pivotArea type="all" dataOnly="0" outline="0" fieldPosition="0"/>
    </format>
    <format dxfId="903">
      <pivotArea type="all" dataOnly="0" outline="0" fieldPosition="0"/>
    </format>
    <format dxfId="902">
      <pivotArea type="all" dataOnly="0" outline="0" fieldPosition="0"/>
    </format>
    <format dxfId="901">
      <pivotArea type="all" dataOnly="0" outline="0" fieldPosition="0"/>
    </format>
    <format dxfId="900">
      <pivotArea type="all" dataOnly="0" outline="0" fieldPosition="0"/>
    </format>
    <format dxfId="899">
      <pivotArea type="all" dataOnly="0" outline="0" fieldPosition="0"/>
    </format>
    <format dxfId="898">
      <pivotArea outline="0" collapsedLevelsAreSubtotals="1" fieldPosition="0"/>
    </format>
    <format dxfId="897">
      <pivotArea dataOnly="0" labelOnly="1" outline="0" axis="axisValues" fieldPosition="0"/>
    </format>
    <format dxfId="896">
      <pivotArea type="all" dataOnly="0" outline="0" fieldPosition="0"/>
    </format>
    <format dxfId="895">
      <pivotArea outline="0" collapsedLevelsAreSubtotals="1" fieldPosition="0"/>
    </format>
    <format dxfId="894">
      <pivotArea dataOnly="0" labelOnly="1" outline="0" axis="axisValues" fieldPosition="0"/>
    </format>
    <format dxfId="893">
      <pivotArea type="all" dataOnly="0" outline="0" fieldPosition="0"/>
    </format>
    <format dxfId="892">
      <pivotArea outline="0" collapsedLevelsAreSubtotals="1" fieldPosition="0"/>
    </format>
    <format dxfId="891">
      <pivotArea dataOnly="0" labelOnly="1" outline="0" axis="axisValues" fieldPosition="0"/>
    </format>
    <format dxfId="890">
      <pivotArea type="all" dataOnly="0" outline="0" fieldPosition="0"/>
    </format>
    <format dxfId="889">
      <pivotArea outline="0" collapsedLevelsAreSubtotals="1" fieldPosition="0"/>
    </format>
    <format dxfId="888">
      <pivotArea dataOnly="0" labelOnly="1" outline="0" axis="axisValues" fieldPosition="0"/>
    </format>
    <format dxfId="887">
      <pivotArea type="all" dataOnly="0" outline="0" fieldPosition="0"/>
    </format>
    <format dxfId="886">
      <pivotArea outline="0" collapsedLevelsAreSubtotals="1" fieldPosition="0"/>
    </format>
    <format dxfId="885">
      <pivotArea dataOnly="0" labelOnly="1" outline="0" axis="axisValues" fieldPosition="0"/>
    </format>
    <format dxfId="884">
      <pivotArea type="all" dataOnly="0" outline="0" fieldPosition="0"/>
    </format>
    <format dxfId="883">
      <pivotArea outline="0" collapsedLevelsAreSubtotals="1" fieldPosition="0"/>
    </format>
    <format dxfId="882">
      <pivotArea dataOnly="0" labelOnly="1" outline="0" axis="axisValues" fieldPosition="0"/>
    </format>
    <format dxfId="881">
      <pivotArea type="all" dataOnly="0" outline="0" fieldPosition="0"/>
    </format>
    <format dxfId="880">
      <pivotArea outline="0" collapsedLevelsAreSubtotals="1" fieldPosition="0"/>
    </format>
    <format dxfId="879">
      <pivotArea dataOnly="0" labelOnly="1" outline="0" axis="axisValues" fieldPosition="0"/>
    </format>
    <format dxfId="878">
      <pivotArea type="all" dataOnly="0" outline="0" fieldPosition="0"/>
    </format>
    <format dxfId="877">
      <pivotArea outline="0" collapsedLevelsAreSubtotals="1" fieldPosition="0"/>
    </format>
    <format dxfId="876">
      <pivotArea type="all" dataOnly="0" outline="0" fieldPosition="0"/>
    </format>
    <format dxfId="875">
      <pivotArea outline="0" collapsedLevelsAreSubtotals="1" fieldPosition="0"/>
    </format>
    <format dxfId="874">
      <pivotArea outline="0" collapsedLevelsAreSubtotals="1" fieldPosition="0"/>
    </format>
    <format dxfId="873">
      <pivotArea type="all" dataOnly="0" outline="0" fieldPosition="0"/>
    </format>
    <format dxfId="872">
      <pivotArea type="all" dataOnly="0" outline="0" fieldPosition="0"/>
    </format>
    <format dxfId="871">
      <pivotArea outline="0" collapsedLevelsAreSubtotals="1" fieldPosition="0"/>
    </format>
    <format dxfId="87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7B391B45-86F2-4DFD-9FB3-C153280E4B1E}" name="PivotTable9"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52:C271" firstHeaderRow="1"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19">
    <i>
      <x/>
    </i>
    <i>
      <x v="1"/>
    </i>
    <i>
      <x v="2"/>
    </i>
    <i>
      <x v="3"/>
    </i>
    <i>
      <x v="4"/>
    </i>
    <i>
      <x v="5"/>
    </i>
    <i>
      <x v="6"/>
    </i>
    <i>
      <x v="7"/>
    </i>
    <i>
      <x v="8"/>
    </i>
    <i>
      <x v="9"/>
    </i>
    <i>
      <x v="11"/>
    </i>
    <i>
      <x v="12"/>
    </i>
    <i>
      <x v="13"/>
    </i>
    <i>
      <x v="14"/>
    </i>
    <i>
      <x v="15"/>
    </i>
    <i>
      <x v="16"/>
    </i>
    <i>
      <x v="17"/>
    </i>
    <i>
      <x v="18"/>
    </i>
    <i t="grand">
      <x/>
    </i>
  </rowItems>
  <colItems count="1">
    <i/>
  </colItems>
  <pageFields count="1">
    <pageField fld="7" hier="-1"/>
  </pageFields>
  <dataFields count="1">
    <dataField name="Sum of Net Dwellings" fld="43" baseField="0" baseItem="0"/>
  </dataFields>
  <formats count="38">
    <format dxfId="947">
      <pivotArea type="all" dataOnly="0" outline="0" fieldPosition="0"/>
    </format>
    <format dxfId="946">
      <pivotArea type="all" dataOnly="0" outline="0" fieldPosition="0"/>
    </format>
    <format dxfId="945">
      <pivotArea type="all" dataOnly="0" outline="0" fieldPosition="0"/>
    </format>
    <format dxfId="944">
      <pivotArea type="all" dataOnly="0" outline="0" fieldPosition="0"/>
    </format>
    <format dxfId="943">
      <pivotArea type="all" dataOnly="0" outline="0" fieldPosition="0"/>
    </format>
    <format dxfId="942">
      <pivotArea type="all" dataOnly="0" outline="0" fieldPosition="0"/>
    </format>
    <format dxfId="941">
      <pivotArea type="all" dataOnly="0" outline="0" fieldPosition="0"/>
    </format>
    <format dxfId="940">
      <pivotArea type="all" dataOnly="0" outline="0" fieldPosition="0"/>
    </format>
    <format dxfId="939">
      <pivotArea type="all" dataOnly="0" outline="0" fieldPosition="0"/>
    </format>
    <format dxfId="938">
      <pivotArea type="all" dataOnly="0" outline="0" fieldPosition="0"/>
    </format>
    <format dxfId="937">
      <pivotArea type="all" dataOnly="0" outline="0" fieldPosition="0"/>
    </format>
    <format dxfId="936">
      <pivotArea outline="0" collapsedLevelsAreSubtotals="1" fieldPosition="0"/>
    </format>
    <format dxfId="935">
      <pivotArea dataOnly="0" labelOnly="1" grandRow="1" outline="0" fieldPosition="0"/>
    </format>
    <format dxfId="934">
      <pivotArea dataOnly="0" labelOnly="1" outline="0" axis="axisValues" fieldPosition="0"/>
    </format>
    <format dxfId="933">
      <pivotArea type="all" dataOnly="0" outline="0" fieldPosition="0"/>
    </format>
    <format dxfId="932">
      <pivotArea outline="0" collapsedLevelsAreSubtotals="1" fieldPosition="0"/>
    </format>
    <format dxfId="931">
      <pivotArea dataOnly="0" labelOnly="1" grandRow="1" outline="0" fieldPosition="0"/>
    </format>
    <format dxfId="930">
      <pivotArea dataOnly="0" labelOnly="1" outline="0" axis="axisValues" fieldPosition="0"/>
    </format>
    <format dxfId="929">
      <pivotArea type="all" dataOnly="0" outline="0" fieldPosition="0"/>
    </format>
    <format dxfId="928">
      <pivotArea outline="0" collapsedLevelsAreSubtotals="1" fieldPosition="0"/>
    </format>
    <format dxfId="927">
      <pivotArea dataOnly="0" labelOnly="1" grandRow="1" outline="0" fieldPosition="0"/>
    </format>
    <format dxfId="926">
      <pivotArea dataOnly="0" labelOnly="1" outline="0" axis="axisValues" fieldPosition="0"/>
    </format>
    <format dxfId="925">
      <pivotArea type="all" dataOnly="0" outline="0" fieldPosition="0"/>
    </format>
    <format dxfId="924">
      <pivotArea outline="0" collapsedLevelsAreSubtotals="1" fieldPosition="0"/>
    </format>
    <format dxfId="923">
      <pivotArea field="70" type="button" dataOnly="0" labelOnly="1" outline="0" axis="axisRow" fieldPosition="0"/>
    </format>
    <format dxfId="922">
      <pivotArea dataOnly="0" labelOnly="1" grandRow="1" outline="0" fieldPosition="0"/>
    </format>
    <format dxfId="921">
      <pivotArea dataOnly="0" labelOnly="1" outline="0" axis="axisValues" fieldPosition="0"/>
    </format>
    <format dxfId="920">
      <pivotArea type="all" dataOnly="0" outline="0" fieldPosition="0"/>
    </format>
    <format dxfId="919">
      <pivotArea outline="0" collapsedLevelsAreSubtotals="1" fieldPosition="0"/>
    </format>
    <format dxfId="918">
      <pivotArea field="70" type="button" dataOnly="0" labelOnly="1" outline="0" axis="axisRow" fieldPosition="0"/>
    </format>
    <format dxfId="917">
      <pivotArea dataOnly="0" labelOnly="1" grandRow="1" outline="0" fieldPosition="0"/>
    </format>
    <format dxfId="916">
      <pivotArea dataOnly="0" labelOnly="1" outline="0" axis="axisValues" fieldPosition="0"/>
    </format>
    <format dxfId="915">
      <pivotArea type="all" dataOnly="0" outline="0" fieldPosition="0"/>
    </format>
    <format dxfId="914">
      <pivotArea outline="0" collapsedLevelsAreSubtotals="1" fieldPosition="0"/>
    </format>
    <format dxfId="913">
      <pivotArea field="70" type="button" dataOnly="0" labelOnly="1" outline="0" axis="axisRow" fieldPosition="0"/>
    </format>
    <format dxfId="912">
      <pivotArea dataOnly="0" labelOnly="1" fieldPosition="0">
        <references count="1">
          <reference field="70" count="15">
            <x v="0"/>
            <x v="1"/>
            <x v="2"/>
            <x v="4"/>
            <x v="5"/>
            <x v="7"/>
            <x v="8"/>
            <x v="9"/>
            <x v="11"/>
            <x v="12"/>
            <x v="13"/>
            <x v="15"/>
            <x v="16"/>
            <x v="17"/>
            <x v="18"/>
          </reference>
        </references>
      </pivotArea>
    </format>
    <format dxfId="911">
      <pivotArea dataOnly="0" labelOnly="1" grandRow="1" outline="0" fieldPosition="0"/>
    </format>
    <format dxfId="91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BDD2A7F6-9EB9-4F1F-8FBC-2287C89538E0}" name="PivotTable12"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Q280:T290" firstHeaderRow="0" firstDataRow="1" firstDataCol="1" rowPageCount="1" colPageCount="1"/>
  <pivotFields count="84">
    <pivotField showAll="0" defaultSubtotal="0"/>
    <pivotField multipleItemSelectionAllowed="1" showAll="0" defaultSubtotal="0"/>
    <pivotField showAll="0" defaultSubtotal="0"/>
    <pivotField axis="axisPage" multipleItemSelectionAllowed="1" showAll="0">
      <items count="245">
        <item h="1" x="74"/>
        <item h="1" x="75"/>
        <item h="1" x="81"/>
        <item h="1" x="83"/>
        <item h="1" x="84"/>
        <item h="1" x="16"/>
        <item h="1" x="11"/>
        <item h="1" x="18"/>
        <item h="1" x="85"/>
        <item h="1" x="87"/>
        <item h="1" x="76"/>
        <item h="1" x="86"/>
        <item h="1" x="89"/>
        <item h="1" x="22"/>
        <item h="1" x="88"/>
        <item h="1" x="65"/>
        <item h="1" x="80"/>
        <item h="1" x="91"/>
        <item h="1" x="21"/>
        <item h="1" x="19"/>
        <item h="1" x="90"/>
        <item h="1" x="67"/>
        <item h="1" x="92"/>
        <item h="1" x="93"/>
        <item h="1" x="66"/>
        <item h="1" x="95"/>
        <item h="1" x="99"/>
        <item h="1" x="102"/>
        <item h="1" x="97"/>
        <item h="1" x="17"/>
        <item h="1" x="104"/>
        <item h="1" x="24"/>
        <item h="1" x="101"/>
        <item h="1" x="96"/>
        <item h="1" x="98"/>
        <item h="1" x="100"/>
        <item h="1" x="20"/>
        <item h="1" x="103"/>
        <item h="1" x="107"/>
        <item h="1" x="23"/>
        <item h="1" x="105"/>
        <item h="1" x="2"/>
        <item h="1" x="110"/>
        <item h="1" x="108"/>
        <item h="1" x="113"/>
        <item h="1" x="4"/>
        <item h="1" x="1"/>
        <item h="1" x="114"/>
        <item h="1" x="94"/>
        <item h="1" x="77"/>
        <item h="1" x="82"/>
        <item h="1" x="5"/>
        <item h="1" x="25"/>
        <item h="1" x="69"/>
        <item h="1" x="111"/>
        <item h="1" x="26"/>
        <item h="1" x="168"/>
        <item h="1" x="145"/>
        <item h="1" x="29"/>
        <item h="1" x="28"/>
        <item h="1" x="31"/>
        <item h="1" x="106"/>
        <item h="1" x="79"/>
        <item h="1" x="119"/>
        <item h="1" x="109"/>
        <item h="1" x="117"/>
        <item h="1" x="64"/>
        <item h="1" x="184"/>
        <item h="1" x="27"/>
        <item h="1" x="32"/>
        <item h="1" x="118"/>
        <item h="1" x="120"/>
        <item h="1" x="180"/>
        <item h="1" x="178"/>
        <item h="1" x="34"/>
        <item h="1" x="70"/>
        <item h="1" x="68"/>
        <item h="1" x="188"/>
        <item h="1" x="185"/>
        <item h="1" x="174"/>
        <item h="1" x="30"/>
        <item h="1" x="115"/>
        <item h="1" x="167"/>
        <item h="1" x="63"/>
        <item h="1" x="6"/>
        <item h="1" x="173"/>
        <item h="1" x="191"/>
        <item h="1" x="9"/>
        <item h="1" x="150"/>
        <item h="1" x="193"/>
        <item h="1" x="116"/>
        <item h="1" x="162"/>
        <item h="1" x="39"/>
        <item h="1" x="37"/>
        <item h="1" x="41"/>
        <item h="1" x="182"/>
        <item h="1" x="128"/>
        <item h="1" x="179"/>
        <item h="1" x="71"/>
        <item h="1" x="175"/>
        <item h="1" x="197"/>
        <item h="1" x="183"/>
        <item h="1" x="40"/>
        <item h="1" x="201"/>
        <item h="1" x="44"/>
        <item h="1" x="240"/>
        <item h="1" x="3"/>
        <item h="1" x="112"/>
        <item h="1" x="125"/>
        <item h="1" x="204"/>
        <item h="1" x="198"/>
        <item h="1" x="46"/>
        <item h="1" x="45"/>
        <item h="1" x="36"/>
        <item h="1" x="38"/>
        <item h="1" x="0"/>
        <item h="1" x="48"/>
        <item h="1" x="146"/>
        <item h="1" x="208"/>
        <item h="1" x="33"/>
        <item h="1" x="206"/>
        <item h="1" x="147"/>
        <item h="1" x="192"/>
        <item h="1" x="195"/>
        <item h="1" x="172"/>
        <item h="1" x="10"/>
        <item h="1" x="78"/>
        <item h="1" x="205"/>
        <item h="1" x="43"/>
        <item h="1" x="127"/>
        <item h="1" x="73"/>
        <item h="1" x="122"/>
        <item h="1" x="42"/>
        <item h="1" x="51"/>
        <item h="1" x="49"/>
        <item h="1" x="52"/>
        <item h="1" x="35"/>
        <item h="1" x="202"/>
        <item h="1" x="200"/>
        <item h="1" x="15"/>
        <item h="1" x="190"/>
        <item h="1" x="189"/>
        <item h="1" x="203"/>
        <item h="1" x="47"/>
        <item h="1" x="155"/>
        <item h="1" x="181"/>
        <item h="1" x="199"/>
        <item h="1" x="129"/>
        <item h="1" x="177"/>
        <item h="1" x="134"/>
        <item h="1" x="12"/>
        <item h="1" x="7"/>
        <item h="1" x="135"/>
        <item h="1" x="215"/>
        <item h="1" x="216"/>
        <item h="1" x="132"/>
        <item h="1" x="148"/>
        <item h="1" x="212"/>
        <item h="1" x="221"/>
        <item h="1" x="196"/>
        <item h="1" x="219"/>
        <item h="1" x="194"/>
        <item h="1" x="157"/>
        <item h="1" x="210"/>
        <item h="1" x="186"/>
        <item h="1" x="133"/>
        <item h="1" x="55"/>
        <item h="1" x="124"/>
        <item h="1" x="72"/>
        <item h="1" x="214"/>
        <item h="1" x="209"/>
        <item h="1" x="50"/>
        <item h="1" x="126"/>
        <item h="1" x="137"/>
        <item h="1" x="152"/>
        <item h="1"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h="1" x="242"/>
        <item h="1" x="243"/>
        <item h="1" x="241"/>
        <item t="default"/>
      </items>
    </pivotField>
    <pivotField showAll="0"/>
    <pivotField showAll="0" defaultSubtotal="0"/>
    <pivotField showAll="0" defaultSubtotal="0"/>
    <pivotField multipleItemSelectionAllowed="1" showAll="0" defaultSubtotal="0">
      <items count="7">
        <item x="0"/>
        <item h="1"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axis="axisRow" showAll="0">
      <items count="11">
        <item x="3"/>
        <item x="2"/>
        <item x="1"/>
        <item x="8"/>
        <item x="7"/>
        <item x="5"/>
        <item x="6"/>
        <item x="4"/>
        <item x="0"/>
        <item x="9"/>
        <item t="default"/>
      </items>
    </pivotField>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9"/>
  </rowFields>
  <rowItems count="10">
    <i>
      <x/>
    </i>
    <i>
      <x v="1"/>
    </i>
    <i>
      <x v="2"/>
    </i>
    <i>
      <x v="3"/>
    </i>
    <i>
      <x v="4"/>
    </i>
    <i>
      <x v="5"/>
    </i>
    <i>
      <x v="6"/>
    </i>
    <i>
      <x v="7"/>
    </i>
    <i>
      <x v="8"/>
    </i>
    <i t="grand">
      <x/>
    </i>
  </rowItems>
  <colFields count="1">
    <field x="-2"/>
  </colFields>
  <colItems count="3">
    <i>
      <x/>
    </i>
    <i i="1">
      <x v="1"/>
    </i>
    <i i="2">
      <x v="2"/>
    </i>
  </colItems>
  <pageFields count="1">
    <pageField fld="3" hier="-1"/>
  </pageFields>
  <dataFields count="3">
    <dataField name="Sum of Units Proposed" fld="34" baseField="0" baseItem="0"/>
    <dataField name="Sum of Units Existing" fld="24" baseField="0" baseItem="0"/>
    <dataField name="Sum of Net Dwellings" fld="43" baseField="0" baseItem="0"/>
  </dataFields>
  <formats count="40">
    <format dxfId="987">
      <pivotArea type="all" dataOnly="0" outline="0" fieldPosition="0"/>
    </format>
    <format dxfId="986">
      <pivotArea type="all" dataOnly="0" outline="0" fieldPosition="0"/>
    </format>
    <format dxfId="985">
      <pivotArea type="all" dataOnly="0" outline="0" fieldPosition="0"/>
    </format>
    <format dxfId="984">
      <pivotArea type="all" dataOnly="0" outline="0" fieldPosition="0"/>
    </format>
    <format dxfId="983">
      <pivotArea type="all" dataOnly="0" outline="0" fieldPosition="0"/>
    </format>
    <format dxfId="982">
      <pivotArea type="all" dataOnly="0" outline="0" fieldPosition="0"/>
    </format>
    <format dxfId="981">
      <pivotArea type="all" dataOnly="0" outline="0" fieldPosition="0"/>
    </format>
    <format dxfId="980">
      <pivotArea dataOnly="0" labelOnly="1" outline="0" fieldPosition="0">
        <references count="1">
          <reference field="4294967294" count="2">
            <x v="0"/>
            <x v="2"/>
          </reference>
        </references>
      </pivotArea>
    </format>
    <format dxfId="979">
      <pivotArea dataOnly="0" labelOnly="1" outline="0" fieldPosition="0">
        <references count="1">
          <reference field="4294967294" count="2">
            <x v="0"/>
            <x v="2"/>
          </reference>
        </references>
      </pivotArea>
    </format>
    <format dxfId="978">
      <pivotArea dataOnly="0" labelOnly="1" outline="0" fieldPosition="0">
        <references count="1">
          <reference field="4294967294" count="2">
            <x v="0"/>
            <x v="2"/>
          </reference>
        </references>
      </pivotArea>
    </format>
    <format dxfId="977">
      <pivotArea type="all" dataOnly="0" outline="0" fieldPosition="0"/>
    </format>
    <format dxfId="976">
      <pivotArea type="all" dataOnly="0" outline="0" fieldPosition="0"/>
    </format>
    <format dxfId="975">
      <pivotArea type="all" dataOnly="0" outline="0" fieldPosition="0"/>
    </format>
    <format dxfId="974">
      <pivotArea type="all" dataOnly="0" outline="0" fieldPosition="0"/>
    </format>
    <format dxfId="973">
      <pivotArea outline="0" collapsedLevelsAreSubtotals="1" fieldPosition="0"/>
    </format>
    <format dxfId="972">
      <pivotArea dataOnly="0" labelOnly="1" grandRow="1" outline="0" fieldPosition="0"/>
    </format>
    <format dxfId="971">
      <pivotArea dataOnly="0" labelOnly="1" outline="0" fieldPosition="0">
        <references count="1">
          <reference field="4294967294" count="2">
            <x v="0"/>
            <x v="2"/>
          </reference>
        </references>
      </pivotArea>
    </format>
    <format dxfId="970">
      <pivotArea type="all" dataOnly="0" outline="0" fieldPosition="0"/>
    </format>
    <format dxfId="969">
      <pivotArea outline="0" collapsedLevelsAreSubtotals="1" fieldPosition="0"/>
    </format>
    <format dxfId="968">
      <pivotArea dataOnly="0" labelOnly="1" grandRow="1" outline="0" fieldPosition="0"/>
    </format>
    <format dxfId="967">
      <pivotArea dataOnly="0" labelOnly="1" outline="0" fieldPosition="0">
        <references count="1">
          <reference field="4294967294" count="2">
            <x v="0"/>
            <x v="2"/>
          </reference>
        </references>
      </pivotArea>
    </format>
    <format dxfId="966">
      <pivotArea type="all" dataOnly="0" outline="0" fieldPosition="0"/>
    </format>
    <format dxfId="965">
      <pivotArea outline="0" collapsedLevelsAreSubtotals="1" fieldPosition="0"/>
    </format>
    <format dxfId="964">
      <pivotArea dataOnly="0" labelOnly="1" grandRow="1" outline="0" fieldPosition="0"/>
    </format>
    <format dxfId="963">
      <pivotArea dataOnly="0" labelOnly="1" outline="0" fieldPosition="0">
        <references count="1">
          <reference field="4294967294" count="2">
            <x v="0"/>
            <x v="2"/>
          </reference>
        </references>
      </pivotArea>
    </format>
    <format dxfId="962">
      <pivotArea type="all" dataOnly="0" outline="0" fieldPosition="0"/>
    </format>
    <format dxfId="961">
      <pivotArea outline="0" collapsedLevelsAreSubtotals="1" fieldPosition="0"/>
    </format>
    <format dxfId="960">
      <pivotArea field="70" type="button" dataOnly="0" labelOnly="1" outline="0"/>
    </format>
    <format dxfId="959">
      <pivotArea dataOnly="0" labelOnly="1" grandRow="1" outline="0" fieldPosition="0"/>
    </format>
    <format dxfId="958">
      <pivotArea dataOnly="0" labelOnly="1" outline="0" fieldPosition="0">
        <references count="1">
          <reference field="4294967294" count="3">
            <x v="0"/>
            <x v="1"/>
            <x v="2"/>
          </reference>
        </references>
      </pivotArea>
    </format>
    <format dxfId="957">
      <pivotArea type="all" dataOnly="0" outline="0" fieldPosition="0"/>
    </format>
    <format dxfId="956">
      <pivotArea outline="0" collapsedLevelsAreSubtotals="1" fieldPosition="0"/>
    </format>
    <format dxfId="955">
      <pivotArea field="70" type="button" dataOnly="0" labelOnly="1" outline="0"/>
    </format>
    <format dxfId="954">
      <pivotArea dataOnly="0" labelOnly="1" grandRow="1" outline="0" fieldPosition="0"/>
    </format>
    <format dxfId="953">
      <pivotArea dataOnly="0" labelOnly="1" outline="0" fieldPosition="0">
        <references count="1">
          <reference field="4294967294" count="3">
            <x v="0"/>
            <x v="1"/>
            <x v="2"/>
          </reference>
        </references>
      </pivotArea>
    </format>
    <format dxfId="952">
      <pivotArea type="all" dataOnly="0" outline="0" fieldPosition="0"/>
    </format>
    <format dxfId="951">
      <pivotArea outline="0" collapsedLevelsAreSubtotals="1" fieldPosition="0"/>
    </format>
    <format dxfId="950">
      <pivotArea field="70" type="button" dataOnly="0" labelOnly="1" outline="0"/>
    </format>
    <format dxfId="949">
      <pivotArea dataOnly="0" labelOnly="1" grandRow="1" outline="0" fieldPosition="0"/>
    </format>
    <format dxfId="948">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6DCDAB02-CA47-4F9C-8746-CFC3F6CAC039}" name="PivotTable71"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92:B193" firstHeaderRow="1" firstDataRow="1" firstDataCol="0" rowPageCount="3"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h="1" x="0"/>
        <item x="5"/>
        <item h="1" x="6"/>
        <item h="1" x="2"/>
        <item h="1" x="3"/>
        <item h="1" x="1"/>
        <item h="1" x="7"/>
        <item h="1" x="4"/>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3">
    <pageField fld="7" hier="-1"/>
    <pageField fld="1" hier="-1"/>
    <pageField fld="8" hier="-1"/>
  </pageFields>
  <dataFields count="1">
    <dataField name="Sum of Net Dwellings" fld="43" baseField="0" baseItem="0"/>
  </dataFields>
  <formats count="40">
    <format dxfId="1027">
      <pivotArea type="all" dataOnly="0" outline="0" fieldPosition="0"/>
    </format>
    <format dxfId="1026">
      <pivotArea type="all" dataOnly="0" outline="0" fieldPosition="0"/>
    </format>
    <format dxfId="1025">
      <pivotArea type="all" dataOnly="0" outline="0" fieldPosition="0"/>
    </format>
    <format dxfId="1024">
      <pivotArea type="all" dataOnly="0" outline="0" fieldPosition="0"/>
    </format>
    <format dxfId="1023">
      <pivotArea type="all" dataOnly="0" outline="0" fieldPosition="0"/>
    </format>
    <format dxfId="1022">
      <pivotArea type="all" dataOnly="0" outline="0" fieldPosition="0"/>
    </format>
    <format dxfId="1021">
      <pivotArea type="all" dataOnly="0" outline="0" fieldPosition="0"/>
    </format>
    <format dxfId="1020">
      <pivotArea type="all" dataOnly="0" outline="0" fieldPosition="0"/>
    </format>
    <format dxfId="1019">
      <pivotArea type="all" dataOnly="0" outline="0" fieldPosition="0"/>
    </format>
    <format dxfId="1018">
      <pivotArea type="all" dataOnly="0" outline="0" fieldPosition="0"/>
    </format>
    <format dxfId="1017">
      <pivotArea type="all" dataOnly="0" outline="0" fieldPosition="0"/>
    </format>
    <format dxfId="1016">
      <pivotArea outline="0" collapsedLevelsAreSubtotals="1" fieldPosition="0"/>
    </format>
    <format dxfId="1015">
      <pivotArea dataOnly="0" labelOnly="1" outline="0" axis="axisValues" fieldPosition="0"/>
    </format>
    <format dxfId="1014">
      <pivotArea type="all" dataOnly="0" outline="0" fieldPosition="0"/>
    </format>
    <format dxfId="1013">
      <pivotArea outline="0" collapsedLevelsAreSubtotals="1" fieldPosition="0"/>
    </format>
    <format dxfId="1012">
      <pivotArea dataOnly="0" labelOnly="1" outline="0" axis="axisValues" fieldPosition="0"/>
    </format>
    <format dxfId="1011">
      <pivotArea type="all" dataOnly="0" outline="0" fieldPosition="0"/>
    </format>
    <format dxfId="1010">
      <pivotArea outline="0" collapsedLevelsAreSubtotals="1" fieldPosition="0"/>
    </format>
    <format dxfId="1009">
      <pivotArea dataOnly="0" labelOnly="1" outline="0" axis="axisValues" fieldPosition="0"/>
    </format>
    <format dxfId="1008">
      <pivotArea type="all" dataOnly="0" outline="0" fieldPosition="0"/>
    </format>
    <format dxfId="1007">
      <pivotArea outline="0" collapsedLevelsAreSubtotals="1" fieldPosition="0"/>
    </format>
    <format dxfId="1006">
      <pivotArea dataOnly="0" labelOnly="1" outline="0" axis="axisValues" fieldPosition="0"/>
    </format>
    <format dxfId="1005">
      <pivotArea type="all" dataOnly="0" outline="0" fieldPosition="0"/>
    </format>
    <format dxfId="1004">
      <pivotArea outline="0" collapsedLevelsAreSubtotals="1" fieldPosition="0"/>
    </format>
    <format dxfId="1003">
      <pivotArea dataOnly="0" labelOnly="1" outline="0" axis="axisValues" fieldPosition="0"/>
    </format>
    <format dxfId="1002">
      <pivotArea type="all" dataOnly="0" outline="0" fieldPosition="0"/>
    </format>
    <format dxfId="1001">
      <pivotArea outline="0" collapsedLevelsAreSubtotals="1" fieldPosition="0"/>
    </format>
    <format dxfId="1000">
      <pivotArea dataOnly="0" labelOnly="1" outline="0" axis="axisValues" fieldPosition="0"/>
    </format>
    <format dxfId="999">
      <pivotArea type="all" dataOnly="0" outline="0" fieldPosition="0"/>
    </format>
    <format dxfId="998">
      <pivotArea outline="0" collapsedLevelsAreSubtotals="1" fieldPosition="0"/>
    </format>
    <format dxfId="997">
      <pivotArea dataOnly="0" labelOnly="1" outline="0" axis="axisValues" fieldPosition="0"/>
    </format>
    <format dxfId="996">
      <pivotArea type="all" dataOnly="0" outline="0" fieldPosition="0"/>
    </format>
    <format dxfId="995">
      <pivotArea outline="0" collapsedLevelsAreSubtotals="1" fieldPosition="0"/>
    </format>
    <format dxfId="994">
      <pivotArea type="all" dataOnly="0" outline="0" fieldPosition="0"/>
    </format>
    <format dxfId="993">
      <pivotArea outline="0" collapsedLevelsAreSubtotals="1" fieldPosition="0"/>
    </format>
    <format dxfId="992">
      <pivotArea outline="0" collapsedLevelsAreSubtotals="1" fieldPosition="0"/>
    </format>
    <format dxfId="991">
      <pivotArea type="all" dataOnly="0" outline="0" fieldPosition="0"/>
    </format>
    <format dxfId="990">
      <pivotArea type="all" dataOnly="0" outline="0" fieldPosition="0"/>
    </format>
    <format dxfId="989">
      <pivotArea outline="0" collapsedLevelsAreSubtotals="1" fieldPosition="0"/>
    </format>
    <format dxfId="98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72E0B772-7B86-42CD-BDCF-7A412DC9F998}" name="PivotTable20"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89:B90" firstHeaderRow="1" firstDataRow="1" firstDataCol="0" rowPageCount="2" colPageCount="1"/>
  <pivotFields count="84">
    <pivotField showAll="0" defaultSubtotal="0"/>
    <pivotField axis="axisPage" multipleItemSelectionAllowed="1" showAll="0" defaultSubtotal="0">
      <items count="5">
        <item x="1"/>
        <item x="2"/>
        <item x="3"/>
        <item h="1" x="4"/>
        <item h="1"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2">
    <pageField fld="7" hier="-1"/>
    <pageField fld="1" hier="-1"/>
  </pageFields>
  <dataFields count="1">
    <dataField name="Sum of Units Proposed" fld="34" baseField="0" baseItem="0"/>
  </dataFields>
  <formats count="40">
    <format dxfId="1067">
      <pivotArea type="all" dataOnly="0" outline="0" fieldPosition="0"/>
    </format>
    <format dxfId="1066">
      <pivotArea type="all" dataOnly="0" outline="0" fieldPosition="0"/>
    </format>
    <format dxfId="1065">
      <pivotArea type="all" dataOnly="0" outline="0" fieldPosition="0"/>
    </format>
    <format dxfId="1064">
      <pivotArea type="all" dataOnly="0" outline="0" fieldPosition="0"/>
    </format>
    <format dxfId="1063">
      <pivotArea type="all" dataOnly="0" outline="0" fieldPosition="0"/>
    </format>
    <format dxfId="1062">
      <pivotArea type="all" dataOnly="0" outline="0" fieldPosition="0"/>
    </format>
    <format dxfId="1061">
      <pivotArea type="all" dataOnly="0" outline="0" fieldPosition="0"/>
    </format>
    <format dxfId="1060">
      <pivotArea type="all" dataOnly="0" outline="0" fieldPosition="0"/>
    </format>
    <format dxfId="1059">
      <pivotArea type="all" dataOnly="0" outline="0" fieldPosition="0"/>
    </format>
    <format dxfId="1058">
      <pivotArea type="all" dataOnly="0" outline="0" fieldPosition="0"/>
    </format>
    <format dxfId="1057">
      <pivotArea type="all" dataOnly="0" outline="0" fieldPosition="0"/>
    </format>
    <format dxfId="1056">
      <pivotArea outline="0" collapsedLevelsAreSubtotals="1" fieldPosition="0"/>
    </format>
    <format dxfId="1055">
      <pivotArea dataOnly="0" labelOnly="1" outline="0" axis="axisValues" fieldPosition="0"/>
    </format>
    <format dxfId="1054">
      <pivotArea type="all" dataOnly="0" outline="0" fieldPosition="0"/>
    </format>
    <format dxfId="1053">
      <pivotArea outline="0" collapsedLevelsAreSubtotals="1" fieldPosition="0"/>
    </format>
    <format dxfId="1052">
      <pivotArea dataOnly="0" labelOnly="1" outline="0" axis="axisValues" fieldPosition="0"/>
    </format>
    <format dxfId="1051">
      <pivotArea type="all" dataOnly="0" outline="0" fieldPosition="0"/>
    </format>
    <format dxfId="1050">
      <pivotArea outline="0" collapsedLevelsAreSubtotals="1" fieldPosition="0"/>
    </format>
    <format dxfId="1049">
      <pivotArea dataOnly="0" labelOnly="1" outline="0" axis="axisValues" fieldPosition="0"/>
    </format>
    <format dxfId="1048">
      <pivotArea type="all" dataOnly="0" outline="0" fieldPosition="0"/>
    </format>
    <format dxfId="1047">
      <pivotArea outline="0" collapsedLevelsAreSubtotals="1" fieldPosition="0"/>
    </format>
    <format dxfId="1046">
      <pivotArea dataOnly="0" labelOnly="1" outline="0" axis="axisValues" fieldPosition="0"/>
    </format>
    <format dxfId="1045">
      <pivotArea type="all" dataOnly="0" outline="0" fieldPosition="0"/>
    </format>
    <format dxfId="1044">
      <pivotArea outline="0" collapsedLevelsAreSubtotals="1" fieldPosition="0"/>
    </format>
    <format dxfId="1043">
      <pivotArea dataOnly="0" labelOnly="1" outline="0" axis="axisValues" fieldPosition="0"/>
    </format>
    <format dxfId="1042">
      <pivotArea type="all" dataOnly="0" outline="0" fieldPosition="0"/>
    </format>
    <format dxfId="1041">
      <pivotArea outline="0" collapsedLevelsAreSubtotals="1" fieldPosition="0"/>
    </format>
    <format dxfId="1040">
      <pivotArea dataOnly="0" labelOnly="1" outline="0" axis="axisValues" fieldPosition="0"/>
    </format>
    <format dxfId="1039">
      <pivotArea type="all" dataOnly="0" outline="0" fieldPosition="0"/>
    </format>
    <format dxfId="1038">
      <pivotArea outline="0" collapsedLevelsAreSubtotals="1" fieldPosition="0"/>
    </format>
    <format dxfId="1037">
      <pivotArea dataOnly="0" labelOnly="1" outline="0" axis="axisValues" fieldPosition="0"/>
    </format>
    <format dxfId="1036">
      <pivotArea type="all" dataOnly="0" outline="0" fieldPosition="0"/>
    </format>
    <format dxfId="1035">
      <pivotArea outline="0" collapsedLevelsAreSubtotals="1" fieldPosition="0"/>
    </format>
    <format dxfId="1034">
      <pivotArea type="all" dataOnly="0" outline="0" fieldPosition="0"/>
    </format>
    <format dxfId="1033">
      <pivotArea outline="0" collapsedLevelsAreSubtotals="1" fieldPosition="0"/>
    </format>
    <format dxfId="1032">
      <pivotArea outline="0" collapsedLevelsAreSubtotals="1" fieldPosition="0"/>
    </format>
    <format dxfId="1031">
      <pivotArea type="all" dataOnly="0" outline="0" fieldPosition="0"/>
    </format>
    <format dxfId="1030">
      <pivotArea type="all" dataOnly="0" outline="0" fieldPosition="0"/>
    </format>
    <format dxfId="1029">
      <pivotArea outline="0" collapsedLevelsAreSubtotals="1" fieldPosition="0"/>
    </format>
    <format dxfId="10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48F0D52F-10FD-4056-AD1A-BA8539DF86B0}" name="PivotTable10"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62:B63" firstHeaderRow="1" firstDataRow="1" firstDataCol="0" rowPageCount="2"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2">
    <pageField fld="7" hier="-1"/>
    <pageField fld="1" hier="-1"/>
  </pageFields>
  <dataFields count="1">
    <dataField name="Sum of Net Dwellings" fld="43" baseField="0" baseItem="0"/>
  </dataFields>
  <formats count="40">
    <format dxfId="1107">
      <pivotArea type="all" dataOnly="0" outline="0" fieldPosition="0"/>
    </format>
    <format dxfId="1106">
      <pivotArea type="all" dataOnly="0" outline="0" fieldPosition="0"/>
    </format>
    <format dxfId="1105">
      <pivotArea type="all" dataOnly="0" outline="0" fieldPosition="0"/>
    </format>
    <format dxfId="1104">
      <pivotArea type="all" dataOnly="0" outline="0" fieldPosition="0"/>
    </format>
    <format dxfId="1103">
      <pivotArea type="all" dataOnly="0" outline="0" fieldPosition="0"/>
    </format>
    <format dxfId="1102">
      <pivotArea type="all" dataOnly="0" outline="0" fieldPosition="0"/>
    </format>
    <format dxfId="1101">
      <pivotArea type="all" dataOnly="0" outline="0" fieldPosition="0"/>
    </format>
    <format dxfId="1100">
      <pivotArea type="all" dataOnly="0" outline="0" fieldPosition="0"/>
    </format>
    <format dxfId="1099">
      <pivotArea type="all" dataOnly="0" outline="0" fieldPosition="0"/>
    </format>
    <format dxfId="1098">
      <pivotArea type="all" dataOnly="0" outline="0" fieldPosition="0"/>
    </format>
    <format dxfId="1097">
      <pivotArea type="all" dataOnly="0" outline="0" fieldPosition="0"/>
    </format>
    <format dxfId="1096">
      <pivotArea outline="0" collapsedLevelsAreSubtotals="1" fieldPosition="0"/>
    </format>
    <format dxfId="1095">
      <pivotArea dataOnly="0" labelOnly="1" outline="0" axis="axisValues" fieldPosition="0"/>
    </format>
    <format dxfId="1094">
      <pivotArea type="all" dataOnly="0" outline="0" fieldPosition="0"/>
    </format>
    <format dxfId="1093">
      <pivotArea outline="0" collapsedLevelsAreSubtotals="1" fieldPosition="0"/>
    </format>
    <format dxfId="1092">
      <pivotArea dataOnly="0" labelOnly="1" outline="0" axis="axisValues" fieldPosition="0"/>
    </format>
    <format dxfId="1091">
      <pivotArea type="all" dataOnly="0" outline="0" fieldPosition="0"/>
    </format>
    <format dxfId="1090">
      <pivotArea outline="0" collapsedLevelsAreSubtotals="1" fieldPosition="0"/>
    </format>
    <format dxfId="1089">
      <pivotArea dataOnly="0" labelOnly="1" outline="0" axis="axisValues" fieldPosition="0"/>
    </format>
    <format dxfId="1088">
      <pivotArea type="all" dataOnly="0" outline="0" fieldPosition="0"/>
    </format>
    <format dxfId="1087">
      <pivotArea outline="0" collapsedLevelsAreSubtotals="1" fieldPosition="0"/>
    </format>
    <format dxfId="1086">
      <pivotArea dataOnly="0" labelOnly="1" outline="0" axis="axisValues" fieldPosition="0"/>
    </format>
    <format dxfId="1085">
      <pivotArea type="all" dataOnly="0" outline="0" fieldPosition="0"/>
    </format>
    <format dxfId="1084">
      <pivotArea outline="0" collapsedLevelsAreSubtotals="1" fieldPosition="0"/>
    </format>
    <format dxfId="1083">
      <pivotArea dataOnly="0" labelOnly="1" outline="0" axis="axisValues" fieldPosition="0"/>
    </format>
    <format dxfId="1082">
      <pivotArea type="all" dataOnly="0" outline="0" fieldPosition="0"/>
    </format>
    <format dxfId="1081">
      <pivotArea outline="0" collapsedLevelsAreSubtotals="1" fieldPosition="0"/>
    </format>
    <format dxfId="1080">
      <pivotArea dataOnly="0" labelOnly="1" outline="0" axis="axisValues" fieldPosition="0"/>
    </format>
    <format dxfId="1079">
      <pivotArea type="all" dataOnly="0" outline="0" fieldPosition="0"/>
    </format>
    <format dxfId="1078">
      <pivotArea outline="0" collapsedLevelsAreSubtotals="1" fieldPosition="0"/>
    </format>
    <format dxfId="1077">
      <pivotArea dataOnly="0" labelOnly="1" outline="0" axis="axisValues" fieldPosition="0"/>
    </format>
    <format dxfId="1076">
      <pivotArea type="all" dataOnly="0" outline="0" fieldPosition="0"/>
    </format>
    <format dxfId="1075">
      <pivotArea outline="0" collapsedLevelsAreSubtotals="1" fieldPosition="0"/>
    </format>
    <format dxfId="1074">
      <pivotArea type="all" dataOnly="0" outline="0" fieldPosition="0"/>
    </format>
    <format dxfId="1073">
      <pivotArea outline="0" collapsedLevelsAreSubtotals="1" fieldPosition="0"/>
    </format>
    <format dxfId="1072">
      <pivotArea outline="0" collapsedLevelsAreSubtotals="1" fieldPosition="0"/>
    </format>
    <format dxfId="1071">
      <pivotArea type="all" dataOnly="0" outline="0" fieldPosition="0"/>
    </format>
    <format dxfId="1070">
      <pivotArea type="all" dataOnly="0" outline="0" fieldPosition="0"/>
    </format>
    <format dxfId="1069">
      <pivotArea outline="0" collapsedLevelsAreSubtotals="1" fieldPosition="0"/>
    </format>
    <format dxfId="106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29BFF57A-44FF-4B97-82AD-E6B63D49BBF7}" name="PivotTable31" cacheId="1"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23:K424" firstHeaderRow="0" firstDataRow="1" firstDataCol="0" rowPageCount="1" colPageCount="1"/>
  <pivotFields count="43">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0"/>
        <item x="1"/>
        <item x="2"/>
        <item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Items count="1">
    <i/>
  </rowItems>
  <colFields count="1">
    <field x="-2"/>
  </colFields>
  <colItems count="10">
    <i>
      <x/>
    </i>
    <i i="1">
      <x v="1"/>
    </i>
    <i i="2">
      <x v="2"/>
    </i>
    <i i="3">
      <x v="3"/>
    </i>
    <i i="4">
      <x v="4"/>
    </i>
    <i i="5">
      <x v="5"/>
    </i>
    <i i="6">
      <x v="6"/>
    </i>
    <i i="7">
      <x v="7"/>
    </i>
    <i i="8">
      <x v="8"/>
    </i>
    <i i="9">
      <x v="9"/>
    </i>
  </colItems>
  <pageFields count="1">
    <pageField fld="7" hier="-1"/>
  </pageFields>
  <dataFields count="10">
    <dataField name="Sum of 2024/25 (1)" fld="32" baseField="0" baseItem="1"/>
    <dataField name="Sum of 2025/26 (2)" fld="33" baseField="0" baseItem="0"/>
    <dataField name="Sum of 2026/27 (3)" fld="34" baseField="0" baseItem="0"/>
    <dataField name="Sum of 2027/28 (4)" fld="35" baseField="0" baseItem="0"/>
    <dataField name="Sum of 2028/29 (5)" fld="36" baseField="0" baseItem="0"/>
    <dataField name="Sum of 2029/30 (6)" fld="37" baseField="0" baseItem="1"/>
    <dataField name="Sum of 2030/31 (7)" fld="38" baseField="0" baseItem="1"/>
    <dataField name="Sum of 2031/32 (8)" fld="39" baseField="0" baseItem="1"/>
    <dataField name="Sum of 2032/33 (9)" fld="40" baseField="0" baseItem="1"/>
    <dataField name="Sum of 2033/34 (10)" fld="41" baseField="0" baseItem="1"/>
  </dataFields>
  <formats count="26">
    <format dxfId="1133">
      <pivotArea type="all" dataOnly="0" outline="0" fieldPosition="0"/>
    </format>
    <format dxfId="1132">
      <pivotArea type="all" dataOnly="0" outline="0" fieldPosition="0"/>
    </format>
    <format dxfId="1131">
      <pivotArea type="all" dataOnly="0" outline="0" fieldPosition="0"/>
    </format>
    <format dxfId="1130">
      <pivotArea type="all" dataOnly="0" outline="0" fieldPosition="0"/>
    </format>
    <format dxfId="1129">
      <pivotArea type="all" dataOnly="0" outline="0" fieldPosition="0"/>
    </format>
    <format dxfId="1128">
      <pivotArea type="all" dataOnly="0" outline="0" fieldPosition="0"/>
    </format>
    <format dxfId="1127">
      <pivotArea type="all" dataOnly="0" outline="0" fieldPosition="0"/>
    </format>
    <format dxfId="1126">
      <pivotArea outline="0" collapsedLevelsAreSubtotals="1" fieldPosition="0"/>
    </format>
    <format dxfId="1125">
      <pivotArea type="all" dataOnly="0" outline="0" fieldPosition="0"/>
    </format>
    <format dxfId="1124">
      <pivotArea type="all" dataOnly="0" outline="0" fieldPosition="0"/>
    </format>
    <format dxfId="1123">
      <pivotArea type="all" dataOnly="0" outline="0" fieldPosition="0"/>
    </format>
    <format dxfId="1122">
      <pivotArea type="all" dataOnly="0" outline="0" fieldPosition="0"/>
    </format>
    <format dxfId="1121">
      <pivotArea outline="0" collapsedLevelsAreSubtotals="1" fieldPosition="0"/>
    </format>
    <format dxfId="1120">
      <pivotArea type="all" dataOnly="0" outline="0" fieldPosition="0"/>
    </format>
    <format dxfId="1119">
      <pivotArea outline="0" collapsedLevelsAreSubtotals="1" fieldPosition="0"/>
    </format>
    <format dxfId="1118">
      <pivotArea type="all" dataOnly="0" outline="0" fieldPosition="0"/>
    </format>
    <format dxfId="1117">
      <pivotArea outline="0" collapsedLevelsAreSubtotals="1" fieldPosition="0"/>
    </format>
    <format dxfId="1116">
      <pivotArea type="all" dataOnly="0" outline="0" fieldPosition="0"/>
    </format>
    <format dxfId="1115">
      <pivotArea outline="0" collapsedLevelsAreSubtotals="1" fieldPosition="0"/>
    </format>
    <format dxfId="1114">
      <pivotArea type="all" dataOnly="0" outline="0" fieldPosition="0"/>
    </format>
    <format dxfId="1113">
      <pivotArea outline="0" collapsedLevelsAreSubtotals="1" fieldPosition="0"/>
    </format>
    <format dxfId="1112">
      <pivotArea type="all" dataOnly="0" outline="0" fieldPosition="0"/>
    </format>
    <format dxfId="1111">
      <pivotArea outline="0" collapsedLevelsAreSubtotals="1" fieldPosition="0"/>
    </format>
    <format dxfId="1110">
      <pivotArea outline="0" collapsedLevelsAreSubtotals="1" fieldPosition="0"/>
    </format>
    <format dxfId="1109">
      <pivotArea type="all" dataOnly="0" outline="0" fieldPosition="0"/>
    </format>
    <format dxfId="110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8B87A549-CCF5-4CBA-BE8A-77D3D4FA6792}" name="PivotTable39"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38:I346" firstHeaderRow="0" firstDataRow="1" firstDataCol="1" rowPageCount="2"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axis="axisRow" multipleItemSelectionAllowed="1" showAll="0" defaultSubtotal="0">
      <items count="9">
        <item x="0"/>
        <item x="5"/>
        <item x="6"/>
        <item x="2"/>
        <item x="3"/>
        <item x="1"/>
        <item x="4"/>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8"/>
  </rowFields>
  <rowItems count="8">
    <i>
      <x/>
    </i>
    <i>
      <x v="1"/>
    </i>
    <i>
      <x v="2"/>
    </i>
    <i>
      <x v="3"/>
    </i>
    <i>
      <x v="4"/>
    </i>
    <i>
      <x v="5"/>
    </i>
    <i>
      <x v="6"/>
    </i>
    <i t="grand">
      <x/>
    </i>
  </rowItems>
  <colFields count="1">
    <field x="-2"/>
  </colFields>
  <colItems count="7">
    <i>
      <x/>
    </i>
    <i i="1">
      <x v="1"/>
    </i>
    <i i="2">
      <x v="2"/>
    </i>
    <i i="3">
      <x v="3"/>
    </i>
    <i i="4">
      <x v="4"/>
    </i>
    <i i="5">
      <x v="5"/>
    </i>
    <i i="6">
      <x v="6"/>
    </i>
  </colItems>
  <pageFields count="2">
    <pageField fld="7" hier="-1"/>
    <pageField fld="1" hier="-1"/>
  </pageFields>
  <dataFields count="7">
    <dataField name="Sum of 1 bed net" fld="35" baseField="0" baseItem="0"/>
    <dataField name="Sum of 2 bed net" fld="36" baseField="0" baseItem="0"/>
    <dataField name="Sum of 3 bed net" fld="37" baseField="0" baseItem="0"/>
    <dataField name="Sum of 4 bed net" fld="38" baseField="0" baseItem="0"/>
    <dataField name="Sum of 5 bed net" fld="39" baseField="0" baseItem="0"/>
    <dataField name="Sum of 6 bed net" fld="40" baseField="0" baseItem="0"/>
    <dataField name="Sum of 7 bed net" fld="41" baseField="0" baseItem="0"/>
  </dataFields>
  <formats count="48">
    <format dxfId="1181">
      <pivotArea type="all" dataOnly="0" outline="0" fieldPosition="0"/>
    </format>
    <format dxfId="1180">
      <pivotArea type="all" dataOnly="0" outline="0" fieldPosition="0"/>
    </format>
    <format dxfId="1179">
      <pivotArea type="all" dataOnly="0" outline="0" fieldPosition="0"/>
    </format>
    <format dxfId="1178">
      <pivotArea type="all" dataOnly="0" outline="0" fieldPosition="0"/>
    </format>
    <format dxfId="1177">
      <pivotArea type="all" dataOnly="0" outline="0" fieldPosition="0"/>
    </format>
    <format dxfId="1176">
      <pivotArea type="all" dataOnly="0" outline="0" fieldPosition="0"/>
    </format>
    <format dxfId="1175">
      <pivotArea type="all" dataOnly="0" outline="0" fieldPosition="0"/>
    </format>
    <format dxfId="1174">
      <pivotArea type="all" dataOnly="0" outline="0" fieldPosition="0"/>
    </format>
    <format dxfId="1173">
      <pivotArea type="all" dataOnly="0" outline="0" fieldPosition="0"/>
    </format>
    <format dxfId="1172">
      <pivotArea type="all" dataOnly="0" outline="0" fieldPosition="0"/>
    </format>
    <format dxfId="1171">
      <pivotArea type="all" dataOnly="0" outline="0" fieldPosition="0"/>
    </format>
    <format dxfId="1170">
      <pivotArea outline="0" collapsedLevelsAreSubtotals="1" fieldPosition="0"/>
    </format>
    <format dxfId="1169">
      <pivotArea field="8" type="button" dataOnly="0" labelOnly="1" outline="0" axis="axisRow" fieldPosition="0"/>
    </format>
    <format dxfId="1168">
      <pivotArea dataOnly="0" labelOnly="1" fieldPosition="0">
        <references count="1">
          <reference field="8" count="1">
            <x v="0"/>
          </reference>
        </references>
      </pivotArea>
    </format>
    <format dxfId="1167">
      <pivotArea dataOnly="0" labelOnly="1" grandRow="1" outline="0" fieldPosition="0"/>
    </format>
    <format dxfId="1166">
      <pivotArea dataOnly="0" labelOnly="1" outline="0" fieldPosition="0">
        <references count="1">
          <reference field="4294967294" count="7">
            <x v="0"/>
            <x v="1"/>
            <x v="2"/>
            <x v="3"/>
            <x v="4"/>
            <x v="5"/>
            <x v="6"/>
          </reference>
        </references>
      </pivotArea>
    </format>
    <format dxfId="1165">
      <pivotArea type="all" dataOnly="0" outline="0" fieldPosition="0"/>
    </format>
    <format dxfId="1164">
      <pivotArea outline="0" collapsedLevelsAreSubtotals="1" fieldPosition="0"/>
    </format>
    <format dxfId="1163">
      <pivotArea field="8" type="button" dataOnly="0" labelOnly="1" outline="0" axis="axisRow" fieldPosition="0"/>
    </format>
    <format dxfId="1162">
      <pivotArea dataOnly="0" labelOnly="1" fieldPosition="0">
        <references count="1">
          <reference field="8" count="1">
            <x v="0"/>
          </reference>
        </references>
      </pivotArea>
    </format>
    <format dxfId="1161">
      <pivotArea dataOnly="0" labelOnly="1" grandRow="1" outline="0" fieldPosition="0"/>
    </format>
    <format dxfId="1160">
      <pivotArea dataOnly="0" labelOnly="1" outline="0" fieldPosition="0">
        <references count="1">
          <reference field="4294967294" count="7">
            <x v="0"/>
            <x v="1"/>
            <x v="2"/>
            <x v="3"/>
            <x v="4"/>
            <x v="5"/>
            <x v="6"/>
          </reference>
        </references>
      </pivotArea>
    </format>
    <format dxfId="1159">
      <pivotArea type="all" dataOnly="0" outline="0" fieldPosition="0"/>
    </format>
    <format dxfId="1158">
      <pivotArea outline="0" collapsedLevelsAreSubtotals="1" fieldPosition="0"/>
    </format>
    <format dxfId="1157">
      <pivotArea field="8" type="button" dataOnly="0" labelOnly="1" outline="0" axis="axisRow" fieldPosition="0"/>
    </format>
    <format dxfId="1156">
      <pivotArea dataOnly="0" labelOnly="1" fieldPosition="0">
        <references count="1">
          <reference field="8" count="1">
            <x v="0"/>
          </reference>
        </references>
      </pivotArea>
    </format>
    <format dxfId="1155">
      <pivotArea dataOnly="0" labelOnly="1" grandRow="1" outline="0" fieldPosition="0"/>
    </format>
    <format dxfId="1154">
      <pivotArea dataOnly="0" labelOnly="1" outline="0" fieldPosition="0">
        <references count="1">
          <reference field="4294967294" count="7">
            <x v="0"/>
            <x v="1"/>
            <x v="2"/>
            <x v="3"/>
            <x v="4"/>
            <x v="5"/>
            <x v="6"/>
          </reference>
        </references>
      </pivotArea>
    </format>
    <format dxfId="1153">
      <pivotArea type="all" dataOnly="0" outline="0" fieldPosition="0"/>
    </format>
    <format dxfId="1152">
      <pivotArea outline="0" collapsedLevelsAreSubtotals="1" fieldPosition="0"/>
    </format>
    <format dxfId="1151">
      <pivotArea field="8" type="button" dataOnly="0" labelOnly="1" outline="0" axis="axisRow" fieldPosition="0"/>
    </format>
    <format dxfId="1150">
      <pivotArea dataOnly="0" labelOnly="1" fieldPosition="0">
        <references count="1">
          <reference field="8" count="4">
            <x v="0"/>
            <x v="1"/>
            <x v="2"/>
            <x v="4"/>
          </reference>
        </references>
      </pivotArea>
    </format>
    <format dxfId="1149">
      <pivotArea dataOnly="0" labelOnly="1" grandRow="1" outline="0" fieldPosition="0"/>
    </format>
    <format dxfId="1148">
      <pivotArea dataOnly="0" labelOnly="1" outline="0" fieldPosition="0">
        <references count="1">
          <reference field="4294967294" count="7">
            <x v="0"/>
            <x v="1"/>
            <x v="2"/>
            <x v="3"/>
            <x v="4"/>
            <x v="5"/>
            <x v="6"/>
          </reference>
        </references>
      </pivotArea>
    </format>
    <format dxfId="1147">
      <pivotArea type="all" dataOnly="0" outline="0" fieldPosition="0"/>
    </format>
    <format dxfId="1146">
      <pivotArea type="all" dataOnly="0" outline="0" fieldPosition="0"/>
    </format>
    <format dxfId="1145">
      <pivotArea collapsedLevelsAreSubtotals="1" fieldPosition="0">
        <references count="1">
          <reference field="8" count="7">
            <x v="0"/>
            <x v="1"/>
            <x v="2"/>
            <x v="3"/>
            <x v="4"/>
            <x v="5"/>
            <x v="6"/>
          </reference>
        </references>
      </pivotArea>
    </format>
    <format dxfId="1144">
      <pivotArea type="all" dataOnly="0" outline="0" fieldPosition="0"/>
    </format>
    <format dxfId="1143">
      <pivotArea outline="0" collapsedLevelsAreSubtotals="1" fieldPosition="0"/>
    </format>
    <format dxfId="1142">
      <pivotArea field="8" type="button" dataOnly="0" labelOnly="1" outline="0" axis="axisRow" fieldPosition="0"/>
    </format>
    <format dxfId="1141">
      <pivotArea dataOnly="0" labelOnly="1" fieldPosition="0">
        <references count="1">
          <reference field="8" count="7">
            <x v="0"/>
            <x v="1"/>
            <x v="2"/>
            <x v="3"/>
            <x v="4"/>
            <x v="5"/>
            <x v="6"/>
          </reference>
        </references>
      </pivotArea>
    </format>
    <format dxfId="1140">
      <pivotArea dataOnly="0" labelOnly="1" grandRow="1" outline="0" fieldPosition="0"/>
    </format>
    <format dxfId="1139">
      <pivotArea type="all" dataOnly="0" outline="0" fieldPosition="0"/>
    </format>
    <format dxfId="1138">
      <pivotArea outline="0" collapsedLevelsAreSubtotals="1" fieldPosition="0"/>
    </format>
    <format dxfId="1137">
      <pivotArea field="8" type="button" dataOnly="0" labelOnly="1" outline="0" axis="axisRow" fieldPosition="0"/>
    </format>
    <format dxfId="1136">
      <pivotArea dataOnly="0" labelOnly="1" fieldPosition="0">
        <references count="1">
          <reference field="8" count="7">
            <x v="0"/>
            <x v="1"/>
            <x v="2"/>
            <x v="3"/>
            <x v="4"/>
            <x v="5"/>
            <x v="6"/>
          </reference>
        </references>
      </pivotArea>
    </format>
    <format dxfId="1135">
      <pivotArea dataOnly="0" labelOnly="1" grandRow="1" outline="0" fieldPosition="0"/>
    </format>
    <format dxfId="1134">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5590E36E-EE88-431E-B63F-435213362018}" name="PivotTable43"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2:H23" firstHeaderRow="1" firstDataRow="1" firstDataCol="0" rowPageCount="1" colPageCount="1"/>
  <pivotFields count="84">
    <pivotField showAll="0"/>
    <pivotField multipleItemSelectionAllowed="1" showAll="0" defaultSubtotal="0"/>
    <pivotField showAll="0"/>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x="0"/>
        <item h="1" x="1"/>
        <item h="1" x="2"/>
        <item h="1" x="3"/>
        <item h="1" x="6"/>
        <item h="1" x="4"/>
        <item h="1" x="5"/>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1">
    <pageField fld="7" hier="-1"/>
  </pageFields>
  <dataFields count="1">
    <dataField name="Average of approval to completion" fld="10" subtotal="average" baseField="11" baseItem="0" numFmtId="164"/>
  </dataFields>
  <formats count="44">
    <format dxfId="1225">
      <pivotArea type="all" dataOnly="0" outline="0" fieldPosition="0"/>
    </format>
    <format dxfId="1224">
      <pivotArea type="all" dataOnly="0" outline="0" fieldPosition="0"/>
    </format>
    <format dxfId="1223">
      <pivotArea type="all" dataOnly="0" outline="0" fieldPosition="0"/>
    </format>
    <format dxfId="1222">
      <pivotArea type="all" dataOnly="0" outline="0" fieldPosition="0"/>
    </format>
    <format dxfId="1221">
      <pivotArea type="all" dataOnly="0" outline="0" fieldPosition="0"/>
    </format>
    <format dxfId="1220">
      <pivotArea type="all" dataOnly="0" outline="0" fieldPosition="0"/>
    </format>
    <format dxfId="1219">
      <pivotArea type="all" dataOnly="0" outline="0" fieldPosition="0"/>
    </format>
    <format dxfId="1218">
      <pivotArea type="all" dataOnly="0" outline="0" fieldPosition="0"/>
    </format>
    <format dxfId="1217">
      <pivotArea type="all" dataOnly="0" outline="0" fieldPosition="0"/>
    </format>
    <format dxfId="1216">
      <pivotArea type="all" dataOnly="0" outline="0" fieldPosition="0"/>
    </format>
    <format dxfId="1215">
      <pivotArea type="all" dataOnly="0" outline="0" fieldPosition="0"/>
    </format>
    <format dxfId="1214">
      <pivotArea outline="0" collapsedLevelsAreSubtotals="1" fieldPosition="0"/>
    </format>
    <format dxfId="1213">
      <pivotArea dataOnly="0" labelOnly="1" outline="0" axis="axisValues" fieldPosition="0"/>
    </format>
    <format dxfId="1212">
      <pivotArea type="all" dataOnly="0" outline="0" fieldPosition="0"/>
    </format>
    <format dxfId="1211">
      <pivotArea outline="0" collapsedLevelsAreSubtotals="1" fieldPosition="0"/>
    </format>
    <format dxfId="1210">
      <pivotArea dataOnly="0" labelOnly="1" outline="0" axis="axisValues" fieldPosition="0"/>
    </format>
    <format dxfId="1209">
      <pivotArea type="all" dataOnly="0" outline="0" fieldPosition="0"/>
    </format>
    <format dxfId="1208">
      <pivotArea outline="0" collapsedLevelsAreSubtotals="1" fieldPosition="0"/>
    </format>
    <format dxfId="1207">
      <pivotArea dataOnly="0" labelOnly="1" outline="0" axis="axisValues" fieldPosition="0"/>
    </format>
    <format dxfId="1206">
      <pivotArea type="all" dataOnly="0" outline="0" fieldPosition="0"/>
    </format>
    <format dxfId="1205">
      <pivotArea outline="0" collapsedLevelsAreSubtotals="1" fieldPosition="0"/>
    </format>
    <format dxfId="1204">
      <pivotArea dataOnly="0" labelOnly="1" outline="0" axis="axisValues" fieldPosition="0"/>
    </format>
    <format dxfId="1203">
      <pivotArea type="all" dataOnly="0" outline="0" fieldPosition="0"/>
    </format>
    <format dxfId="1202">
      <pivotArea outline="0" collapsedLevelsAreSubtotals="1" fieldPosition="0"/>
    </format>
    <format dxfId="1201">
      <pivotArea dataOnly="0" labelOnly="1" outline="0" axis="axisValues" fieldPosition="0"/>
    </format>
    <format dxfId="1200">
      <pivotArea type="all" dataOnly="0" outline="0" fieldPosition="0"/>
    </format>
    <format dxfId="1199">
      <pivotArea outline="0" collapsedLevelsAreSubtotals="1" fieldPosition="0"/>
    </format>
    <format dxfId="1198">
      <pivotArea dataOnly="0" labelOnly="1" outline="0" axis="axisValues" fieldPosition="0"/>
    </format>
    <format dxfId="1197">
      <pivotArea type="all" dataOnly="0" outline="0" fieldPosition="0"/>
    </format>
    <format dxfId="1196">
      <pivotArea outline="0" collapsedLevelsAreSubtotals="1" fieldPosition="0"/>
    </format>
    <format dxfId="1195">
      <pivotArea outline="0" collapsedLevelsAreSubtotals="1" fieldPosition="0"/>
    </format>
    <format dxfId="1194">
      <pivotArea type="all" dataOnly="0" outline="0" fieldPosition="0"/>
    </format>
    <format dxfId="1193">
      <pivotArea outline="0" collapsedLevelsAreSubtotals="1" fieldPosition="0"/>
    </format>
    <format dxfId="1192">
      <pivotArea dataOnly="0" labelOnly="1" outline="0" axis="axisValues" fieldPosition="0"/>
    </format>
    <format dxfId="1191">
      <pivotArea type="all" dataOnly="0" outline="0" fieldPosition="0"/>
    </format>
    <format dxfId="1190">
      <pivotArea outline="0" collapsedLevelsAreSubtotals="1" fieldPosition="0"/>
    </format>
    <format dxfId="1189">
      <pivotArea type="all" dataOnly="0" outline="0" fieldPosition="0"/>
    </format>
    <format dxfId="1188">
      <pivotArea outline="0" collapsedLevelsAreSubtotals="1" fieldPosition="0"/>
    </format>
    <format dxfId="1187">
      <pivotArea outline="0" collapsedLevelsAreSubtotals="1" fieldPosition="0"/>
    </format>
    <format dxfId="1186">
      <pivotArea type="all" dataOnly="0" outline="0" fieldPosition="0"/>
    </format>
    <format dxfId="1185">
      <pivotArea type="all" dataOnly="0" outline="0" fieldPosition="0"/>
    </format>
    <format dxfId="1184">
      <pivotArea outline="0" collapsedLevelsAreSubtotals="1" fieldPosition="0"/>
    </format>
    <format dxfId="1183">
      <pivotArea dataOnly="0" labelOnly="1" outline="0" axis="axisValues" fieldPosition="0"/>
    </format>
    <format dxfId="118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8726B0EF-2822-469D-9B61-E9DCFFC1CA44}" name="PivotTable28"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52:F271" firstHeaderRow="1"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19">
    <i>
      <x/>
    </i>
    <i>
      <x v="1"/>
    </i>
    <i>
      <x v="2"/>
    </i>
    <i>
      <x v="3"/>
    </i>
    <i>
      <x v="4"/>
    </i>
    <i>
      <x v="5"/>
    </i>
    <i>
      <x v="6"/>
    </i>
    <i>
      <x v="7"/>
    </i>
    <i>
      <x v="8"/>
    </i>
    <i>
      <x v="9"/>
    </i>
    <i>
      <x v="11"/>
    </i>
    <i>
      <x v="12"/>
    </i>
    <i>
      <x v="13"/>
    </i>
    <i>
      <x v="14"/>
    </i>
    <i>
      <x v="15"/>
    </i>
    <i>
      <x v="16"/>
    </i>
    <i>
      <x v="17"/>
    </i>
    <i>
      <x v="18"/>
    </i>
    <i t="grand">
      <x/>
    </i>
  </rowItems>
  <colItems count="1">
    <i/>
  </colItems>
  <pageFields count="1">
    <pageField fld="7" hier="-1"/>
  </pageFields>
  <dataFields count="1">
    <dataField name="Sum of Net Dwellings" fld="43" baseField="0" baseItem="0"/>
  </dataFields>
  <formats count="38">
    <format dxfId="1263">
      <pivotArea type="all" dataOnly="0" outline="0" fieldPosition="0"/>
    </format>
    <format dxfId="1262">
      <pivotArea type="all" dataOnly="0" outline="0" fieldPosition="0"/>
    </format>
    <format dxfId="1261">
      <pivotArea type="all" dataOnly="0" outline="0" fieldPosition="0"/>
    </format>
    <format dxfId="1260">
      <pivotArea type="all" dataOnly="0" outline="0" fieldPosition="0"/>
    </format>
    <format dxfId="1259">
      <pivotArea type="all" dataOnly="0" outline="0" fieldPosition="0"/>
    </format>
    <format dxfId="1258">
      <pivotArea type="all" dataOnly="0" outline="0" fieldPosition="0"/>
    </format>
    <format dxfId="1257">
      <pivotArea type="all" dataOnly="0" outline="0" fieldPosition="0"/>
    </format>
    <format dxfId="1256">
      <pivotArea type="all" dataOnly="0" outline="0" fieldPosition="0"/>
    </format>
    <format dxfId="1255">
      <pivotArea type="all" dataOnly="0" outline="0" fieldPosition="0"/>
    </format>
    <format dxfId="1254">
      <pivotArea type="all" dataOnly="0" outline="0" fieldPosition="0"/>
    </format>
    <format dxfId="1253">
      <pivotArea type="all" dataOnly="0" outline="0" fieldPosition="0"/>
    </format>
    <format dxfId="1252">
      <pivotArea outline="0" collapsedLevelsAreSubtotals="1" fieldPosition="0"/>
    </format>
    <format dxfId="1251">
      <pivotArea dataOnly="0" labelOnly="1" grandRow="1" outline="0" fieldPosition="0"/>
    </format>
    <format dxfId="1250">
      <pivotArea dataOnly="0" labelOnly="1" outline="0" axis="axisValues" fieldPosition="0"/>
    </format>
    <format dxfId="1249">
      <pivotArea type="all" dataOnly="0" outline="0" fieldPosition="0"/>
    </format>
    <format dxfId="1248">
      <pivotArea outline="0" collapsedLevelsAreSubtotals="1" fieldPosition="0"/>
    </format>
    <format dxfId="1247">
      <pivotArea dataOnly="0" labelOnly="1" grandRow="1" outline="0" fieldPosition="0"/>
    </format>
    <format dxfId="1246">
      <pivotArea dataOnly="0" labelOnly="1" outline="0" axis="axisValues" fieldPosition="0"/>
    </format>
    <format dxfId="1245">
      <pivotArea type="all" dataOnly="0" outline="0" fieldPosition="0"/>
    </format>
    <format dxfId="1244">
      <pivotArea outline="0" collapsedLevelsAreSubtotals="1" fieldPosition="0"/>
    </format>
    <format dxfId="1243">
      <pivotArea dataOnly="0" labelOnly="1" grandRow="1" outline="0" fieldPosition="0"/>
    </format>
    <format dxfId="1242">
      <pivotArea dataOnly="0" labelOnly="1" outline="0" axis="axisValues" fieldPosition="0"/>
    </format>
    <format dxfId="1241">
      <pivotArea type="all" dataOnly="0" outline="0" fieldPosition="0"/>
    </format>
    <format dxfId="1240">
      <pivotArea outline="0" collapsedLevelsAreSubtotals="1" fieldPosition="0"/>
    </format>
    <format dxfId="1239">
      <pivotArea field="70" type="button" dataOnly="0" labelOnly="1" outline="0" axis="axisRow" fieldPosition="0"/>
    </format>
    <format dxfId="1238">
      <pivotArea dataOnly="0" labelOnly="1" grandRow="1" outline="0" fieldPosition="0"/>
    </format>
    <format dxfId="1237">
      <pivotArea dataOnly="0" labelOnly="1" outline="0" axis="axisValues" fieldPosition="0"/>
    </format>
    <format dxfId="1236">
      <pivotArea type="all" dataOnly="0" outline="0" fieldPosition="0"/>
    </format>
    <format dxfId="1235">
      <pivotArea outline="0" collapsedLevelsAreSubtotals="1" fieldPosition="0"/>
    </format>
    <format dxfId="1234">
      <pivotArea field="70" type="button" dataOnly="0" labelOnly="1" outline="0" axis="axisRow" fieldPosition="0"/>
    </format>
    <format dxfId="1233">
      <pivotArea dataOnly="0" labelOnly="1" grandRow="1" outline="0" fieldPosition="0"/>
    </format>
    <format dxfId="1232">
      <pivotArea dataOnly="0" labelOnly="1" outline="0" axis="axisValues" fieldPosition="0"/>
    </format>
    <format dxfId="1231">
      <pivotArea type="all" dataOnly="0" outline="0" fieldPosition="0"/>
    </format>
    <format dxfId="1230">
      <pivotArea outline="0" collapsedLevelsAreSubtotals="1" fieldPosition="0"/>
    </format>
    <format dxfId="1229">
      <pivotArea field="70" type="button" dataOnly="0" labelOnly="1" outline="0" axis="axisRow" fieldPosition="0"/>
    </format>
    <format dxfId="1228">
      <pivotArea dataOnly="0" labelOnly="1" fieldPosition="0">
        <references count="1">
          <reference field="70" count="15">
            <x v="0"/>
            <x v="1"/>
            <x v="2"/>
            <x v="4"/>
            <x v="5"/>
            <x v="7"/>
            <x v="8"/>
            <x v="9"/>
            <x v="11"/>
            <x v="12"/>
            <x v="13"/>
            <x v="15"/>
            <x v="16"/>
            <x v="17"/>
            <x v="18"/>
          </reference>
        </references>
      </pivotArea>
    </format>
    <format dxfId="1227">
      <pivotArea dataOnly="0" labelOnly="1" grandRow="1" outline="0" fieldPosition="0"/>
    </format>
    <format dxfId="122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B3E4B114-9129-4BA7-90C1-E3B48723B816}" name="PivotTable26"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G280:J287" firstHeaderRow="0"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3"/>
        <item x="2"/>
        <item x="6"/>
        <item x="5"/>
        <item x="1"/>
        <item x="4"/>
        <item x="0"/>
        <item t="default"/>
      </items>
    </pivotField>
    <pivotField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69"/>
  </rowFields>
  <rowItems count="7">
    <i>
      <x/>
    </i>
    <i>
      <x v="1"/>
    </i>
    <i>
      <x v="3"/>
    </i>
    <i>
      <x v="4"/>
    </i>
    <i>
      <x v="5"/>
    </i>
    <i>
      <x v="6"/>
    </i>
    <i t="grand">
      <x/>
    </i>
  </rowItems>
  <colFields count="1">
    <field x="-2"/>
  </colFields>
  <colItems count="3">
    <i>
      <x/>
    </i>
    <i i="1">
      <x v="1"/>
    </i>
    <i i="2">
      <x v="2"/>
    </i>
  </colItems>
  <pageFields count="1">
    <pageField fld="7" hier="-1"/>
  </pageFields>
  <dataFields count="3">
    <dataField name="Sum of Units Proposed" fld="34" baseField="0" baseItem="0"/>
    <dataField name="Sum of Units Existing" fld="24" baseField="0" baseItem="0"/>
    <dataField name="Sum of Net Dwellings" fld="43" baseField="0" baseItem="0"/>
  </dataFields>
  <formats count="40">
    <format dxfId="1303">
      <pivotArea type="all" dataOnly="0" outline="0" fieldPosition="0"/>
    </format>
    <format dxfId="1302">
      <pivotArea type="all" dataOnly="0" outline="0" fieldPosition="0"/>
    </format>
    <format dxfId="1301">
      <pivotArea type="all" dataOnly="0" outline="0" fieldPosition="0"/>
    </format>
    <format dxfId="1300">
      <pivotArea type="all" dataOnly="0" outline="0" fieldPosition="0"/>
    </format>
    <format dxfId="1299">
      <pivotArea type="all" dataOnly="0" outline="0" fieldPosition="0"/>
    </format>
    <format dxfId="1298">
      <pivotArea type="all" dataOnly="0" outline="0" fieldPosition="0"/>
    </format>
    <format dxfId="1297">
      <pivotArea type="all" dataOnly="0" outline="0" fieldPosition="0"/>
    </format>
    <format dxfId="1296">
      <pivotArea dataOnly="0" labelOnly="1" outline="0" fieldPosition="0">
        <references count="1">
          <reference field="4294967294" count="2">
            <x v="0"/>
            <x v="2"/>
          </reference>
        </references>
      </pivotArea>
    </format>
    <format dxfId="1295">
      <pivotArea dataOnly="0" labelOnly="1" outline="0" fieldPosition="0">
        <references count="1">
          <reference field="4294967294" count="2">
            <x v="0"/>
            <x v="2"/>
          </reference>
        </references>
      </pivotArea>
    </format>
    <format dxfId="1294">
      <pivotArea dataOnly="0" labelOnly="1" outline="0" fieldPosition="0">
        <references count="1">
          <reference field="4294967294" count="2">
            <x v="0"/>
            <x v="2"/>
          </reference>
        </references>
      </pivotArea>
    </format>
    <format dxfId="1293">
      <pivotArea type="all" dataOnly="0" outline="0" fieldPosition="0"/>
    </format>
    <format dxfId="1292">
      <pivotArea type="all" dataOnly="0" outline="0" fieldPosition="0"/>
    </format>
    <format dxfId="1291">
      <pivotArea type="all" dataOnly="0" outline="0" fieldPosition="0"/>
    </format>
    <format dxfId="1290">
      <pivotArea type="all" dataOnly="0" outline="0" fieldPosition="0"/>
    </format>
    <format dxfId="1289">
      <pivotArea outline="0" collapsedLevelsAreSubtotals="1" fieldPosition="0"/>
    </format>
    <format dxfId="1288">
      <pivotArea dataOnly="0" labelOnly="1" grandRow="1" outline="0" fieldPosition="0"/>
    </format>
    <format dxfId="1287">
      <pivotArea dataOnly="0" labelOnly="1" outline="0" fieldPosition="0">
        <references count="1">
          <reference field="4294967294" count="2">
            <x v="0"/>
            <x v="2"/>
          </reference>
        </references>
      </pivotArea>
    </format>
    <format dxfId="1286">
      <pivotArea type="all" dataOnly="0" outline="0" fieldPosition="0"/>
    </format>
    <format dxfId="1285">
      <pivotArea outline="0" collapsedLevelsAreSubtotals="1" fieldPosition="0"/>
    </format>
    <format dxfId="1284">
      <pivotArea dataOnly="0" labelOnly="1" grandRow="1" outline="0" fieldPosition="0"/>
    </format>
    <format dxfId="1283">
      <pivotArea dataOnly="0" labelOnly="1" outline="0" fieldPosition="0">
        <references count="1">
          <reference field="4294967294" count="2">
            <x v="0"/>
            <x v="2"/>
          </reference>
        </references>
      </pivotArea>
    </format>
    <format dxfId="1282">
      <pivotArea type="all" dataOnly="0" outline="0" fieldPosition="0"/>
    </format>
    <format dxfId="1281">
      <pivotArea outline="0" collapsedLevelsAreSubtotals="1" fieldPosition="0"/>
    </format>
    <format dxfId="1280">
      <pivotArea dataOnly="0" labelOnly="1" grandRow="1" outline="0" fieldPosition="0"/>
    </format>
    <format dxfId="1279">
      <pivotArea dataOnly="0" labelOnly="1" outline="0" fieldPosition="0">
        <references count="1">
          <reference field="4294967294" count="2">
            <x v="0"/>
            <x v="2"/>
          </reference>
        </references>
      </pivotArea>
    </format>
    <format dxfId="1278">
      <pivotArea type="all" dataOnly="0" outline="0" fieldPosition="0"/>
    </format>
    <format dxfId="1277">
      <pivotArea outline="0" collapsedLevelsAreSubtotals="1" fieldPosition="0"/>
    </format>
    <format dxfId="1276">
      <pivotArea field="70" type="button" dataOnly="0" labelOnly="1" outline="0"/>
    </format>
    <format dxfId="1275">
      <pivotArea dataOnly="0" labelOnly="1" grandRow="1" outline="0" fieldPosition="0"/>
    </format>
    <format dxfId="1274">
      <pivotArea dataOnly="0" labelOnly="1" outline="0" fieldPosition="0">
        <references count="1">
          <reference field="4294967294" count="3">
            <x v="0"/>
            <x v="1"/>
            <x v="2"/>
          </reference>
        </references>
      </pivotArea>
    </format>
    <format dxfId="1273">
      <pivotArea type="all" dataOnly="0" outline="0" fieldPosition="0"/>
    </format>
    <format dxfId="1272">
      <pivotArea outline="0" collapsedLevelsAreSubtotals="1" fieldPosition="0"/>
    </format>
    <format dxfId="1271">
      <pivotArea field="70" type="button" dataOnly="0" labelOnly="1" outline="0"/>
    </format>
    <format dxfId="1270">
      <pivotArea dataOnly="0" labelOnly="1" grandRow="1" outline="0" fieldPosition="0"/>
    </format>
    <format dxfId="1269">
      <pivotArea dataOnly="0" labelOnly="1" outline="0" fieldPosition="0">
        <references count="1">
          <reference field="4294967294" count="3">
            <x v="0"/>
            <x v="1"/>
            <x v="2"/>
          </reference>
        </references>
      </pivotArea>
    </format>
    <format dxfId="1268">
      <pivotArea type="all" dataOnly="0" outline="0" fieldPosition="0"/>
    </format>
    <format dxfId="1267">
      <pivotArea outline="0" collapsedLevelsAreSubtotals="1" fieldPosition="0"/>
    </format>
    <format dxfId="1266">
      <pivotArea field="70" type="button" dataOnly="0" labelOnly="1" outline="0"/>
    </format>
    <format dxfId="1265">
      <pivotArea dataOnly="0" labelOnly="1" grandRow="1" outline="0" fieldPosition="0"/>
    </format>
    <format dxfId="1264">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B248D566-4C42-4C70-AB6B-E207A3A632CF}" name="PivotTable35"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519:C529" firstHeaderRow="1" firstDataRow="1" firstDataCol="1" rowPageCount="3" colPageCount="1"/>
  <pivotFields count="84">
    <pivotField showAll="0" defaultSubtotal="0"/>
    <pivotField axis="axisPage" multipleItemSelectionAllowed="1" showAll="0" defaultSubtotal="0">
      <items count="5">
        <item x="1"/>
        <item x="2"/>
        <item x="3"/>
        <item h="1" x="4"/>
        <item h="1" x="0"/>
      </items>
    </pivotField>
    <pivotField axis="axisPage" multipleItemSelectionAllowed="1" showAll="0" defaultSubtotal="0">
      <items count="2">
        <item h="1"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3"/>
        <item x="2"/>
        <item x="6"/>
        <item x="5"/>
        <item x="1"/>
        <item x="4"/>
        <item x="0"/>
        <item t="default"/>
      </items>
    </pivotField>
    <pivotField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axis="axisRow" showAll="0">
      <items count="11">
        <item x="3"/>
        <item x="2"/>
        <item x="1"/>
        <item x="8"/>
        <item x="7"/>
        <item x="5"/>
        <item x="6"/>
        <item x="4"/>
        <item x="0"/>
        <item x="9"/>
        <item t="default"/>
      </items>
    </pivotField>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9"/>
  </rowFields>
  <rowItems count="10">
    <i>
      <x/>
    </i>
    <i>
      <x v="1"/>
    </i>
    <i>
      <x v="2"/>
    </i>
    <i>
      <x v="3"/>
    </i>
    <i>
      <x v="4"/>
    </i>
    <i>
      <x v="5"/>
    </i>
    <i>
      <x v="6"/>
    </i>
    <i>
      <x v="7"/>
    </i>
    <i>
      <x v="8"/>
    </i>
    <i t="grand">
      <x/>
    </i>
  </rowItems>
  <colItems count="1">
    <i/>
  </colItems>
  <pageFields count="3">
    <pageField fld="7" hier="-1"/>
    <pageField fld="2" hier="-1"/>
    <pageField fld="1" hier="-1"/>
  </pageFields>
  <dataFields count="1">
    <dataField name="Sum of Net Dwellings" fld="43" baseField="0" baseItem="0"/>
  </dataFields>
  <formats count="45">
    <format dxfId="1348">
      <pivotArea type="all" dataOnly="0" outline="0" fieldPosition="0"/>
    </format>
    <format dxfId="1347">
      <pivotArea type="all" dataOnly="0" outline="0" fieldPosition="0"/>
    </format>
    <format dxfId="1346">
      <pivotArea type="all" dataOnly="0" outline="0" fieldPosition="0"/>
    </format>
    <format dxfId="1345">
      <pivotArea type="all" dataOnly="0" outline="0" fieldPosition="0"/>
    </format>
    <format dxfId="1344">
      <pivotArea type="all" dataOnly="0" outline="0" fieldPosition="0"/>
    </format>
    <format dxfId="1343">
      <pivotArea type="all" dataOnly="0" outline="0" fieldPosition="0"/>
    </format>
    <format dxfId="1342">
      <pivotArea type="all" dataOnly="0" outline="0" fieldPosition="0"/>
    </format>
    <format dxfId="1341">
      <pivotArea dataOnly="0" labelOnly="1" outline="0" fieldPosition="0">
        <references count="1">
          <reference field="4294967294" count="1">
            <x v="0"/>
          </reference>
        </references>
      </pivotArea>
    </format>
    <format dxfId="1340">
      <pivotArea dataOnly="0" labelOnly="1" outline="0" fieldPosition="0">
        <references count="1">
          <reference field="4294967294" count="1">
            <x v="0"/>
          </reference>
        </references>
      </pivotArea>
    </format>
    <format dxfId="1339">
      <pivotArea dataOnly="0" labelOnly="1" outline="0" fieldPosition="0">
        <references count="1">
          <reference field="4294967294" count="1">
            <x v="0"/>
          </reference>
        </references>
      </pivotArea>
    </format>
    <format dxfId="1338">
      <pivotArea type="all" dataOnly="0" outline="0" fieldPosition="0"/>
    </format>
    <format dxfId="1337">
      <pivotArea type="all" dataOnly="0" outline="0" fieldPosition="0"/>
    </format>
    <format dxfId="1336">
      <pivotArea type="all" dataOnly="0" outline="0" fieldPosition="0"/>
    </format>
    <format dxfId="1335">
      <pivotArea type="all" dataOnly="0" outline="0" fieldPosition="0"/>
    </format>
    <format dxfId="1334">
      <pivotArea outline="0" collapsedLevelsAreSubtotals="1" fieldPosition="0"/>
    </format>
    <format dxfId="1333">
      <pivotArea dataOnly="0" labelOnly="1" grandRow="1" outline="0" fieldPosition="0"/>
    </format>
    <format dxfId="1332">
      <pivotArea dataOnly="0" labelOnly="1" outline="0" axis="axisValues" fieldPosition="0"/>
    </format>
    <format dxfId="1331">
      <pivotArea type="all" dataOnly="0" outline="0" fieldPosition="0"/>
    </format>
    <format dxfId="1330">
      <pivotArea outline="0" collapsedLevelsAreSubtotals="1" fieldPosition="0"/>
    </format>
    <format dxfId="1329">
      <pivotArea dataOnly="0" labelOnly="1" grandRow="1" outline="0" fieldPosition="0"/>
    </format>
    <format dxfId="1328">
      <pivotArea dataOnly="0" labelOnly="1" outline="0" axis="axisValues" fieldPosition="0"/>
    </format>
    <format dxfId="1327">
      <pivotArea type="all" dataOnly="0" outline="0" fieldPosition="0"/>
    </format>
    <format dxfId="1326">
      <pivotArea outline="0" collapsedLevelsAreSubtotals="1" fieldPosition="0"/>
    </format>
    <format dxfId="1325">
      <pivotArea dataOnly="0" labelOnly="1" grandRow="1" outline="0" fieldPosition="0"/>
    </format>
    <format dxfId="1324">
      <pivotArea dataOnly="0" labelOnly="1" outline="0" axis="axisValues" fieldPosition="0"/>
    </format>
    <format dxfId="1323">
      <pivotArea type="all" dataOnly="0" outline="0" fieldPosition="0"/>
    </format>
    <format dxfId="1322">
      <pivotArea outline="0" collapsedLevelsAreSubtotals="1" fieldPosition="0"/>
    </format>
    <format dxfId="1321">
      <pivotArea field="70" type="button" dataOnly="0" labelOnly="1" outline="0"/>
    </format>
    <format dxfId="1320">
      <pivotArea dataOnly="0" labelOnly="1" grandRow="1" outline="0" fieldPosition="0"/>
    </format>
    <format dxfId="1319">
      <pivotArea dataOnly="0" labelOnly="1" outline="0" axis="axisValues" fieldPosition="0"/>
    </format>
    <format dxfId="1318">
      <pivotArea type="all" dataOnly="0" outline="0" fieldPosition="0"/>
    </format>
    <format dxfId="1317">
      <pivotArea outline="0" collapsedLevelsAreSubtotals="1" fieldPosition="0"/>
    </format>
    <format dxfId="1316">
      <pivotArea field="70" type="button" dataOnly="0" labelOnly="1" outline="0"/>
    </format>
    <format dxfId="1315">
      <pivotArea dataOnly="0" labelOnly="1" grandRow="1" outline="0" fieldPosition="0"/>
    </format>
    <format dxfId="1314">
      <pivotArea dataOnly="0" labelOnly="1" outline="0" axis="axisValues" fieldPosition="0"/>
    </format>
    <format dxfId="1313">
      <pivotArea type="all" dataOnly="0" outline="0" fieldPosition="0"/>
    </format>
    <format dxfId="1312">
      <pivotArea outline="0" collapsedLevelsAreSubtotals="1" fieldPosition="0"/>
    </format>
    <format dxfId="1311">
      <pivotArea field="70" type="button" dataOnly="0" labelOnly="1" outline="0"/>
    </format>
    <format dxfId="1310">
      <pivotArea dataOnly="0" labelOnly="1" grandRow="1" outline="0" fieldPosition="0"/>
    </format>
    <format dxfId="1309">
      <pivotArea dataOnly="0" labelOnly="1" outline="0" axis="axisValues" fieldPosition="0"/>
    </format>
    <format dxfId="1308">
      <pivotArea type="all" dataOnly="0" outline="0" fieldPosition="0"/>
    </format>
    <format dxfId="1307">
      <pivotArea outline="0" collapsedLevelsAreSubtotals="1" fieldPosition="0"/>
    </format>
    <format dxfId="1306">
      <pivotArea field="69" type="button" dataOnly="0" labelOnly="1" outline="0"/>
    </format>
    <format dxfId="1305">
      <pivotArea dataOnly="0" labelOnly="1" grandRow="1" outline="0" fieldPosition="0"/>
    </format>
    <format dxfId="130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ED487B33-8E7A-4686-9A1A-F17D31B54178}" name="PivotTable85"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0:Q11" firstHeaderRow="0" firstDataRow="1" firstDataCol="0" rowPageCount="2" colPageCount="1"/>
  <pivotFields count="84">
    <pivotField showAll="0"/>
    <pivotField axis="axisPage" multipleItemSelectionAllowed="1" showAll="0" defaultSubtotal="0">
      <items count="5">
        <item h="1" x="1"/>
        <item h="1" x="2"/>
        <item h="1" x="3"/>
        <item x="4"/>
        <item x="0"/>
      </items>
    </pivotField>
    <pivotField showAll="0"/>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h="1" x="0"/>
        <item h="1" x="1"/>
        <item x="2"/>
        <item h="1" x="3"/>
        <item h="1" x="6"/>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Fields count="1">
    <field x="-2"/>
  </colFields>
  <colItems count="10">
    <i>
      <x/>
    </i>
    <i i="1">
      <x v="1"/>
    </i>
    <i i="2">
      <x v="2"/>
    </i>
    <i i="3">
      <x v="3"/>
    </i>
    <i i="4">
      <x v="4"/>
    </i>
    <i i="5">
      <x v="5"/>
    </i>
    <i i="6">
      <x v="6"/>
    </i>
    <i i="7">
      <x v="7"/>
    </i>
    <i i="8">
      <x v="8"/>
    </i>
    <i i="9">
      <x v="9"/>
    </i>
  </colItems>
  <pageFields count="2">
    <pageField fld="1" hier="-1"/>
    <pageField fld="7" hier="-1"/>
  </pageFields>
  <dataFields count="10">
    <dataField name="Sum of 2024/25 (1)" fld="46" baseField="0" baseItem="0"/>
    <dataField name="Sum of 2025/26 (2)" fld="47" baseField="0" baseItem="0"/>
    <dataField name="Sum of 2026/27 (3)" fld="48" baseField="0" baseItem="0"/>
    <dataField name="Sum of 2027/28 (4)" fld="49" baseField="0" baseItem="0"/>
    <dataField name="Sum of 2028/29 (5)" fld="50" baseField="0" baseItem="0"/>
    <dataField name="Sum of 2029/30 (6)" fld="51" baseField="0" baseItem="0"/>
    <dataField name="Sum of 2030/31 (7)" fld="52" baseField="0" baseItem="0"/>
    <dataField name="Sum of 2031/32 (8)" fld="53" baseField="0" baseItem="0"/>
    <dataField name="Sum of 2032/33 (9)" fld="54" baseField="0" baseItem="0"/>
    <dataField name="Sum of 2033/34 (10)" fld="55" baseField="0" baseItem="0"/>
  </dataFields>
  <formats count="42">
    <format dxfId="1390">
      <pivotArea type="all" dataOnly="0" outline="0" fieldPosition="0"/>
    </format>
    <format dxfId="1389">
      <pivotArea type="all" dataOnly="0" outline="0" fieldPosition="0"/>
    </format>
    <format dxfId="1388">
      <pivotArea type="all" dataOnly="0" outline="0" fieldPosition="0"/>
    </format>
    <format dxfId="1387">
      <pivotArea type="all" dataOnly="0" outline="0" fieldPosition="0"/>
    </format>
    <format dxfId="1386">
      <pivotArea type="all" dataOnly="0" outline="0" fieldPosition="0"/>
    </format>
    <format dxfId="1385">
      <pivotArea type="all" dataOnly="0" outline="0" fieldPosition="0"/>
    </format>
    <format dxfId="1384">
      <pivotArea type="all" dataOnly="0" outline="0" fieldPosition="0"/>
    </format>
    <format dxfId="1383">
      <pivotArea type="all" dataOnly="0" outline="0" fieldPosition="0"/>
    </format>
    <format dxfId="1382">
      <pivotArea type="all" dataOnly="0" outline="0" fieldPosition="0"/>
    </format>
    <format dxfId="1381">
      <pivotArea type="all" dataOnly="0" outline="0" fieldPosition="0"/>
    </format>
    <format dxfId="1380">
      <pivotArea type="all" dataOnly="0" outline="0" fieldPosition="0"/>
    </format>
    <format dxfId="1379">
      <pivotArea outline="0" collapsedLevelsAreSubtotals="1" fieldPosition="0"/>
    </format>
    <format dxfId="1378">
      <pivotArea dataOnly="0" labelOnly="1" outline="0" axis="axisValues" fieldPosition="0"/>
    </format>
    <format dxfId="1377">
      <pivotArea type="all" dataOnly="0" outline="0" fieldPosition="0"/>
    </format>
    <format dxfId="1376">
      <pivotArea outline="0" collapsedLevelsAreSubtotals="1" fieldPosition="0"/>
    </format>
    <format dxfId="1375">
      <pivotArea dataOnly="0" labelOnly="1" outline="0" axis="axisValues" fieldPosition="0"/>
    </format>
    <format dxfId="1374">
      <pivotArea type="all" dataOnly="0" outline="0" fieldPosition="0"/>
    </format>
    <format dxfId="1373">
      <pivotArea outline="0" collapsedLevelsAreSubtotals="1" fieldPosition="0"/>
    </format>
    <format dxfId="1372">
      <pivotArea dataOnly="0" labelOnly="1" outline="0" axis="axisValues" fieldPosition="0"/>
    </format>
    <format dxfId="1371">
      <pivotArea type="all" dataOnly="0" outline="0" fieldPosition="0"/>
    </format>
    <format dxfId="1370">
      <pivotArea outline="0" collapsedLevelsAreSubtotals="1" fieldPosition="0"/>
    </format>
    <format dxfId="1369">
      <pivotArea dataOnly="0" labelOnly="1" outline="0" axis="axisValues" fieldPosition="0"/>
    </format>
    <format dxfId="1368">
      <pivotArea outline="0" collapsedLevelsAreSubtotals="1" fieldPosition="0"/>
    </format>
    <format dxfId="1367">
      <pivotArea outline="0" collapsedLevelsAreSubtotals="1" fieldPosition="0"/>
    </format>
    <format dxfId="1366">
      <pivotArea type="all" dataOnly="0" outline="0" fieldPosition="0"/>
    </format>
    <format dxfId="1365">
      <pivotArea outline="0" collapsedLevelsAreSubtotals="1" fieldPosition="0"/>
    </format>
    <format dxfId="1364">
      <pivotArea dataOnly="0" labelOnly="1" outline="0" axis="axisValues" fieldPosition="0"/>
    </format>
    <format dxfId="1363">
      <pivotArea type="all" dataOnly="0" outline="0" fieldPosition="0"/>
    </format>
    <format dxfId="1362">
      <pivotArea outline="0" collapsedLevelsAreSubtotals="1" fieldPosition="0"/>
    </format>
    <format dxfId="1361">
      <pivotArea dataOnly="0" labelOnly="1" outline="0" axis="axisValues" fieldPosition="0"/>
    </format>
    <format dxfId="1360">
      <pivotArea type="all" dataOnly="0" outline="0" fieldPosition="0"/>
    </format>
    <format dxfId="1359">
      <pivotArea outline="0" collapsedLevelsAreSubtotals="1" fieldPosition="0"/>
    </format>
    <format dxfId="1358">
      <pivotArea dataOnly="0" labelOnly="1" outline="0" axis="axisValues" fieldPosition="0"/>
    </format>
    <format dxfId="1357">
      <pivotArea type="all" dataOnly="0" outline="0" fieldPosition="0"/>
    </format>
    <format dxfId="1356">
      <pivotArea outline="0" collapsedLevelsAreSubtotals="1" fieldPosition="0"/>
    </format>
    <format dxfId="1355">
      <pivotArea dataOnly="0" labelOnly="1" outline="0" axis="axisValues" fieldPosition="0"/>
    </format>
    <format dxfId="1354">
      <pivotArea type="all" dataOnly="0" outline="0" fieldPosition="0"/>
    </format>
    <format dxfId="1353">
      <pivotArea outline="0" collapsedLevelsAreSubtotals="1" fieldPosition="0"/>
    </format>
    <format dxfId="1352">
      <pivotArea dataOnly="0" labelOnly="1" outline="0" axis="axisValues" fieldPosition="0"/>
    </format>
    <format dxfId="1351">
      <pivotArea outline="0" collapsedLevelsAreSubtotals="1" fieldPosition="0"/>
    </format>
    <format dxfId="1350">
      <pivotArea type="all" dataOnly="0" outline="0" fieldPosition="0"/>
    </format>
    <format dxfId="13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9857864B-BFAA-485D-A56B-3E35C8B53DD4}" name="PivotTable3"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5:B16" firstHeaderRow="1" firstDataRow="1" firstDataCol="0" rowPageCount="3" colPageCount="1"/>
  <pivotFields count="84">
    <pivotField showAll="0"/>
    <pivotField axis="axisPage" multipleItemSelectionAllowed="1" showAll="0" defaultSubtotal="0">
      <items count="5">
        <item h="1" x="1"/>
        <item h="1" x="2"/>
        <item h="1" x="3"/>
        <item x="4"/>
        <item x="0"/>
      </items>
    </pivotField>
    <pivotField showAll="0"/>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h="1" x="0"/>
        <item x="1"/>
        <item h="1" x="2"/>
        <item h="1" x="3"/>
        <item h="1" x="6"/>
        <item h="1" x="4"/>
        <item h="1" x="5"/>
        <item t="default"/>
      </items>
    </pivotField>
    <pivotField showAll="0"/>
    <pivotField axis="axisPage" multipleItemSelectionAllowed="1" showAll="0">
      <items count="16">
        <item h="1" x="1"/>
        <item x="0"/>
        <item h="1" x="2"/>
        <item h="1" x="3"/>
        <item h="1" x="6"/>
        <item h="1" x="10"/>
        <item h="1" x="11"/>
        <item h="1" x="12"/>
        <item h="1" x="13"/>
        <item h="1" x="14"/>
        <item h="1" x="7"/>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3">
    <pageField fld="7" hier="-1"/>
    <pageField fld="1" hier="-1"/>
    <pageField fld="9" hier="-1"/>
  </pageFields>
  <dataFields count="1">
    <dataField name="Sum of Net Dwellings" fld="43" baseField="0" baseItem="0"/>
  </dataFields>
  <formats count="41">
    <format dxfId="1431">
      <pivotArea type="all" dataOnly="0" outline="0" fieldPosition="0"/>
    </format>
    <format dxfId="1430">
      <pivotArea type="all" dataOnly="0" outline="0" fieldPosition="0"/>
    </format>
    <format dxfId="1429">
      <pivotArea type="all" dataOnly="0" outline="0" fieldPosition="0"/>
    </format>
    <format dxfId="1428">
      <pivotArea type="all" dataOnly="0" outline="0" fieldPosition="0"/>
    </format>
    <format dxfId="1427">
      <pivotArea type="all" dataOnly="0" outline="0" fieldPosition="0"/>
    </format>
    <format dxfId="1426">
      <pivotArea type="all" dataOnly="0" outline="0" fieldPosition="0"/>
    </format>
    <format dxfId="1425">
      <pivotArea type="all" dataOnly="0" outline="0" fieldPosition="0"/>
    </format>
    <format dxfId="1424">
      <pivotArea type="all" dataOnly="0" outline="0" fieldPosition="0"/>
    </format>
    <format dxfId="1423">
      <pivotArea type="all" dataOnly="0" outline="0" fieldPosition="0"/>
    </format>
    <format dxfId="1422">
      <pivotArea type="all" dataOnly="0" outline="0" fieldPosition="0"/>
    </format>
    <format dxfId="1421">
      <pivotArea type="all" dataOnly="0" outline="0" fieldPosition="0"/>
    </format>
    <format dxfId="1420">
      <pivotArea outline="0" collapsedLevelsAreSubtotals="1" fieldPosition="0"/>
    </format>
    <format dxfId="1419">
      <pivotArea dataOnly="0" labelOnly="1" outline="0" axis="axisValues" fieldPosition="0"/>
    </format>
    <format dxfId="1418">
      <pivotArea type="all" dataOnly="0" outline="0" fieldPosition="0"/>
    </format>
    <format dxfId="1417">
      <pivotArea outline="0" collapsedLevelsAreSubtotals="1" fieldPosition="0"/>
    </format>
    <format dxfId="1416">
      <pivotArea dataOnly="0" labelOnly="1" outline="0" axis="axisValues" fieldPosition="0"/>
    </format>
    <format dxfId="1415">
      <pivotArea type="all" dataOnly="0" outline="0" fieldPosition="0"/>
    </format>
    <format dxfId="1414">
      <pivotArea outline="0" collapsedLevelsAreSubtotals="1" fieldPosition="0"/>
    </format>
    <format dxfId="1413">
      <pivotArea dataOnly="0" labelOnly="1" outline="0" axis="axisValues" fieldPosition="0"/>
    </format>
    <format dxfId="1412">
      <pivotArea type="all" dataOnly="0" outline="0" fieldPosition="0"/>
    </format>
    <format dxfId="1411">
      <pivotArea outline="0" collapsedLevelsAreSubtotals="1" fieldPosition="0"/>
    </format>
    <format dxfId="1410">
      <pivotArea dataOnly="0" labelOnly="1" outline="0" axis="axisValues" fieldPosition="0"/>
    </format>
    <format dxfId="1409">
      <pivotArea outline="0" collapsedLevelsAreSubtotals="1" fieldPosition="0"/>
    </format>
    <format dxfId="1408">
      <pivotArea type="all" dataOnly="0" outline="0" fieldPosition="0"/>
    </format>
    <format dxfId="1407">
      <pivotArea outline="0" collapsedLevelsAreSubtotals="1" fieldPosition="0"/>
    </format>
    <format dxfId="1406">
      <pivotArea dataOnly="0" labelOnly="1" outline="0" axis="axisValues" fieldPosition="0"/>
    </format>
    <format dxfId="1405">
      <pivotArea type="all" dataOnly="0" outline="0" fieldPosition="0"/>
    </format>
    <format dxfId="1404">
      <pivotArea outline="0" collapsedLevelsAreSubtotals="1" fieldPosition="0"/>
    </format>
    <format dxfId="1403">
      <pivotArea dataOnly="0" labelOnly="1" outline="0" axis="axisValues" fieldPosition="0"/>
    </format>
    <format dxfId="1402">
      <pivotArea type="all" dataOnly="0" outline="0" fieldPosition="0"/>
    </format>
    <format dxfId="1401">
      <pivotArea outline="0" collapsedLevelsAreSubtotals="1" fieldPosition="0"/>
    </format>
    <format dxfId="1400">
      <pivotArea dataOnly="0" labelOnly="1" outline="0" axis="axisValues" fieldPosition="0"/>
    </format>
    <format dxfId="1399">
      <pivotArea type="all" dataOnly="0" outline="0" fieldPosition="0"/>
    </format>
    <format dxfId="1398">
      <pivotArea outline="0" collapsedLevelsAreSubtotals="1" fieldPosition="0"/>
    </format>
    <format dxfId="1397">
      <pivotArea type="all" dataOnly="0" outline="0" fieldPosition="0"/>
    </format>
    <format dxfId="1396">
      <pivotArea outline="0" collapsedLevelsAreSubtotals="1" fieldPosition="0"/>
    </format>
    <format dxfId="1395">
      <pivotArea outline="0" collapsedLevelsAreSubtotals="1" fieldPosition="0"/>
    </format>
    <format dxfId="1394">
      <pivotArea type="all" dataOnly="0" outline="0" fieldPosition="0"/>
    </format>
    <format dxfId="1393">
      <pivotArea type="all" dataOnly="0" outline="0" fieldPosition="0"/>
    </format>
    <format dxfId="1392">
      <pivotArea outline="0" collapsedLevelsAreSubtotals="1" fieldPosition="0"/>
    </format>
    <format dxfId="139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79B34013-3F32-4C81-A006-7A6C38A70C59}" name="PivotTable79" cacheId="0" applyNumberFormats="0" applyBorderFormats="0" applyFontFormats="0" applyPatternFormats="0" applyAlignmentFormats="0" applyWidthHeightFormats="1" dataCaption="Values" missingCaption="0" updatedVersion="8" minRefreshableVersion="3" itemPrintTitles="1" createdVersion="4" indent="0" outline="1" outlineData="1" multipleFieldFilters="0">
  <location ref="H357:I371" firstHeaderRow="1" firstDataRow="1" firstDataCol="1" rowPageCount="4" colPageCount="1"/>
  <pivotFields count="84">
    <pivotField showAll="0" defaultSubtotal="0"/>
    <pivotField axis="axisPage" multipleItemSelectionAllowed="1" showAll="0" defaultSubtotal="0">
      <items count="5">
        <item x="1"/>
        <item x="2"/>
        <item x="3"/>
        <item h="1" x="4"/>
        <item h="1" x="0"/>
      </items>
    </pivotField>
    <pivotField axis="axisPage" multipleItemSelectionAllowed="1" showAll="0" defaultSubtotal="0">
      <items count="2">
        <item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x="1"/>
        <item h="1" x="2"/>
        <item h="1" x="6"/>
        <item h="1" x="3"/>
        <item h="1" x="4"/>
        <item h="1" x="5"/>
      </items>
    </pivotField>
    <pivotField multipleItemSelectionAllowed="1" showAll="0" defaultSubtotal="0"/>
    <pivotField axis="axisPage" multipleItemSelectionAllowed="1" showAll="0">
      <items count="16">
        <item x="5"/>
        <item x="9"/>
        <item x="4"/>
        <item x="7"/>
        <item x="13"/>
        <item h="1" x="1"/>
        <item x="2"/>
        <item x="14"/>
        <item x="8"/>
        <item x="6"/>
        <item x="10"/>
        <item x="3"/>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14">
    <i>
      <x v="1"/>
    </i>
    <i>
      <x v="2"/>
    </i>
    <i>
      <x v="3"/>
    </i>
    <i>
      <x v="4"/>
    </i>
    <i>
      <x v="6"/>
    </i>
    <i>
      <x v="7"/>
    </i>
    <i>
      <x v="9"/>
    </i>
    <i>
      <x v="11"/>
    </i>
    <i>
      <x v="12"/>
    </i>
    <i>
      <x v="13"/>
    </i>
    <i>
      <x v="15"/>
    </i>
    <i>
      <x v="16"/>
    </i>
    <i>
      <x v="18"/>
    </i>
    <i t="grand">
      <x/>
    </i>
  </rowItems>
  <colItems count="1">
    <i/>
  </colItems>
  <pageFields count="4">
    <pageField fld="9" hier="-1"/>
    <pageField fld="7" hier="-1"/>
    <pageField fld="2" hier="-1"/>
    <pageField fld="1" hier="-1"/>
  </pageFields>
  <dataFields count="1">
    <dataField name="Sum of Net Dwellings" fld="43" baseField="0" baseItem="0"/>
  </dataFields>
  <formats count="44">
    <format dxfId="1475">
      <pivotArea type="all" dataOnly="0" outline="0" fieldPosition="0"/>
    </format>
    <format dxfId="1474">
      <pivotArea type="all" dataOnly="0" outline="0" fieldPosition="0"/>
    </format>
    <format dxfId="1473">
      <pivotArea type="all" dataOnly="0" outline="0" fieldPosition="0"/>
    </format>
    <format dxfId="1472">
      <pivotArea type="all" dataOnly="0" outline="0" fieldPosition="0"/>
    </format>
    <format dxfId="1471">
      <pivotArea type="all" dataOnly="0" outline="0" fieldPosition="0"/>
    </format>
    <format dxfId="1470">
      <pivotArea type="all" dataOnly="0" outline="0" fieldPosition="0"/>
    </format>
    <format dxfId="1469">
      <pivotArea type="all" dataOnly="0" outline="0" fieldPosition="0"/>
    </format>
    <format dxfId="1468">
      <pivotArea dataOnly="0" labelOnly="1" outline="0" fieldPosition="0">
        <references count="1">
          <reference field="4294967294" count="1">
            <x v="0"/>
          </reference>
        </references>
      </pivotArea>
    </format>
    <format dxfId="1467">
      <pivotArea dataOnly="0" labelOnly="1" outline="0" fieldPosition="0">
        <references count="1">
          <reference field="4294967294" count="1">
            <x v="0"/>
          </reference>
        </references>
      </pivotArea>
    </format>
    <format dxfId="1466">
      <pivotArea dataOnly="0" labelOnly="1" outline="0" fieldPosition="0">
        <references count="1">
          <reference field="4294967294" count="1">
            <x v="0"/>
          </reference>
        </references>
      </pivotArea>
    </format>
    <format dxfId="1465">
      <pivotArea type="all" dataOnly="0" outline="0" fieldPosition="0"/>
    </format>
    <format dxfId="1464">
      <pivotArea type="all" dataOnly="0" outline="0" fieldPosition="0"/>
    </format>
    <format dxfId="1463">
      <pivotArea type="all" dataOnly="0" outline="0" fieldPosition="0"/>
    </format>
    <format dxfId="1462">
      <pivotArea type="all" dataOnly="0" outline="0" fieldPosition="0"/>
    </format>
    <format dxfId="1461">
      <pivotArea outline="0" collapsedLevelsAreSubtotals="1" fieldPosition="0"/>
    </format>
    <format dxfId="1460">
      <pivotArea dataOnly="0" labelOnly="1" grandRow="1" outline="0" fieldPosition="0"/>
    </format>
    <format dxfId="1459">
      <pivotArea dataOnly="0" labelOnly="1" outline="0" axis="axisValues" fieldPosition="0"/>
    </format>
    <format dxfId="1458">
      <pivotArea grandRow="1" outline="0" collapsedLevelsAreSubtotals="1" fieldPosition="0"/>
    </format>
    <format dxfId="1457">
      <pivotArea type="all" dataOnly="0" outline="0" fieldPosition="0"/>
    </format>
    <format dxfId="1456">
      <pivotArea outline="0" collapsedLevelsAreSubtotals="1" fieldPosition="0"/>
    </format>
    <format dxfId="1455">
      <pivotArea dataOnly="0" labelOnly="1" grandRow="1" outline="0" fieldPosition="0"/>
    </format>
    <format dxfId="1454">
      <pivotArea dataOnly="0" labelOnly="1" outline="0" axis="axisValues" fieldPosition="0"/>
    </format>
    <format dxfId="1453">
      <pivotArea type="all" dataOnly="0" outline="0" fieldPosition="0"/>
    </format>
    <format dxfId="1452">
      <pivotArea outline="0" collapsedLevelsAreSubtotals="1" fieldPosition="0"/>
    </format>
    <format dxfId="1451">
      <pivotArea dataOnly="0" labelOnly="1" grandRow="1" outline="0" fieldPosition="0"/>
    </format>
    <format dxfId="1450">
      <pivotArea dataOnly="0" labelOnly="1" outline="0" axis="axisValues" fieldPosition="0"/>
    </format>
    <format dxfId="1449">
      <pivotArea type="all" dataOnly="0" outline="0" fieldPosition="0"/>
    </format>
    <format dxfId="1448">
      <pivotArea outline="0" collapsedLevelsAreSubtotals="1" fieldPosition="0"/>
    </format>
    <format dxfId="1447">
      <pivotArea field="70" type="button" dataOnly="0" labelOnly="1" outline="0" axis="axisRow" fieldPosition="0"/>
    </format>
    <format dxfId="1446">
      <pivotArea dataOnly="0" labelOnly="1" grandRow="1" outline="0" fieldPosition="0"/>
    </format>
    <format dxfId="1445">
      <pivotArea dataOnly="0" labelOnly="1" outline="0" axis="axisValues" fieldPosition="0"/>
    </format>
    <format dxfId="1444">
      <pivotArea type="all" dataOnly="0" outline="0" fieldPosition="0"/>
    </format>
    <format dxfId="1443">
      <pivotArea outline="0" collapsedLevelsAreSubtotals="1" fieldPosition="0"/>
    </format>
    <format dxfId="1442">
      <pivotArea field="70" type="button" dataOnly="0" labelOnly="1" outline="0" axis="axisRow" fieldPosition="0"/>
    </format>
    <format dxfId="1441">
      <pivotArea dataOnly="0" labelOnly="1" grandRow="1" outline="0" fieldPosition="0"/>
    </format>
    <format dxfId="1440">
      <pivotArea dataOnly="0" labelOnly="1" outline="0" axis="axisValues" fieldPosition="0"/>
    </format>
    <format dxfId="1439">
      <pivotArea type="all" dataOnly="0" outline="0" fieldPosition="0"/>
    </format>
    <format dxfId="1438">
      <pivotArea outline="0" collapsedLevelsAreSubtotals="1" fieldPosition="0"/>
    </format>
    <format dxfId="1437">
      <pivotArea field="70" type="button" dataOnly="0" labelOnly="1" outline="0" axis="axisRow" fieldPosition="0"/>
    </format>
    <format dxfId="1436">
      <pivotArea dataOnly="0" labelOnly="1" fieldPosition="0">
        <references count="1">
          <reference field="70" count="13">
            <x v="0"/>
            <x v="1"/>
            <x v="2"/>
            <x v="4"/>
            <x v="8"/>
            <x v="9"/>
            <x v="11"/>
            <x v="12"/>
            <x v="13"/>
            <x v="15"/>
            <x v="16"/>
            <x v="17"/>
            <x v="18"/>
          </reference>
        </references>
      </pivotArea>
    </format>
    <format dxfId="1435">
      <pivotArea dataOnly="0" labelOnly="1" grandRow="1" outline="0" fieldPosition="0"/>
    </format>
    <format dxfId="1434">
      <pivotArea dataOnly="0" labelOnly="1" outline="0" axis="axisValues" fieldPosition="0"/>
    </format>
    <format dxfId="1433">
      <pivotArea dataOnly="0" labelOnly="1" outline="0" fieldPosition="0">
        <references count="1">
          <reference field="2" count="0"/>
        </references>
      </pivotArea>
    </format>
    <format dxfId="1432">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DAA6D8EF-29E2-41A1-9E45-C4773BC5801D}" name="PivotTable83"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32:M442" firstHeaderRow="0" firstDataRow="1" firstDataCol="1" rowPageCount="1" colPageCount="1"/>
  <pivotFields count="84">
    <pivotField showAll="0" defaultSubtotal="0"/>
    <pivotField multipleItemSelectionAllowed="1" showAll="0" defaultSubtotal="0"/>
    <pivotField multipleItemSelectionAllowed="1"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h="1" x="2"/>
        <item x="3"/>
        <item x="6"/>
        <item x="4"/>
        <item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items count="20">
        <item x="4"/>
        <item x="12"/>
        <item x="14"/>
        <item x="3"/>
        <item x="2"/>
        <item x="1"/>
        <item x="11"/>
        <item x="0"/>
        <item x="15"/>
        <item x="9"/>
        <item x="8"/>
        <item x="10"/>
        <item x="7"/>
        <item x="5"/>
        <item x="16"/>
        <item x="6"/>
        <item x="17"/>
        <item x="13"/>
        <item x="18"/>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10">
    <i>
      <x v="2"/>
    </i>
    <i>
      <x v="6"/>
    </i>
    <i>
      <x v="9"/>
    </i>
    <i>
      <x v="10"/>
    </i>
    <i>
      <x v="12"/>
    </i>
    <i>
      <x v="14"/>
    </i>
    <i>
      <x v="15"/>
    </i>
    <i>
      <x v="17"/>
    </i>
    <i>
      <x v="18"/>
    </i>
    <i t="grand">
      <x/>
    </i>
  </rowItems>
  <colFields count="1">
    <field x="-2"/>
  </colFields>
  <colItems count="11">
    <i>
      <x/>
    </i>
    <i i="1">
      <x v="1"/>
    </i>
    <i i="2">
      <x v="2"/>
    </i>
    <i i="3">
      <x v="3"/>
    </i>
    <i i="4">
      <x v="4"/>
    </i>
    <i i="5">
      <x v="5"/>
    </i>
    <i i="6">
      <x v="6"/>
    </i>
    <i i="7">
      <x v="7"/>
    </i>
    <i i="8">
      <x v="8"/>
    </i>
    <i i="9">
      <x v="9"/>
    </i>
    <i i="10">
      <x v="10"/>
    </i>
  </colItems>
  <pageFields count="1">
    <pageField fld="7" hier="-1"/>
  </pageFields>
  <dataFields count="11">
    <dataField name="Sum of 2024/25 (1)" fld="46" baseField="0" baseItem="0"/>
    <dataField name="Sum of 2025/26 (2)" fld="47" baseField="0" baseItem="0"/>
    <dataField name="Sum of 2026/27 (3)" fld="48" baseField="0" baseItem="0"/>
    <dataField name="Sum of 2027/28 (4)" fld="49" baseField="0" baseItem="0"/>
    <dataField name="Sum of 2028/29 (5)" fld="50" baseField="0" baseItem="0"/>
    <dataField name="Sum of 2029/30 (6)" fld="51" baseField="0" baseItem="0"/>
    <dataField name="Sum of 2030/31 (7)" fld="52" baseField="0" baseItem="0"/>
    <dataField name="Sum of 2031/32 (8)" fld="53" baseField="0" baseItem="0"/>
    <dataField name="Sum of 2032/33 (9)" fld="54" baseField="0" baseItem="0"/>
    <dataField name="Sum of 2033/34 (10)" fld="55" baseField="0" baseItem="0"/>
    <dataField name="Sum of 2024-2034 Total" fld="63" baseField="0" baseItem="0"/>
  </dataFields>
  <formats count="36">
    <format dxfId="1511">
      <pivotArea type="all" dataOnly="0" outline="0" fieldPosition="0"/>
    </format>
    <format dxfId="1510">
      <pivotArea type="all" dataOnly="0" outline="0" fieldPosition="0"/>
    </format>
    <format dxfId="1509">
      <pivotArea type="all" dataOnly="0" outline="0" fieldPosition="0"/>
    </format>
    <format dxfId="1508">
      <pivotArea type="all" dataOnly="0" outline="0" fieldPosition="0"/>
    </format>
    <format dxfId="1507">
      <pivotArea type="all" dataOnly="0" outline="0" fieldPosition="0"/>
    </format>
    <format dxfId="1506">
      <pivotArea type="all" dataOnly="0" outline="0" fieldPosition="0"/>
    </format>
    <format dxfId="1505">
      <pivotArea type="all" dataOnly="0" outline="0" fieldPosition="0"/>
    </format>
    <format dxfId="1504">
      <pivotArea type="all" dataOnly="0" outline="0" fieldPosition="0"/>
    </format>
    <format dxfId="1503">
      <pivotArea type="all" dataOnly="0" outline="0" fieldPosition="0"/>
    </format>
    <format dxfId="1502">
      <pivotArea type="all" dataOnly="0" outline="0" fieldPosition="0"/>
    </format>
    <format dxfId="1501">
      <pivotArea type="all" dataOnly="0" outline="0" fieldPosition="0"/>
    </format>
    <format dxfId="1500">
      <pivotArea outline="0" collapsedLevelsAreSubtotals="1" fieldPosition="0"/>
    </format>
    <format dxfId="1499">
      <pivotArea dataOnly="0" labelOnly="1" grandRow="1" outline="0" fieldPosition="0"/>
    </format>
    <format dxfId="1498">
      <pivotArea outline="0" collapsedLevelsAreSubtotals="1" fieldPosition="0"/>
    </format>
    <format dxfId="1497">
      <pivotArea type="all" dataOnly="0" outline="0" fieldPosition="0"/>
    </format>
    <format dxfId="1496">
      <pivotArea outline="0" collapsedLevelsAreSubtotals="1" fieldPosition="0"/>
    </format>
    <format dxfId="1495">
      <pivotArea dataOnly="0" labelOnly="1" grandRow="1" outline="0" fieldPosition="0"/>
    </format>
    <format dxfId="1494">
      <pivotArea type="all" dataOnly="0" outline="0" fieldPosition="0"/>
    </format>
    <format dxfId="1493">
      <pivotArea outline="0" collapsedLevelsAreSubtotals="1" fieldPosition="0"/>
    </format>
    <format dxfId="1492">
      <pivotArea dataOnly="0" labelOnly="1" grandRow="1" outline="0" fieldPosition="0"/>
    </format>
    <format dxfId="1491">
      <pivotArea type="all" dataOnly="0" outline="0" fieldPosition="0"/>
    </format>
    <format dxfId="1490">
      <pivotArea outline="0" collapsedLevelsAreSubtotals="1" fieldPosition="0"/>
    </format>
    <format dxfId="1489">
      <pivotArea outline="0" collapsedLevelsAreSubtotals="1" fieldPosition="0"/>
    </format>
    <format dxfId="1488">
      <pivotArea type="all" dataOnly="0" outline="0" fieldPosition="0"/>
    </format>
    <format dxfId="1487">
      <pivotArea outline="0" collapsedLevelsAreSubtotals="1" fieldPosition="0"/>
    </format>
    <format dxfId="1486">
      <pivotArea field="70" type="button" dataOnly="0" labelOnly="1" outline="0" axis="axisRow" fieldPosition="0"/>
    </format>
    <format dxfId="1485">
      <pivotArea dataOnly="0" labelOnly="1" grandRow="1" outline="0" fieldPosition="0"/>
    </format>
    <format dxfId="1484">
      <pivotArea type="all" dataOnly="0" outline="0" fieldPosition="0"/>
    </format>
    <format dxfId="1483">
      <pivotArea outline="0" collapsedLevelsAreSubtotals="1" fieldPosition="0"/>
    </format>
    <format dxfId="1482">
      <pivotArea field="70" type="button" dataOnly="0" labelOnly="1" outline="0" axis="axisRow" fieldPosition="0"/>
    </format>
    <format dxfId="1481">
      <pivotArea dataOnly="0" labelOnly="1" grandRow="1" outline="0" fieldPosition="0"/>
    </format>
    <format dxfId="1480">
      <pivotArea type="all" dataOnly="0" outline="0" fieldPosition="0"/>
    </format>
    <format dxfId="1479">
      <pivotArea outline="0" collapsedLevelsAreSubtotals="1" fieldPosition="0"/>
    </format>
    <format dxfId="1478">
      <pivotArea field="70" type="button" dataOnly="0" labelOnly="1" outline="0" axis="axisRow" fieldPosition="0"/>
    </format>
    <format dxfId="1477">
      <pivotArea dataOnly="0" labelOnly="1" fieldPosition="0">
        <references count="1">
          <reference field="70" count="8">
            <x v="2"/>
            <x v="9"/>
            <x v="10"/>
            <x v="11"/>
            <x v="12"/>
            <x v="14"/>
            <x v="15"/>
            <x v="17"/>
          </reference>
        </references>
      </pivotArea>
    </format>
    <format dxfId="147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95BE55C1-B744-4D01-8D00-DD8B3CAF13F8}" name="PivotTable38"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57:C376" firstHeaderRow="1" firstDataRow="1" firstDataCol="1" rowPageCount="4" colPageCount="1"/>
  <pivotFields count="84">
    <pivotField showAll="0" defaultSubtotal="0"/>
    <pivotField axis="axisPage" multipleItemSelectionAllowed="1" showAll="0" defaultSubtotal="0">
      <items count="5">
        <item h="1" x="1"/>
        <item h="1" x="2"/>
        <item h="1" x="3"/>
        <item x="4"/>
        <item x="0"/>
      </items>
    </pivotField>
    <pivotField axis="axisPage" multipleItemSelectionAllowed="1" showAll="0" defaultSubtotal="0">
      <items count="2">
        <item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multipleItemSelectionAllowed="1" showAll="0" defaultSubtotal="0"/>
    <pivotField axis="axisPage" multipleItemSelectionAllowed="1" showAll="0">
      <items count="16">
        <item x="7"/>
        <item x="13"/>
        <item h="1" x="1"/>
        <item x="2"/>
        <item x="14"/>
        <item x="6"/>
        <item x="10"/>
        <item x="3"/>
        <item x="11"/>
        <item x="12"/>
        <item x="0"/>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4"/>
        <item x="12"/>
        <item x="14"/>
        <item x="2"/>
        <item x="1"/>
        <item x="0"/>
        <item x="15"/>
        <item x="9"/>
        <item x="8"/>
        <item x="10"/>
        <item x="7"/>
        <item x="16"/>
        <item x="6"/>
        <item x="17"/>
        <item x="13"/>
        <item x="3"/>
        <item x="11"/>
        <item x="5"/>
        <item x="18"/>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19">
    <i>
      <x/>
    </i>
    <i>
      <x v="1"/>
    </i>
    <i>
      <x v="2"/>
    </i>
    <i>
      <x v="3"/>
    </i>
    <i>
      <x v="4"/>
    </i>
    <i>
      <x v="5"/>
    </i>
    <i>
      <x v="6"/>
    </i>
    <i>
      <x v="7"/>
    </i>
    <i>
      <x v="8"/>
    </i>
    <i>
      <x v="9"/>
    </i>
    <i>
      <x v="10"/>
    </i>
    <i>
      <x v="11"/>
    </i>
    <i>
      <x v="12"/>
    </i>
    <i>
      <x v="13"/>
    </i>
    <i>
      <x v="14"/>
    </i>
    <i>
      <x v="15"/>
    </i>
    <i>
      <x v="16"/>
    </i>
    <i>
      <x v="17"/>
    </i>
    <i t="grand">
      <x/>
    </i>
  </rowItems>
  <colItems count="1">
    <i/>
  </colItems>
  <pageFields count="4">
    <pageField fld="9" hier="-1"/>
    <pageField fld="7" hier="-1"/>
    <pageField fld="2" hier="-1"/>
    <pageField fld="1" hier="-1"/>
  </pageFields>
  <dataFields count="1">
    <dataField name="Sum of Net Dwellings" fld="43" baseField="0" baseItem="0"/>
  </dataFields>
  <formats count="37">
    <format dxfId="1548">
      <pivotArea type="all" dataOnly="0" outline="0" fieldPosition="0"/>
    </format>
    <format dxfId="1547">
      <pivotArea type="all" dataOnly="0" outline="0" fieldPosition="0"/>
    </format>
    <format dxfId="1546">
      <pivotArea type="all" dataOnly="0" outline="0" fieldPosition="0"/>
    </format>
    <format dxfId="1545">
      <pivotArea type="all" dataOnly="0" outline="0" fieldPosition="0"/>
    </format>
    <format dxfId="1544">
      <pivotArea type="all" dataOnly="0" outline="0" fieldPosition="0"/>
    </format>
    <format dxfId="1543">
      <pivotArea type="all" dataOnly="0" outline="0" fieldPosition="0"/>
    </format>
    <format dxfId="1542">
      <pivotArea type="all" dataOnly="0" outline="0" fieldPosition="0"/>
    </format>
    <format dxfId="1541">
      <pivotArea dataOnly="0" labelOnly="1" outline="0" fieldPosition="0">
        <references count="1">
          <reference field="4294967294" count="1">
            <x v="0"/>
          </reference>
        </references>
      </pivotArea>
    </format>
    <format dxfId="1540">
      <pivotArea dataOnly="0" labelOnly="1" outline="0" fieldPosition="0">
        <references count="1">
          <reference field="4294967294" count="1">
            <x v="0"/>
          </reference>
        </references>
      </pivotArea>
    </format>
    <format dxfId="1539">
      <pivotArea dataOnly="0" labelOnly="1" outline="0" fieldPosition="0">
        <references count="1">
          <reference field="4294967294" count="1">
            <x v="0"/>
          </reference>
        </references>
      </pivotArea>
    </format>
    <format dxfId="1538">
      <pivotArea type="all" dataOnly="0" outline="0" fieldPosition="0"/>
    </format>
    <format dxfId="1537">
      <pivotArea type="all" dataOnly="0" outline="0" fieldPosition="0"/>
    </format>
    <format dxfId="1536">
      <pivotArea type="all" dataOnly="0" outline="0" fieldPosition="0"/>
    </format>
    <format dxfId="1535">
      <pivotArea type="all" dataOnly="0" outline="0" fieldPosition="0"/>
    </format>
    <format dxfId="1534">
      <pivotArea outline="0" collapsedLevelsAreSubtotals="1" fieldPosition="0"/>
    </format>
    <format dxfId="1533">
      <pivotArea dataOnly="0" labelOnly="1" grandRow="1" outline="0" fieldPosition="0"/>
    </format>
    <format dxfId="1532">
      <pivotArea dataOnly="0" labelOnly="1" outline="0" axis="axisValues" fieldPosition="0"/>
    </format>
    <format dxfId="1531">
      <pivotArea type="all" dataOnly="0" outline="0" fieldPosition="0"/>
    </format>
    <format dxfId="1530">
      <pivotArea outline="0" collapsedLevelsAreSubtotals="1" fieldPosition="0"/>
    </format>
    <format dxfId="1529">
      <pivotArea dataOnly="0" labelOnly="1" grandRow="1" outline="0" fieldPosition="0"/>
    </format>
    <format dxfId="1528">
      <pivotArea dataOnly="0" labelOnly="1" outline="0" axis="axisValues" fieldPosition="0"/>
    </format>
    <format dxfId="1527">
      <pivotArea type="all" dataOnly="0" outline="0" fieldPosition="0"/>
    </format>
    <format dxfId="1526">
      <pivotArea outline="0" collapsedLevelsAreSubtotals="1" fieldPosition="0"/>
    </format>
    <format dxfId="1525">
      <pivotArea dataOnly="0" labelOnly="1" grandRow="1" outline="0" fieldPosition="0"/>
    </format>
    <format dxfId="1524">
      <pivotArea dataOnly="0" labelOnly="1" outline="0" axis="axisValues" fieldPosition="0"/>
    </format>
    <format dxfId="1523">
      <pivotArea type="all" dataOnly="0" outline="0" fieldPosition="0"/>
    </format>
    <format dxfId="1522">
      <pivotArea outline="0" collapsedLevelsAreSubtotals="1" fieldPosition="0"/>
    </format>
    <format dxfId="1521">
      <pivotArea dataOnly="0" labelOnly="1" grandRow="1" outline="0" fieldPosition="0"/>
    </format>
    <format dxfId="1520">
      <pivotArea dataOnly="0" labelOnly="1" outline="0" axis="axisValues" fieldPosition="0"/>
    </format>
    <format dxfId="1519">
      <pivotArea type="all" dataOnly="0" outline="0" fieldPosition="0"/>
    </format>
    <format dxfId="1518">
      <pivotArea outline="0" collapsedLevelsAreSubtotals="1" fieldPosition="0"/>
    </format>
    <format dxfId="1517">
      <pivotArea dataOnly="0" labelOnly="1" grandRow="1" outline="0" fieldPosition="0"/>
    </format>
    <format dxfId="1516">
      <pivotArea dataOnly="0" labelOnly="1" outline="0" axis="axisValues" fieldPosition="0"/>
    </format>
    <format dxfId="1515">
      <pivotArea type="all" dataOnly="0" outline="0" fieldPosition="0"/>
    </format>
    <format dxfId="1514">
      <pivotArea outline="0" collapsedLevelsAreSubtotals="1" fieldPosition="0"/>
    </format>
    <format dxfId="1513">
      <pivotArea dataOnly="0" labelOnly="1" grandRow="1" outline="0" fieldPosition="0"/>
    </format>
    <format dxfId="15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21C3B7CF-E94E-413E-A85B-D51ED8215013}" name="PivotTable1"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13:J216" firstHeaderRow="0" firstDataRow="1" firstDataCol="1" rowPageCount="1" colPageCount="1"/>
  <pivotFields count="84">
    <pivotField showAll="0" defaultSubtotal="0"/>
    <pivotField multipleItemSelectionAllowed="1" showAll="0" defaultSubtotal="0"/>
    <pivotField axis="axisRow" showAll="0" defaultSubtotal="0">
      <items count="2">
        <item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2"/>
  </rowFields>
  <rowItems count="3">
    <i>
      <x/>
    </i>
    <i>
      <x v="1"/>
    </i>
    <i t="grand">
      <x/>
    </i>
  </rowItems>
  <colFields count="1">
    <field x="-2"/>
  </colFields>
  <colItems count="8">
    <i>
      <x/>
    </i>
    <i i="1">
      <x v="1"/>
    </i>
    <i i="2">
      <x v="2"/>
    </i>
    <i i="3">
      <x v="3"/>
    </i>
    <i i="4">
      <x v="4"/>
    </i>
    <i i="5">
      <x v="5"/>
    </i>
    <i i="6">
      <x v="6"/>
    </i>
    <i i="7">
      <x v="7"/>
    </i>
  </colItems>
  <pageFields count="1">
    <pageField fld="7" hier="-1"/>
  </pageFields>
  <dataFields count="8">
    <dataField name="Sum of 1 bed net" fld="35" baseField="0" baseItem="0"/>
    <dataField name="Sum of 2 bed net" fld="36" baseField="0" baseItem="0"/>
    <dataField name="Sum of 3 bed net" fld="37" baseField="0" baseItem="0"/>
    <dataField name="Sum of 4 bed net" fld="38" baseField="0" baseItem="0"/>
    <dataField name="Sum of 5 bed net" fld="39" baseField="0" baseItem="0"/>
    <dataField name="Sum of 6 bed net" fld="40" baseField="0" baseItem="0"/>
    <dataField name="Sum of 7 bed net" fld="41" baseField="0" baseItem="0"/>
    <dataField name="Sum of 8 bed net" fld="42" baseField="0" baseItem="0"/>
  </dataFields>
  <formats count="42">
    <format dxfId="1590">
      <pivotArea type="all" dataOnly="0" outline="0" fieldPosition="0"/>
    </format>
    <format dxfId="1589">
      <pivotArea type="all" dataOnly="0" outline="0" fieldPosition="0"/>
    </format>
    <format dxfId="1588">
      <pivotArea type="all" dataOnly="0" outline="0" fieldPosition="0"/>
    </format>
    <format dxfId="1587">
      <pivotArea type="all" dataOnly="0" outline="0" fieldPosition="0"/>
    </format>
    <format dxfId="1586">
      <pivotArea type="all" dataOnly="0" outline="0" fieldPosition="0"/>
    </format>
    <format dxfId="1585">
      <pivotArea type="all" dataOnly="0" outline="0" fieldPosition="0"/>
    </format>
    <format dxfId="1584">
      <pivotArea type="all" dataOnly="0" outline="0" fieldPosition="0"/>
    </format>
    <format dxfId="1583">
      <pivotArea type="all" dataOnly="0" outline="0" fieldPosition="0"/>
    </format>
    <format dxfId="1582">
      <pivotArea type="all" dataOnly="0" outline="0" fieldPosition="0"/>
    </format>
    <format dxfId="1581">
      <pivotArea type="all" dataOnly="0" outline="0" fieldPosition="0"/>
    </format>
    <format dxfId="1580">
      <pivotArea type="all" dataOnly="0" outline="0" fieldPosition="0"/>
    </format>
    <format dxfId="1579">
      <pivotArea outline="0" collapsedLevelsAreSubtotals="1" fieldPosition="0"/>
    </format>
    <format dxfId="1578">
      <pivotArea field="2" type="button" dataOnly="0" labelOnly="1" outline="0" axis="axisRow" fieldPosition="0"/>
    </format>
    <format dxfId="1577">
      <pivotArea dataOnly="0" labelOnly="1" grandRow="1" outline="0" fieldPosition="0"/>
    </format>
    <format dxfId="1576">
      <pivotArea type="all" dataOnly="0" outline="0" fieldPosition="0"/>
    </format>
    <format dxfId="1575">
      <pivotArea outline="0" collapsedLevelsAreSubtotals="1" fieldPosition="0"/>
    </format>
    <format dxfId="1574">
      <pivotArea field="2" type="button" dataOnly="0" labelOnly="1" outline="0" axis="axisRow" fieldPosition="0"/>
    </format>
    <format dxfId="1573">
      <pivotArea dataOnly="0" labelOnly="1" fieldPosition="0">
        <references count="1">
          <reference field="2" count="0"/>
        </references>
      </pivotArea>
    </format>
    <format dxfId="1572">
      <pivotArea dataOnly="0" labelOnly="1" grandRow="1" outline="0" fieldPosition="0"/>
    </format>
    <format dxfId="1571">
      <pivotArea type="all" dataOnly="0" outline="0" fieldPosition="0"/>
    </format>
    <format dxfId="1570">
      <pivotArea outline="0" collapsedLevelsAreSubtotals="1" fieldPosition="0"/>
    </format>
    <format dxfId="1569">
      <pivotArea field="2" type="button" dataOnly="0" labelOnly="1" outline="0" axis="axisRow" fieldPosition="0"/>
    </format>
    <format dxfId="1568">
      <pivotArea dataOnly="0" labelOnly="1" fieldPosition="0">
        <references count="1">
          <reference field="2" count="0"/>
        </references>
      </pivotArea>
    </format>
    <format dxfId="1567">
      <pivotArea dataOnly="0" labelOnly="1" grandRow="1" outline="0" fieldPosition="0"/>
    </format>
    <format dxfId="1566">
      <pivotArea type="all" dataOnly="0" outline="0" fieldPosition="0"/>
    </format>
    <format dxfId="1565">
      <pivotArea outline="0" collapsedLevelsAreSubtotals="1" fieldPosition="0"/>
    </format>
    <format dxfId="1564">
      <pivotArea field="2" type="button" dataOnly="0" labelOnly="1" outline="0" axis="axisRow" fieldPosition="0"/>
    </format>
    <format dxfId="1563">
      <pivotArea dataOnly="0" labelOnly="1" fieldPosition="0">
        <references count="1">
          <reference field="2" count="0"/>
        </references>
      </pivotArea>
    </format>
    <format dxfId="1562">
      <pivotArea dataOnly="0" labelOnly="1" grandRow="1" outline="0" fieldPosition="0"/>
    </format>
    <format dxfId="1561">
      <pivotArea type="all" dataOnly="0" outline="0" fieldPosition="0"/>
    </format>
    <format dxfId="1560">
      <pivotArea type="all" dataOnly="0" outline="0" fieldPosition="0"/>
    </format>
    <format dxfId="1559">
      <pivotArea collapsedLevelsAreSubtotals="1" fieldPosition="0">
        <references count="1">
          <reference field="2" count="0"/>
        </references>
      </pivotArea>
    </format>
    <format dxfId="1558">
      <pivotArea type="all" dataOnly="0" outline="0" fieldPosition="0"/>
    </format>
    <format dxfId="1557">
      <pivotArea outline="0" collapsedLevelsAreSubtotals="1" fieldPosition="0"/>
    </format>
    <format dxfId="1556">
      <pivotArea field="2" type="button" dataOnly="0" labelOnly="1" outline="0" axis="axisRow" fieldPosition="0"/>
    </format>
    <format dxfId="1555">
      <pivotArea dataOnly="0" labelOnly="1" fieldPosition="0">
        <references count="1">
          <reference field="2" count="0"/>
        </references>
      </pivotArea>
    </format>
    <format dxfId="1554">
      <pivotArea dataOnly="0" labelOnly="1" grandRow="1" outline="0" fieldPosition="0"/>
    </format>
    <format dxfId="1553">
      <pivotArea type="all" dataOnly="0" outline="0" fieldPosition="0"/>
    </format>
    <format dxfId="1552">
      <pivotArea outline="0" collapsedLevelsAreSubtotals="1" fieldPosition="0"/>
    </format>
    <format dxfId="1551">
      <pivotArea field="2" type="button" dataOnly="0" labelOnly="1" outline="0" axis="axisRow" fieldPosition="0"/>
    </format>
    <format dxfId="1550">
      <pivotArea dataOnly="0" labelOnly="1" fieldPosition="0">
        <references count="1">
          <reference field="2" count="0"/>
        </references>
      </pivotArea>
    </format>
    <format dxfId="154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EA250144-7F65-4D38-911F-F9571A60F3D4}" name="PivotTable44"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07:B108" firstHeaderRow="1" firstDataRow="1" firstDataCol="0" rowPageCount="2" colPageCount="1"/>
  <pivotFields count="84">
    <pivotField showAll="0" defaultSubtotal="0"/>
    <pivotField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x="5"/>
        <item x="6"/>
        <item x="2"/>
        <item x="3"/>
        <item x="1"/>
        <item x="4"/>
        <item x="7"/>
        <item h="1" x="0"/>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2">
    <pageField fld="7" hier="-1"/>
    <pageField fld="8" hier="-1"/>
  </pageFields>
  <dataFields count="1">
    <dataField name="Sum of Net Dwellings" fld="43" baseField="0" baseItem="0"/>
  </dataFields>
  <formats count="41">
    <format dxfId="1631">
      <pivotArea type="all" dataOnly="0" outline="0" fieldPosition="0"/>
    </format>
    <format dxfId="1630">
      <pivotArea type="all" dataOnly="0" outline="0" fieldPosition="0"/>
    </format>
    <format dxfId="1629">
      <pivotArea type="all" dataOnly="0" outline="0" fieldPosition="0"/>
    </format>
    <format dxfId="1628">
      <pivotArea type="all" dataOnly="0" outline="0" fieldPosition="0"/>
    </format>
    <format dxfId="1627">
      <pivotArea type="all" dataOnly="0" outline="0" fieldPosition="0"/>
    </format>
    <format dxfId="1626">
      <pivotArea type="all" dataOnly="0" outline="0" fieldPosition="0"/>
    </format>
    <format dxfId="1625">
      <pivotArea type="all" dataOnly="0" outline="0" fieldPosition="0"/>
    </format>
    <format dxfId="1624">
      <pivotArea type="all" dataOnly="0" outline="0" fieldPosition="0"/>
    </format>
    <format dxfId="1623">
      <pivotArea type="all" dataOnly="0" outline="0" fieldPosition="0"/>
    </format>
    <format dxfId="1622">
      <pivotArea type="all" dataOnly="0" outline="0" fieldPosition="0"/>
    </format>
    <format dxfId="1621">
      <pivotArea type="all" dataOnly="0" outline="0" fieldPosition="0"/>
    </format>
    <format dxfId="1620">
      <pivotArea outline="0" collapsedLevelsAreSubtotals="1" fieldPosition="0"/>
    </format>
    <format dxfId="1619">
      <pivotArea dataOnly="0" labelOnly="1" outline="0" axis="axisValues" fieldPosition="0"/>
    </format>
    <format dxfId="1618">
      <pivotArea type="all" dataOnly="0" outline="0" fieldPosition="0"/>
    </format>
    <format dxfId="1617">
      <pivotArea outline="0" collapsedLevelsAreSubtotals="1" fieldPosition="0"/>
    </format>
    <format dxfId="1616">
      <pivotArea dataOnly="0" labelOnly="1" outline="0" axis="axisValues" fieldPosition="0"/>
    </format>
    <format dxfId="1615">
      <pivotArea type="all" dataOnly="0" outline="0" fieldPosition="0"/>
    </format>
    <format dxfId="1614">
      <pivotArea outline="0" collapsedLevelsAreSubtotals="1" fieldPosition="0"/>
    </format>
    <format dxfId="1613">
      <pivotArea dataOnly="0" labelOnly="1" outline="0" axis="axisValues" fieldPosition="0"/>
    </format>
    <format dxfId="1612">
      <pivotArea type="all" dataOnly="0" outline="0" fieldPosition="0"/>
    </format>
    <format dxfId="1611">
      <pivotArea outline="0" collapsedLevelsAreSubtotals="1" fieldPosition="0"/>
    </format>
    <format dxfId="1610">
      <pivotArea dataOnly="0" labelOnly="1" outline="0" axis="axisValues" fieldPosition="0"/>
    </format>
    <format dxfId="1609">
      <pivotArea type="all" dataOnly="0" outline="0" fieldPosition="0"/>
    </format>
    <format dxfId="1608">
      <pivotArea outline="0" collapsedLevelsAreSubtotals="1" fieldPosition="0"/>
    </format>
    <format dxfId="1607">
      <pivotArea dataOnly="0" labelOnly="1" outline="0" axis="axisValues" fieldPosition="0"/>
    </format>
    <format dxfId="1606">
      <pivotArea type="all" dataOnly="0" outline="0" fieldPosition="0"/>
    </format>
    <format dxfId="1605">
      <pivotArea outline="0" collapsedLevelsAreSubtotals="1" fieldPosition="0"/>
    </format>
    <format dxfId="1604">
      <pivotArea dataOnly="0" labelOnly="1" outline="0" axis="axisValues" fieldPosition="0"/>
    </format>
    <format dxfId="1603">
      <pivotArea type="all" dataOnly="0" outline="0" fieldPosition="0"/>
    </format>
    <format dxfId="1602">
      <pivotArea outline="0" collapsedLevelsAreSubtotals="1" fieldPosition="0"/>
    </format>
    <format dxfId="1601">
      <pivotArea dataOnly="0" labelOnly="1" outline="0" axis="axisValues" fieldPosition="0"/>
    </format>
    <format dxfId="1600">
      <pivotArea type="all" dataOnly="0" outline="0" fieldPosition="0"/>
    </format>
    <format dxfId="1599">
      <pivotArea outline="0" collapsedLevelsAreSubtotals="1" fieldPosition="0"/>
    </format>
    <format dxfId="1598">
      <pivotArea type="all" dataOnly="0" outline="0" fieldPosition="0"/>
    </format>
    <format dxfId="1597">
      <pivotArea outline="0" collapsedLevelsAreSubtotals="1" fieldPosition="0"/>
    </format>
    <format dxfId="1596">
      <pivotArea outline="0" collapsedLevelsAreSubtotals="1" fieldPosition="0"/>
    </format>
    <format dxfId="1595">
      <pivotArea type="all" dataOnly="0" outline="0" fieldPosition="0"/>
    </format>
    <format dxfId="1594">
      <pivotArea type="all" dataOnly="0" outline="0" fieldPosition="0"/>
    </format>
    <format dxfId="1593">
      <pivotArea outline="0" collapsedLevelsAreSubtotals="1" fieldPosition="0"/>
    </format>
    <format dxfId="1592">
      <pivotArea dataOnly="0" labelOnly="1" outline="0" axis="axisValues" fieldPosition="0"/>
    </format>
    <format dxfId="159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F9AF8F7F-C803-4498-998A-1EE0DFF7787F}" name="PivotTable58"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07:J313" firstHeaderRow="0" firstDataRow="1" firstDataCol="1" rowPageCount="2"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Row" multipleItemSelectionAllowed="1" showAll="0" defaultSubtotal="0">
      <items count="9">
        <item x="0"/>
        <item x="5"/>
        <item x="6"/>
        <item x="2"/>
        <item x="1"/>
        <item x="3"/>
        <item x="4"/>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8"/>
  </rowFields>
  <rowItems count="6">
    <i>
      <x/>
    </i>
    <i>
      <x v="3"/>
    </i>
    <i>
      <x v="4"/>
    </i>
    <i>
      <x v="5"/>
    </i>
    <i>
      <x v="6"/>
    </i>
    <i t="grand">
      <x/>
    </i>
  </rowItems>
  <colFields count="1">
    <field x="-2"/>
  </colFields>
  <colItems count="8">
    <i>
      <x/>
    </i>
    <i i="1">
      <x v="1"/>
    </i>
    <i i="2">
      <x v="2"/>
    </i>
    <i i="3">
      <x v="3"/>
    </i>
    <i i="4">
      <x v="4"/>
    </i>
    <i i="5">
      <x v="5"/>
    </i>
    <i i="6">
      <x v="6"/>
    </i>
    <i i="7">
      <x v="7"/>
    </i>
  </colItems>
  <pageFields count="2">
    <pageField fld="7" hier="-1"/>
    <pageField fld="1" hier="-1"/>
  </pageFields>
  <dataFields count="8">
    <dataField name="Sum of 1 bed net" fld="35" baseField="0" baseItem="0"/>
    <dataField name="Sum of 2 bed net" fld="36" baseField="0" baseItem="0"/>
    <dataField name="Sum of 3 bed net" fld="37" baseField="0" baseItem="0"/>
    <dataField name="Sum of 4 bed net" fld="38" baseField="0" baseItem="0"/>
    <dataField name="Sum of 5 bed net" fld="39" baseField="0" baseItem="0"/>
    <dataField name="Sum of 6 bed net" fld="40" baseField="0" baseItem="0"/>
    <dataField name="Sum of 7 bed net" fld="41" baseField="0" baseItem="0"/>
    <dataField name="Sum of 8 bed net" fld="42" baseField="0" baseItem="0"/>
  </dataFields>
  <formats count="48">
    <format dxfId="1679">
      <pivotArea type="all" dataOnly="0" outline="0" fieldPosition="0"/>
    </format>
    <format dxfId="1678">
      <pivotArea type="all" dataOnly="0" outline="0" fieldPosition="0"/>
    </format>
    <format dxfId="1677">
      <pivotArea type="all" dataOnly="0" outline="0" fieldPosition="0"/>
    </format>
    <format dxfId="1676">
      <pivotArea type="all" dataOnly="0" outline="0" fieldPosition="0"/>
    </format>
    <format dxfId="1675">
      <pivotArea type="all" dataOnly="0" outline="0" fieldPosition="0"/>
    </format>
    <format dxfId="1674">
      <pivotArea type="all" dataOnly="0" outline="0" fieldPosition="0"/>
    </format>
    <format dxfId="1673">
      <pivotArea type="all" dataOnly="0" outline="0" fieldPosition="0"/>
    </format>
    <format dxfId="1672">
      <pivotArea type="all" dataOnly="0" outline="0" fieldPosition="0"/>
    </format>
    <format dxfId="1671">
      <pivotArea type="all" dataOnly="0" outline="0" fieldPosition="0"/>
    </format>
    <format dxfId="1670">
      <pivotArea type="all" dataOnly="0" outline="0" fieldPosition="0"/>
    </format>
    <format dxfId="1669">
      <pivotArea type="all" dataOnly="0" outline="0" fieldPosition="0"/>
    </format>
    <format dxfId="1668">
      <pivotArea outline="0" collapsedLevelsAreSubtotals="1" fieldPosition="0"/>
    </format>
    <format dxfId="1667">
      <pivotArea field="8" type="button" dataOnly="0" labelOnly="1" outline="0" axis="axisRow" fieldPosition="0"/>
    </format>
    <format dxfId="1666">
      <pivotArea dataOnly="0" labelOnly="1" fieldPosition="0">
        <references count="1">
          <reference field="8" count="1">
            <x v="0"/>
          </reference>
        </references>
      </pivotArea>
    </format>
    <format dxfId="1665">
      <pivotArea dataOnly="0" labelOnly="1" grandRow="1" outline="0" fieldPosition="0"/>
    </format>
    <format dxfId="1664">
      <pivotArea dataOnly="0" labelOnly="1" outline="0" fieldPosition="0">
        <references count="1">
          <reference field="4294967294" count="7">
            <x v="0"/>
            <x v="1"/>
            <x v="2"/>
            <x v="3"/>
            <x v="4"/>
            <x v="5"/>
            <x v="6"/>
          </reference>
        </references>
      </pivotArea>
    </format>
    <format dxfId="1663">
      <pivotArea type="all" dataOnly="0" outline="0" fieldPosition="0"/>
    </format>
    <format dxfId="1662">
      <pivotArea outline="0" collapsedLevelsAreSubtotals="1" fieldPosition="0"/>
    </format>
    <format dxfId="1661">
      <pivotArea field="8" type="button" dataOnly="0" labelOnly="1" outline="0" axis="axisRow" fieldPosition="0"/>
    </format>
    <format dxfId="1660">
      <pivotArea dataOnly="0" labelOnly="1" grandRow="1" outline="0" fieldPosition="0"/>
    </format>
    <format dxfId="1659">
      <pivotArea dataOnly="0" labelOnly="1" outline="0" fieldPosition="0">
        <references count="1">
          <reference field="4294967294" count="7">
            <x v="0"/>
            <x v="1"/>
            <x v="2"/>
            <x v="3"/>
            <x v="4"/>
            <x v="5"/>
            <x v="6"/>
          </reference>
        </references>
      </pivotArea>
    </format>
    <format dxfId="1658">
      <pivotArea type="all" dataOnly="0" outline="0" fieldPosition="0"/>
    </format>
    <format dxfId="1657">
      <pivotArea outline="0" collapsedLevelsAreSubtotals="1" fieldPosition="0"/>
    </format>
    <format dxfId="1656">
      <pivotArea field="8" type="button" dataOnly="0" labelOnly="1" outline="0" axis="axisRow" fieldPosition="0"/>
    </format>
    <format dxfId="1655">
      <pivotArea dataOnly="0" labelOnly="1" grandRow="1" outline="0" fieldPosition="0"/>
    </format>
    <format dxfId="1654">
      <pivotArea dataOnly="0" labelOnly="1" outline="0" fieldPosition="0">
        <references count="1">
          <reference field="4294967294" count="7">
            <x v="0"/>
            <x v="1"/>
            <x v="2"/>
            <x v="3"/>
            <x v="4"/>
            <x v="5"/>
            <x v="6"/>
          </reference>
        </references>
      </pivotArea>
    </format>
    <format dxfId="1653">
      <pivotArea type="all" dataOnly="0" outline="0" fieldPosition="0"/>
    </format>
    <format dxfId="1652">
      <pivotArea outline="0" collapsedLevelsAreSubtotals="1" fieldPosition="0"/>
    </format>
    <format dxfId="1651">
      <pivotArea field="8" type="button" dataOnly="0" labelOnly="1" outline="0" axis="axisRow" fieldPosition="0"/>
    </format>
    <format dxfId="1650">
      <pivotArea dataOnly="0" labelOnly="1" fieldPosition="0">
        <references count="1">
          <reference field="8" count="2">
            <x v="0"/>
            <x v="5"/>
          </reference>
        </references>
      </pivotArea>
    </format>
    <format dxfId="1649">
      <pivotArea dataOnly="0" labelOnly="1" grandRow="1" outline="0" fieldPosition="0"/>
    </format>
    <format dxfId="1648">
      <pivotArea dataOnly="0" labelOnly="1" outline="0" fieldPosition="0">
        <references count="1">
          <reference field="4294967294" count="8">
            <x v="0"/>
            <x v="1"/>
            <x v="2"/>
            <x v="3"/>
            <x v="4"/>
            <x v="5"/>
            <x v="6"/>
            <x v="7"/>
          </reference>
        </references>
      </pivotArea>
    </format>
    <format dxfId="1647">
      <pivotArea type="all" dataOnly="0" outline="0" fieldPosition="0"/>
    </format>
    <format dxfId="1646">
      <pivotArea dataOnly="0" labelOnly="1" fieldPosition="0">
        <references count="1">
          <reference field="8" count="2">
            <x v="0"/>
            <x v="5"/>
          </reference>
        </references>
      </pivotArea>
    </format>
    <format dxfId="1645">
      <pivotArea type="all" dataOnly="0" outline="0" fieldPosition="0"/>
    </format>
    <format dxfId="1644">
      <pivotArea dataOnly="0" labelOnly="1" fieldPosition="0">
        <references count="1">
          <reference field="8" count="2">
            <x v="0"/>
            <x v="5"/>
          </reference>
        </references>
      </pivotArea>
    </format>
    <format dxfId="1643">
      <pivotArea collapsedLevelsAreSubtotals="1" fieldPosition="0">
        <references count="1">
          <reference field="8" count="2">
            <x v="0"/>
            <x v="4"/>
          </reference>
        </references>
      </pivotArea>
    </format>
    <format dxfId="1642">
      <pivotArea type="all" dataOnly="0" outline="0" fieldPosition="0"/>
    </format>
    <format dxfId="1641">
      <pivotArea outline="0" collapsedLevelsAreSubtotals="1" fieldPosition="0"/>
    </format>
    <format dxfId="1640">
      <pivotArea field="8" type="button" dataOnly="0" labelOnly="1" outline="0" axis="axisRow" fieldPosition="0"/>
    </format>
    <format dxfId="1639">
      <pivotArea dataOnly="0" labelOnly="1" fieldPosition="0">
        <references count="1">
          <reference field="8" count="2">
            <x v="0"/>
            <x v="4"/>
          </reference>
        </references>
      </pivotArea>
    </format>
    <format dxfId="1638">
      <pivotArea dataOnly="0" labelOnly="1" grandRow="1" outline="0" fieldPosition="0"/>
    </format>
    <format dxfId="1637">
      <pivotArea type="all" dataOnly="0" outline="0" fieldPosition="0"/>
    </format>
    <format dxfId="1636">
      <pivotArea outline="0" collapsedLevelsAreSubtotals="1" fieldPosition="0"/>
    </format>
    <format dxfId="1635">
      <pivotArea field="8" type="button" dataOnly="0" labelOnly="1" outline="0" axis="axisRow" fieldPosition="0"/>
    </format>
    <format dxfId="1634">
      <pivotArea dataOnly="0" labelOnly="1" fieldPosition="0">
        <references count="1">
          <reference field="8" count="2">
            <x v="0"/>
            <x v="4"/>
          </reference>
        </references>
      </pivotArea>
    </format>
    <format dxfId="1633">
      <pivotArea dataOnly="0" labelOnly="1" grandRow="1" outline="0" fieldPosition="0"/>
    </format>
    <format dxfId="1632">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9ADC5A43-D09B-48DC-90AE-5099C7F08C2F}" name="PivotTable27"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L280:O290" firstHeaderRow="0"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axis="axisRow" showAll="0">
      <items count="11">
        <item x="3"/>
        <item x="2"/>
        <item x="1"/>
        <item x="8"/>
        <item x="7"/>
        <item x="5"/>
        <item x="6"/>
        <item x="4"/>
        <item x="0"/>
        <item x="9"/>
        <item t="default"/>
      </items>
    </pivotField>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9"/>
  </rowFields>
  <rowItems count="10">
    <i>
      <x/>
    </i>
    <i>
      <x v="1"/>
    </i>
    <i>
      <x v="2"/>
    </i>
    <i>
      <x v="3"/>
    </i>
    <i>
      <x v="4"/>
    </i>
    <i>
      <x v="5"/>
    </i>
    <i>
      <x v="6"/>
    </i>
    <i>
      <x v="7"/>
    </i>
    <i>
      <x v="8"/>
    </i>
    <i t="grand">
      <x/>
    </i>
  </rowItems>
  <colFields count="1">
    <field x="-2"/>
  </colFields>
  <colItems count="3">
    <i>
      <x/>
    </i>
    <i i="1">
      <x v="1"/>
    </i>
    <i i="2">
      <x v="2"/>
    </i>
  </colItems>
  <pageFields count="1">
    <pageField fld="7" hier="-1"/>
  </pageFields>
  <dataFields count="3">
    <dataField name="Sum of Units Proposed" fld="34" baseField="0" baseItem="0"/>
    <dataField name="Sum of Units Existing" fld="24" baseField="0" baseItem="0"/>
    <dataField name="Sum of Net Dwellings" fld="43" baseField="0" baseItem="0"/>
  </dataFields>
  <formats count="40">
    <format dxfId="1719">
      <pivotArea type="all" dataOnly="0" outline="0" fieldPosition="0"/>
    </format>
    <format dxfId="1718">
      <pivotArea type="all" dataOnly="0" outline="0" fieldPosition="0"/>
    </format>
    <format dxfId="1717">
      <pivotArea type="all" dataOnly="0" outline="0" fieldPosition="0"/>
    </format>
    <format dxfId="1716">
      <pivotArea type="all" dataOnly="0" outline="0" fieldPosition="0"/>
    </format>
    <format dxfId="1715">
      <pivotArea type="all" dataOnly="0" outline="0" fieldPosition="0"/>
    </format>
    <format dxfId="1714">
      <pivotArea type="all" dataOnly="0" outline="0" fieldPosition="0"/>
    </format>
    <format dxfId="1713">
      <pivotArea type="all" dataOnly="0" outline="0" fieldPosition="0"/>
    </format>
    <format dxfId="1712">
      <pivotArea dataOnly="0" labelOnly="1" outline="0" fieldPosition="0">
        <references count="1">
          <reference field="4294967294" count="2">
            <x v="0"/>
            <x v="2"/>
          </reference>
        </references>
      </pivotArea>
    </format>
    <format dxfId="1711">
      <pivotArea dataOnly="0" labelOnly="1" outline="0" fieldPosition="0">
        <references count="1">
          <reference field="4294967294" count="2">
            <x v="0"/>
            <x v="2"/>
          </reference>
        </references>
      </pivotArea>
    </format>
    <format dxfId="1710">
      <pivotArea dataOnly="0" labelOnly="1" outline="0" fieldPosition="0">
        <references count="1">
          <reference field="4294967294" count="2">
            <x v="0"/>
            <x v="2"/>
          </reference>
        </references>
      </pivotArea>
    </format>
    <format dxfId="1709">
      <pivotArea type="all" dataOnly="0" outline="0" fieldPosition="0"/>
    </format>
    <format dxfId="1708">
      <pivotArea type="all" dataOnly="0" outline="0" fieldPosition="0"/>
    </format>
    <format dxfId="1707">
      <pivotArea type="all" dataOnly="0" outline="0" fieldPosition="0"/>
    </format>
    <format dxfId="1706">
      <pivotArea type="all" dataOnly="0" outline="0" fieldPosition="0"/>
    </format>
    <format dxfId="1705">
      <pivotArea outline="0" collapsedLevelsAreSubtotals="1" fieldPosition="0"/>
    </format>
    <format dxfId="1704">
      <pivotArea dataOnly="0" labelOnly="1" grandRow="1" outline="0" fieldPosition="0"/>
    </format>
    <format dxfId="1703">
      <pivotArea dataOnly="0" labelOnly="1" outline="0" fieldPosition="0">
        <references count="1">
          <reference field="4294967294" count="2">
            <x v="0"/>
            <x v="2"/>
          </reference>
        </references>
      </pivotArea>
    </format>
    <format dxfId="1702">
      <pivotArea type="all" dataOnly="0" outline="0" fieldPosition="0"/>
    </format>
    <format dxfId="1701">
      <pivotArea outline="0" collapsedLevelsAreSubtotals="1" fieldPosition="0"/>
    </format>
    <format dxfId="1700">
      <pivotArea dataOnly="0" labelOnly="1" grandRow="1" outline="0" fieldPosition="0"/>
    </format>
    <format dxfId="1699">
      <pivotArea dataOnly="0" labelOnly="1" outline="0" fieldPosition="0">
        <references count="1">
          <reference field="4294967294" count="2">
            <x v="0"/>
            <x v="2"/>
          </reference>
        </references>
      </pivotArea>
    </format>
    <format dxfId="1698">
      <pivotArea type="all" dataOnly="0" outline="0" fieldPosition="0"/>
    </format>
    <format dxfId="1697">
      <pivotArea outline="0" collapsedLevelsAreSubtotals="1" fieldPosition="0"/>
    </format>
    <format dxfId="1696">
      <pivotArea dataOnly="0" labelOnly="1" grandRow="1" outline="0" fieldPosition="0"/>
    </format>
    <format dxfId="1695">
      <pivotArea dataOnly="0" labelOnly="1" outline="0" fieldPosition="0">
        <references count="1">
          <reference field="4294967294" count="2">
            <x v="0"/>
            <x v="2"/>
          </reference>
        </references>
      </pivotArea>
    </format>
    <format dxfId="1694">
      <pivotArea type="all" dataOnly="0" outline="0" fieldPosition="0"/>
    </format>
    <format dxfId="1693">
      <pivotArea outline="0" collapsedLevelsAreSubtotals="1" fieldPosition="0"/>
    </format>
    <format dxfId="1692">
      <pivotArea field="70" type="button" dataOnly="0" labelOnly="1" outline="0"/>
    </format>
    <format dxfId="1691">
      <pivotArea dataOnly="0" labelOnly="1" grandRow="1" outline="0" fieldPosition="0"/>
    </format>
    <format dxfId="1690">
      <pivotArea dataOnly="0" labelOnly="1" outline="0" fieldPosition="0">
        <references count="1">
          <reference field="4294967294" count="3">
            <x v="0"/>
            <x v="1"/>
            <x v="2"/>
          </reference>
        </references>
      </pivotArea>
    </format>
    <format dxfId="1689">
      <pivotArea type="all" dataOnly="0" outline="0" fieldPosition="0"/>
    </format>
    <format dxfId="1688">
      <pivotArea outline="0" collapsedLevelsAreSubtotals="1" fieldPosition="0"/>
    </format>
    <format dxfId="1687">
      <pivotArea field="70" type="button" dataOnly="0" labelOnly="1" outline="0"/>
    </format>
    <format dxfId="1686">
      <pivotArea dataOnly="0" labelOnly="1" grandRow="1" outline="0" fieldPosition="0"/>
    </format>
    <format dxfId="1685">
      <pivotArea dataOnly="0" labelOnly="1" outline="0" fieldPosition="0">
        <references count="1">
          <reference field="4294967294" count="3">
            <x v="0"/>
            <x v="1"/>
            <x v="2"/>
          </reference>
        </references>
      </pivotArea>
    </format>
    <format dxfId="1684">
      <pivotArea type="all" dataOnly="0" outline="0" fieldPosition="0"/>
    </format>
    <format dxfId="1683">
      <pivotArea outline="0" collapsedLevelsAreSubtotals="1" fieldPosition="0"/>
    </format>
    <format dxfId="1682">
      <pivotArea field="70" type="button" dataOnly="0" labelOnly="1" outline="0"/>
    </format>
    <format dxfId="1681">
      <pivotArea dataOnly="0" labelOnly="1" grandRow="1" outline="0" fieldPosition="0"/>
    </format>
    <format dxfId="168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BEDCBDE1-7D2D-4CA1-8238-504EA5375762}" name="PivotTable17"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478:I484" firstHeaderRow="1" firstDataRow="1" firstDataCol="1" rowPageCount="4" colPageCount="1"/>
  <pivotFields count="84">
    <pivotField showAll="0" defaultSubtotal="0"/>
    <pivotField axis="axisPage" multipleItemSelectionAllowed="1" showAll="0" defaultSubtotal="0">
      <items count="5">
        <item x="1"/>
        <item x="2"/>
        <item x="3"/>
        <item x="4"/>
        <item x="0"/>
      </items>
    </pivotField>
    <pivotField axis="axisPage" multipleItemSelectionAllowed="1" showAll="0" defaultSubtotal="0">
      <items count="2">
        <item x="1"/>
        <item h="1"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multipleItemSelectionAllowed="1" showAll="0" defaultSubtotal="0"/>
    <pivotField axis="axisPage" multipleItemSelectionAllowed="1" showAll="0">
      <items count="16">
        <item x="5"/>
        <item x="9"/>
        <item x="4"/>
        <item x="7"/>
        <item x="13"/>
        <item h="1" x="1"/>
        <item x="2"/>
        <item x="14"/>
        <item x="8"/>
        <item x="6"/>
        <item x="10"/>
        <item x="3"/>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3"/>
        <item x="2"/>
        <item x="6"/>
        <item x="5"/>
        <item x="1"/>
        <item x="4"/>
        <item x="0"/>
        <item t="default"/>
      </items>
    </pivotField>
    <pivotField showAll="0">
      <items count="20">
        <item x="4"/>
        <item x="12"/>
        <item x="2"/>
        <item x="1"/>
        <item x="0"/>
        <item x="15"/>
        <item x="8"/>
        <item x="10"/>
        <item x="7"/>
        <item x="16"/>
        <item x="6"/>
        <item x="17"/>
        <item x="13"/>
        <item x="14"/>
        <item x="9"/>
        <item x="3"/>
        <item x="11"/>
        <item x="5"/>
        <item x="18"/>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69"/>
  </rowFields>
  <rowItems count="6">
    <i>
      <x/>
    </i>
    <i>
      <x v="3"/>
    </i>
    <i>
      <x v="4"/>
    </i>
    <i>
      <x v="5"/>
    </i>
    <i>
      <x v="6"/>
    </i>
    <i t="grand">
      <x/>
    </i>
  </rowItems>
  <colItems count="1">
    <i/>
  </colItems>
  <pageFields count="4">
    <pageField fld="9" hier="-1"/>
    <pageField fld="7" hier="-1"/>
    <pageField fld="2" hier="-1"/>
    <pageField fld="1" hier="-1"/>
  </pageFields>
  <dataFields count="1">
    <dataField name="Sum of Net Dwellings" fld="43" baseField="0" baseItem="0"/>
  </dataFields>
  <formats count="48">
    <format dxfId="1767">
      <pivotArea type="all" dataOnly="0" outline="0" fieldPosition="0"/>
    </format>
    <format dxfId="1766">
      <pivotArea type="all" dataOnly="0" outline="0" fieldPosition="0"/>
    </format>
    <format dxfId="1765">
      <pivotArea type="all" dataOnly="0" outline="0" fieldPosition="0"/>
    </format>
    <format dxfId="1764">
      <pivotArea type="all" dataOnly="0" outline="0" fieldPosition="0"/>
    </format>
    <format dxfId="1763">
      <pivotArea type="all" dataOnly="0" outline="0" fieldPosition="0"/>
    </format>
    <format dxfId="1762">
      <pivotArea type="all" dataOnly="0" outline="0" fieldPosition="0"/>
    </format>
    <format dxfId="1761">
      <pivotArea type="all" dataOnly="0" outline="0" fieldPosition="0"/>
    </format>
    <format dxfId="1760">
      <pivotArea dataOnly="0" labelOnly="1" outline="0" fieldPosition="0">
        <references count="1">
          <reference field="4294967294" count="1">
            <x v="0"/>
          </reference>
        </references>
      </pivotArea>
    </format>
    <format dxfId="1759">
      <pivotArea dataOnly="0" labelOnly="1" outline="0" fieldPosition="0">
        <references count="1">
          <reference field="4294967294" count="1">
            <x v="0"/>
          </reference>
        </references>
      </pivotArea>
    </format>
    <format dxfId="1758">
      <pivotArea dataOnly="0" labelOnly="1" outline="0" fieldPosition="0">
        <references count="1">
          <reference field="4294967294" count="1">
            <x v="0"/>
          </reference>
        </references>
      </pivotArea>
    </format>
    <format dxfId="1757">
      <pivotArea type="all" dataOnly="0" outline="0" fieldPosition="0"/>
    </format>
    <format dxfId="1756">
      <pivotArea type="all" dataOnly="0" outline="0" fieldPosition="0"/>
    </format>
    <format dxfId="1755">
      <pivotArea type="all" dataOnly="0" outline="0" fieldPosition="0"/>
    </format>
    <format dxfId="1754">
      <pivotArea type="all" dataOnly="0" outline="0" fieldPosition="0"/>
    </format>
    <format dxfId="1753">
      <pivotArea outline="0" collapsedLevelsAreSubtotals="1" fieldPosition="0"/>
    </format>
    <format dxfId="1752">
      <pivotArea dataOnly="0" labelOnly="1" grandRow="1" outline="0" fieldPosition="0"/>
    </format>
    <format dxfId="1751">
      <pivotArea dataOnly="0" labelOnly="1" outline="0" axis="axisValues" fieldPosition="0"/>
    </format>
    <format dxfId="1750">
      <pivotArea type="all" dataOnly="0" outline="0" fieldPosition="0"/>
    </format>
    <format dxfId="1749">
      <pivotArea outline="0" collapsedLevelsAreSubtotals="1" fieldPosition="0"/>
    </format>
    <format dxfId="1748">
      <pivotArea dataOnly="0" labelOnly="1" grandRow="1" outline="0" fieldPosition="0"/>
    </format>
    <format dxfId="1747">
      <pivotArea dataOnly="0" labelOnly="1" outline="0" axis="axisValues" fieldPosition="0"/>
    </format>
    <format dxfId="1746">
      <pivotArea type="all" dataOnly="0" outline="0" fieldPosition="0"/>
    </format>
    <format dxfId="1745">
      <pivotArea outline="0" collapsedLevelsAreSubtotals="1" fieldPosition="0"/>
    </format>
    <format dxfId="1744">
      <pivotArea dataOnly="0" labelOnly="1" grandRow="1" outline="0" fieldPosition="0"/>
    </format>
    <format dxfId="1743">
      <pivotArea dataOnly="0" labelOnly="1" outline="0" axis="axisValues" fieldPosition="0"/>
    </format>
    <format dxfId="1742">
      <pivotArea type="all" dataOnly="0" outline="0" fieldPosition="0"/>
    </format>
    <format dxfId="1741">
      <pivotArea outline="0" collapsedLevelsAreSubtotals="1" fieldPosition="0"/>
    </format>
    <format dxfId="1740">
      <pivotArea field="70" type="button" dataOnly="0" labelOnly="1" outline="0"/>
    </format>
    <format dxfId="1739">
      <pivotArea dataOnly="0" labelOnly="1" grandRow="1" outline="0" fieldPosition="0"/>
    </format>
    <format dxfId="1738">
      <pivotArea dataOnly="0" labelOnly="1" outline="0" axis="axisValues" fieldPosition="0"/>
    </format>
    <format dxfId="1737">
      <pivotArea type="all" dataOnly="0" outline="0" fieldPosition="0"/>
    </format>
    <format dxfId="1736">
      <pivotArea outline="0" collapsedLevelsAreSubtotals="1" fieldPosition="0"/>
    </format>
    <format dxfId="1735">
      <pivotArea field="70" type="button" dataOnly="0" labelOnly="1" outline="0"/>
    </format>
    <format dxfId="1734">
      <pivotArea dataOnly="0" labelOnly="1" grandRow="1" outline="0" fieldPosition="0"/>
    </format>
    <format dxfId="1733">
      <pivotArea dataOnly="0" labelOnly="1" outline="0" axis="axisValues" fieldPosition="0"/>
    </format>
    <format dxfId="1732">
      <pivotArea type="all" dataOnly="0" outline="0" fieldPosition="0"/>
    </format>
    <format dxfId="1731">
      <pivotArea outline="0" collapsedLevelsAreSubtotals="1" fieldPosition="0"/>
    </format>
    <format dxfId="1730">
      <pivotArea field="70" type="button" dataOnly="0" labelOnly="1" outline="0"/>
    </format>
    <format dxfId="1729">
      <pivotArea dataOnly="0" labelOnly="1" grandRow="1" outline="0" fieldPosition="0"/>
    </format>
    <format dxfId="1728">
      <pivotArea dataOnly="0" labelOnly="1" outline="0" axis="axisValues" fieldPosition="0"/>
    </format>
    <format dxfId="1727">
      <pivotArea type="all" dataOnly="0" outline="0" fieldPosition="0"/>
    </format>
    <format dxfId="1726">
      <pivotArea outline="0" collapsedLevelsAreSubtotals="1" fieldPosition="0"/>
    </format>
    <format dxfId="1725">
      <pivotArea field="69" type="button" dataOnly="0" labelOnly="1" outline="0" axis="axisRow" fieldPosition="0"/>
    </format>
    <format dxfId="1724">
      <pivotArea dataOnly="0" labelOnly="1" fieldPosition="0">
        <references count="1">
          <reference field="69" count="5">
            <x v="0"/>
            <x v="3"/>
            <x v="4"/>
            <x v="5"/>
            <x v="6"/>
          </reference>
        </references>
      </pivotArea>
    </format>
    <format dxfId="1723">
      <pivotArea dataOnly="0" labelOnly="1" grandRow="1" outline="0" fieldPosition="0"/>
    </format>
    <format dxfId="1722">
      <pivotArea dataOnly="0" labelOnly="1" outline="0" axis="axisValues" fieldPosition="0"/>
    </format>
    <format dxfId="1721">
      <pivotArea outline="0" collapsedLevelsAreSubtotals="1" fieldPosition="0"/>
    </format>
    <format dxfId="172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231DBAD9-1BCA-4B2B-9D4F-198193FBF119}" name="PivotTable54"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33:B134" firstHeaderRow="1" firstDataRow="1" firstDataCol="0" rowPageCount="2" colPageCount="1"/>
  <pivotFields count="84">
    <pivotField showAll="0" defaultSubtotal="0"/>
    <pivotField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h="1" x="0"/>
        <item x="5"/>
        <item h="1" x="6"/>
        <item h="1" x="2"/>
        <item h="1" x="3"/>
        <item x="1"/>
        <item h="1" x="7"/>
        <item h="1" x="4"/>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2">
    <pageField fld="7" hier="-1"/>
    <pageField fld="8" hier="-1"/>
  </pageFields>
  <dataFields count="1">
    <dataField name="Sum of Units Proposed" fld="34" baseField="0" baseItem="0"/>
  </dataFields>
  <formats count="40">
    <format dxfId="1807">
      <pivotArea type="all" dataOnly="0" outline="0" fieldPosition="0"/>
    </format>
    <format dxfId="1806">
      <pivotArea type="all" dataOnly="0" outline="0" fieldPosition="0"/>
    </format>
    <format dxfId="1805">
      <pivotArea type="all" dataOnly="0" outline="0" fieldPosition="0"/>
    </format>
    <format dxfId="1804">
      <pivotArea type="all" dataOnly="0" outline="0" fieldPosition="0"/>
    </format>
    <format dxfId="1803">
      <pivotArea type="all" dataOnly="0" outline="0" fieldPosition="0"/>
    </format>
    <format dxfId="1802">
      <pivotArea type="all" dataOnly="0" outline="0" fieldPosition="0"/>
    </format>
    <format dxfId="1801">
      <pivotArea type="all" dataOnly="0" outline="0" fieldPosition="0"/>
    </format>
    <format dxfId="1800">
      <pivotArea type="all" dataOnly="0" outline="0" fieldPosition="0"/>
    </format>
    <format dxfId="1799">
      <pivotArea type="all" dataOnly="0" outline="0" fieldPosition="0"/>
    </format>
    <format dxfId="1798">
      <pivotArea type="all" dataOnly="0" outline="0" fieldPosition="0"/>
    </format>
    <format dxfId="1797">
      <pivotArea type="all" dataOnly="0" outline="0" fieldPosition="0"/>
    </format>
    <format dxfId="1796">
      <pivotArea outline="0" collapsedLevelsAreSubtotals="1" fieldPosition="0"/>
    </format>
    <format dxfId="1795">
      <pivotArea dataOnly="0" labelOnly="1" outline="0" axis="axisValues" fieldPosition="0"/>
    </format>
    <format dxfId="1794">
      <pivotArea type="all" dataOnly="0" outline="0" fieldPosition="0"/>
    </format>
    <format dxfId="1793">
      <pivotArea outline="0" collapsedLevelsAreSubtotals="1" fieldPosition="0"/>
    </format>
    <format dxfId="1792">
      <pivotArea dataOnly="0" labelOnly="1" outline="0" axis="axisValues" fieldPosition="0"/>
    </format>
    <format dxfId="1791">
      <pivotArea type="all" dataOnly="0" outline="0" fieldPosition="0"/>
    </format>
    <format dxfId="1790">
      <pivotArea outline="0" collapsedLevelsAreSubtotals="1" fieldPosition="0"/>
    </format>
    <format dxfId="1789">
      <pivotArea dataOnly="0" labelOnly="1" outline="0" axis="axisValues" fieldPosition="0"/>
    </format>
    <format dxfId="1788">
      <pivotArea type="all" dataOnly="0" outline="0" fieldPosition="0"/>
    </format>
    <format dxfId="1787">
      <pivotArea outline="0" collapsedLevelsAreSubtotals="1" fieldPosition="0"/>
    </format>
    <format dxfId="1786">
      <pivotArea dataOnly="0" labelOnly="1" outline="0" axis="axisValues" fieldPosition="0"/>
    </format>
    <format dxfId="1785">
      <pivotArea type="all" dataOnly="0" outline="0" fieldPosition="0"/>
    </format>
    <format dxfId="1784">
      <pivotArea outline="0" collapsedLevelsAreSubtotals="1" fieldPosition="0"/>
    </format>
    <format dxfId="1783">
      <pivotArea dataOnly="0" labelOnly="1" outline="0" axis="axisValues" fieldPosition="0"/>
    </format>
    <format dxfId="1782">
      <pivotArea type="all" dataOnly="0" outline="0" fieldPosition="0"/>
    </format>
    <format dxfId="1781">
      <pivotArea outline="0" collapsedLevelsAreSubtotals="1" fieldPosition="0"/>
    </format>
    <format dxfId="1780">
      <pivotArea dataOnly="0" labelOnly="1" outline="0" axis="axisValues" fieldPosition="0"/>
    </format>
    <format dxfId="1779">
      <pivotArea type="all" dataOnly="0" outline="0" fieldPosition="0"/>
    </format>
    <format dxfId="1778">
      <pivotArea outline="0" collapsedLevelsAreSubtotals="1" fieldPosition="0"/>
    </format>
    <format dxfId="1777">
      <pivotArea dataOnly="0" labelOnly="1" outline="0" axis="axisValues" fieldPosition="0"/>
    </format>
    <format dxfId="1776">
      <pivotArea type="all" dataOnly="0" outline="0" fieldPosition="0"/>
    </format>
    <format dxfId="1775">
      <pivotArea outline="0" collapsedLevelsAreSubtotals="1" fieldPosition="0"/>
    </format>
    <format dxfId="1774">
      <pivotArea type="all" dataOnly="0" outline="0" fieldPosition="0"/>
    </format>
    <format dxfId="1773">
      <pivotArea outline="0" collapsedLevelsAreSubtotals="1" fieldPosition="0"/>
    </format>
    <format dxfId="1772">
      <pivotArea outline="0" collapsedLevelsAreSubtotals="1" fieldPosition="0"/>
    </format>
    <format dxfId="1771">
      <pivotArea type="all" dataOnly="0" outline="0" fieldPosition="0"/>
    </format>
    <format dxfId="1770">
      <pivotArea type="all" dataOnly="0" outline="0" fieldPosition="0"/>
    </format>
    <format dxfId="1769">
      <pivotArea outline="0" collapsedLevelsAreSubtotals="1" fieldPosition="0"/>
    </format>
    <format dxfId="176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D5E21D20-B9C5-4D16-8AC2-052E15DA0861}" name="PivotTable42"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552:M559" firstHeaderRow="0" firstDataRow="1" firstDataCol="1" rowPageCount="1" colPageCount="1"/>
  <pivotFields count="84">
    <pivotField showAll="0" defaultSubtotal="0"/>
    <pivotField multipleItemSelectionAllowed="1" showAll="0" defaultSubtotal="0"/>
    <pivotField multipleItemSelectionAllowed="1"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h="1" x="2"/>
        <item x="3"/>
        <item x="6"/>
        <item x="4"/>
        <item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items count="20">
        <item x="4"/>
        <item x="12"/>
        <item x="14"/>
        <item x="3"/>
        <item x="2"/>
        <item x="1"/>
        <item x="11"/>
        <item x="0"/>
        <item x="15"/>
        <item x="9"/>
        <item x="8"/>
        <item x="10"/>
        <item x="7"/>
        <item x="5"/>
        <item x="16"/>
        <item x="6"/>
        <item x="17"/>
        <item x="13"/>
        <item x="18"/>
        <item t="default"/>
      </items>
    </pivotField>
    <pivotField showAll="0"/>
    <pivotField showAll="0"/>
    <pivotField showAll="0"/>
    <pivotField showAll="0"/>
    <pivotField showAll="0"/>
    <pivotField showAll="0"/>
    <pivotField showAll="0"/>
    <pivotField showAll="0"/>
    <pivotField axis="axisRow" showAll="0">
      <items count="11">
        <item x="3"/>
        <item x="2"/>
        <item x="1"/>
        <item x="8"/>
        <item x="7"/>
        <item x="5"/>
        <item x="6"/>
        <item x="4"/>
        <item x="0"/>
        <item h="1" x="9"/>
        <item t="default"/>
      </items>
    </pivotField>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9"/>
  </rowFields>
  <rowItems count="7">
    <i>
      <x v="2"/>
    </i>
    <i>
      <x v="4"/>
    </i>
    <i>
      <x v="5"/>
    </i>
    <i>
      <x v="6"/>
    </i>
    <i>
      <x v="7"/>
    </i>
    <i>
      <x v="8"/>
    </i>
    <i t="grand">
      <x/>
    </i>
  </rowItems>
  <colFields count="1">
    <field x="-2"/>
  </colFields>
  <colItems count="11">
    <i>
      <x/>
    </i>
    <i i="1">
      <x v="1"/>
    </i>
    <i i="2">
      <x v="2"/>
    </i>
    <i i="3">
      <x v="3"/>
    </i>
    <i i="4">
      <x v="4"/>
    </i>
    <i i="5">
      <x v="5"/>
    </i>
    <i i="6">
      <x v="6"/>
    </i>
    <i i="7">
      <x v="7"/>
    </i>
    <i i="8">
      <x v="8"/>
    </i>
    <i i="9">
      <x v="9"/>
    </i>
    <i i="10">
      <x v="10"/>
    </i>
  </colItems>
  <pageFields count="1">
    <pageField fld="7" hier="-1"/>
  </pageFields>
  <dataFields count="11">
    <dataField name="Sum of 2024/25 (1)" fld="46" baseField="0" baseItem="0"/>
    <dataField name="Sum of 2025/26 (2)" fld="47" baseField="0" baseItem="0"/>
    <dataField name="Sum of 2026/27 (3)" fld="48" baseField="0" baseItem="0"/>
    <dataField name="Sum of 2027/28 (4)" fld="49" baseField="0" baseItem="0"/>
    <dataField name="Sum of 2028/29 (5)" fld="50" baseField="0" baseItem="0"/>
    <dataField name="Sum of 2029/30 (6)" fld="51" baseField="0" baseItem="0"/>
    <dataField name="Sum of 2030/31 (7)" fld="52" baseField="0" baseItem="0"/>
    <dataField name="Sum of 2031/32 (8)" fld="53" baseField="0" baseItem="0"/>
    <dataField name="Sum of 2032/33 (9)" fld="54" baseField="0" baseItem="0"/>
    <dataField name="Sum of 2033/34 (10)" fld="55" baseField="0" baseItem="0"/>
    <dataField name="Sum of 2024-2034 Total" fld="63" baseField="0" baseItem="0"/>
  </dataFields>
  <formats count="35">
    <format dxfId="1842">
      <pivotArea type="all" dataOnly="0" outline="0" fieldPosition="0"/>
    </format>
    <format dxfId="1841">
      <pivotArea type="all" dataOnly="0" outline="0" fieldPosition="0"/>
    </format>
    <format dxfId="1840">
      <pivotArea type="all" dataOnly="0" outline="0" fieldPosition="0"/>
    </format>
    <format dxfId="1839">
      <pivotArea type="all" dataOnly="0" outline="0" fieldPosition="0"/>
    </format>
    <format dxfId="1838">
      <pivotArea type="all" dataOnly="0" outline="0" fieldPosition="0"/>
    </format>
    <format dxfId="1837">
      <pivotArea type="all" dataOnly="0" outline="0" fieldPosition="0"/>
    </format>
    <format dxfId="1836">
      <pivotArea type="all" dataOnly="0" outline="0" fieldPosition="0"/>
    </format>
    <format dxfId="1835">
      <pivotArea type="all" dataOnly="0" outline="0" fieldPosition="0"/>
    </format>
    <format dxfId="1834">
      <pivotArea type="all" dataOnly="0" outline="0" fieldPosition="0"/>
    </format>
    <format dxfId="1833">
      <pivotArea type="all" dataOnly="0" outline="0" fieldPosition="0"/>
    </format>
    <format dxfId="1832">
      <pivotArea type="all" dataOnly="0" outline="0" fieldPosition="0"/>
    </format>
    <format dxfId="1831">
      <pivotArea outline="0" collapsedLevelsAreSubtotals="1" fieldPosition="0"/>
    </format>
    <format dxfId="1830">
      <pivotArea dataOnly="0" labelOnly="1" grandRow="1" outline="0" fieldPosition="0"/>
    </format>
    <format dxfId="1829">
      <pivotArea outline="0" collapsedLevelsAreSubtotals="1" fieldPosition="0"/>
    </format>
    <format dxfId="1828">
      <pivotArea type="all" dataOnly="0" outline="0" fieldPosition="0"/>
    </format>
    <format dxfId="1827">
      <pivotArea outline="0" collapsedLevelsAreSubtotals="1" fieldPosition="0"/>
    </format>
    <format dxfId="1826">
      <pivotArea dataOnly="0" labelOnly="1" grandRow="1" outline="0" fieldPosition="0"/>
    </format>
    <format dxfId="1825">
      <pivotArea type="all" dataOnly="0" outline="0" fieldPosition="0"/>
    </format>
    <format dxfId="1824">
      <pivotArea outline="0" collapsedLevelsAreSubtotals="1" fieldPosition="0"/>
    </format>
    <format dxfId="1823">
      <pivotArea dataOnly="0" labelOnly="1" grandRow="1" outline="0" fieldPosition="0"/>
    </format>
    <format dxfId="1822">
      <pivotArea type="all" dataOnly="0" outline="0" fieldPosition="0"/>
    </format>
    <format dxfId="1821">
      <pivotArea outline="0" collapsedLevelsAreSubtotals="1" fieldPosition="0"/>
    </format>
    <format dxfId="1820">
      <pivotArea outline="0" collapsedLevelsAreSubtotals="1" fieldPosition="0"/>
    </format>
    <format dxfId="1819">
      <pivotArea type="all" dataOnly="0" outline="0" fieldPosition="0"/>
    </format>
    <format dxfId="1818">
      <pivotArea outline="0" collapsedLevelsAreSubtotals="1" fieldPosition="0"/>
    </format>
    <format dxfId="1817">
      <pivotArea field="70" type="button" dataOnly="0" labelOnly="1" outline="0"/>
    </format>
    <format dxfId="1816">
      <pivotArea dataOnly="0" labelOnly="1" grandRow="1" outline="0" fieldPosition="0"/>
    </format>
    <format dxfId="1815">
      <pivotArea type="all" dataOnly="0" outline="0" fieldPosition="0"/>
    </format>
    <format dxfId="1814">
      <pivotArea outline="0" collapsedLevelsAreSubtotals="1" fieldPosition="0"/>
    </format>
    <format dxfId="1813">
      <pivotArea field="70" type="button" dataOnly="0" labelOnly="1" outline="0"/>
    </format>
    <format dxfId="1812">
      <pivotArea dataOnly="0" labelOnly="1" grandRow="1" outline="0" fieldPosition="0"/>
    </format>
    <format dxfId="1811">
      <pivotArea type="all" dataOnly="0" outline="0" fieldPosition="0"/>
    </format>
    <format dxfId="1810">
      <pivotArea outline="0" collapsedLevelsAreSubtotals="1" fieldPosition="0"/>
    </format>
    <format dxfId="1809">
      <pivotArea field="70" type="button" dataOnly="0" labelOnly="1" outline="0"/>
    </format>
    <format dxfId="180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9FDCD149-6686-4A9C-9146-F6C00472B180}" name="PivotTable80"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89:C406" firstHeaderRow="1" firstDataRow="1" firstDataCol="1" rowPageCount="3" colPageCount="1"/>
  <pivotFields count="84">
    <pivotField showAll="0" defaultSubtotal="0"/>
    <pivotField axis="axisPage" multipleItemSelectionAllowed="1" showAll="0" defaultSubtotal="0">
      <items count="5">
        <item x="1"/>
        <item x="2"/>
        <item x="3"/>
        <item h="1" x="4"/>
        <item h="1" x="0"/>
      </items>
    </pivotField>
    <pivotField axis="axisPage" multipleItemSelectionAllowed="1" showAll="0" defaultSubtotal="0">
      <items count="2">
        <item h="1"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17">
    <i>
      <x/>
    </i>
    <i>
      <x v="1"/>
    </i>
    <i>
      <x v="2"/>
    </i>
    <i>
      <x v="3"/>
    </i>
    <i>
      <x v="4"/>
    </i>
    <i>
      <x v="5"/>
    </i>
    <i>
      <x v="6"/>
    </i>
    <i>
      <x v="7"/>
    </i>
    <i>
      <x v="8"/>
    </i>
    <i>
      <x v="9"/>
    </i>
    <i>
      <x v="12"/>
    </i>
    <i>
      <x v="13"/>
    </i>
    <i>
      <x v="14"/>
    </i>
    <i>
      <x v="15"/>
    </i>
    <i>
      <x v="16"/>
    </i>
    <i>
      <x v="17"/>
    </i>
    <i t="grand">
      <x/>
    </i>
  </rowItems>
  <colItems count="1">
    <i/>
  </colItems>
  <pageFields count="3">
    <pageField fld="7" hier="-1"/>
    <pageField fld="2" hier="-1"/>
    <pageField fld="1" hier="-1"/>
  </pageFields>
  <dataFields count="1">
    <dataField name="Sum of Net Dwellings" fld="43" baseField="0" baseItem="0"/>
  </dataFields>
  <formats count="41">
    <format dxfId="1883">
      <pivotArea type="all" dataOnly="0" outline="0" fieldPosition="0"/>
    </format>
    <format dxfId="1882">
      <pivotArea type="all" dataOnly="0" outline="0" fieldPosition="0"/>
    </format>
    <format dxfId="1881">
      <pivotArea type="all" dataOnly="0" outline="0" fieldPosition="0"/>
    </format>
    <format dxfId="1880">
      <pivotArea type="all" dataOnly="0" outline="0" fieldPosition="0"/>
    </format>
    <format dxfId="1879">
      <pivotArea type="all" dataOnly="0" outline="0" fieldPosition="0"/>
    </format>
    <format dxfId="1878">
      <pivotArea type="all" dataOnly="0" outline="0" fieldPosition="0"/>
    </format>
    <format dxfId="1877">
      <pivotArea type="all" dataOnly="0" outline="0" fieldPosition="0"/>
    </format>
    <format dxfId="1876">
      <pivotArea dataOnly="0" labelOnly="1" outline="0" fieldPosition="0">
        <references count="1">
          <reference field="4294967294" count="1">
            <x v="0"/>
          </reference>
        </references>
      </pivotArea>
    </format>
    <format dxfId="1875">
      <pivotArea dataOnly="0" labelOnly="1" outline="0" fieldPosition="0">
        <references count="1">
          <reference field="4294967294" count="1">
            <x v="0"/>
          </reference>
        </references>
      </pivotArea>
    </format>
    <format dxfId="1874">
      <pivotArea dataOnly="0" labelOnly="1" outline="0" fieldPosition="0">
        <references count="1">
          <reference field="4294967294" count="1">
            <x v="0"/>
          </reference>
        </references>
      </pivotArea>
    </format>
    <format dxfId="1873">
      <pivotArea type="all" dataOnly="0" outline="0" fieldPosition="0"/>
    </format>
    <format dxfId="1872">
      <pivotArea type="all" dataOnly="0" outline="0" fieldPosition="0"/>
    </format>
    <format dxfId="1871">
      <pivotArea type="all" dataOnly="0" outline="0" fieldPosition="0"/>
    </format>
    <format dxfId="1870">
      <pivotArea type="all" dataOnly="0" outline="0" fieldPosition="0"/>
    </format>
    <format dxfId="1869">
      <pivotArea outline="0" collapsedLevelsAreSubtotals="1" fieldPosition="0"/>
    </format>
    <format dxfId="1868">
      <pivotArea dataOnly="0" labelOnly="1" grandRow="1" outline="0" fieldPosition="0"/>
    </format>
    <format dxfId="1867">
      <pivotArea dataOnly="0" labelOnly="1" outline="0" axis="axisValues" fieldPosition="0"/>
    </format>
    <format dxfId="1866">
      <pivotArea type="all" dataOnly="0" outline="0" fieldPosition="0"/>
    </format>
    <format dxfId="1865">
      <pivotArea outline="0" collapsedLevelsAreSubtotals="1" fieldPosition="0"/>
    </format>
    <format dxfId="1864">
      <pivotArea dataOnly="0" labelOnly="1" grandRow="1" outline="0" fieldPosition="0"/>
    </format>
    <format dxfId="1863">
      <pivotArea dataOnly="0" labelOnly="1" outline="0" axis="axisValues" fieldPosition="0"/>
    </format>
    <format dxfId="1862">
      <pivotArea type="all" dataOnly="0" outline="0" fieldPosition="0"/>
    </format>
    <format dxfId="1861">
      <pivotArea outline="0" collapsedLevelsAreSubtotals="1" fieldPosition="0"/>
    </format>
    <format dxfId="1860">
      <pivotArea dataOnly="0" labelOnly="1" grandRow="1" outline="0" fieldPosition="0"/>
    </format>
    <format dxfId="1859">
      <pivotArea dataOnly="0" labelOnly="1" outline="0" axis="axisValues" fieldPosition="0"/>
    </format>
    <format dxfId="1858">
      <pivotArea type="all" dataOnly="0" outline="0" fieldPosition="0"/>
    </format>
    <format dxfId="1857">
      <pivotArea outline="0" collapsedLevelsAreSubtotals="1" fieldPosition="0"/>
    </format>
    <format dxfId="1856">
      <pivotArea field="70" type="button" dataOnly="0" labelOnly="1" outline="0" axis="axisRow" fieldPosition="0"/>
    </format>
    <format dxfId="1855">
      <pivotArea dataOnly="0" labelOnly="1" grandRow="1" outline="0" fieldPosition="0"/>
    </format>
    <format dxfId="1854">
      <pivotArea dataOnly="0" labelOnly="1" outline="0" axis="axisValues" fieldPosition="0"/>
    </format>
    <format dxfId="1853">
      <pivotArea type="all" dataOnly="0" outline="0" fieldPosition="0"/>
    </format>
    <format dxfId="1852">
      <pivotArea outline="0" collapsedLevelsAreSubtotals="1" fieldPosition="0"/>
    </format>
    <format dxfId="1851">
      <pivotArea field="70" type="button" dataOnly="0" labelOnly="1" outline="0" axis="axisRow" fieldPosition="0"/>
    </format>
    <format dxfId="1850">
      <pivotArea dataOnly="0" labelOnly="1" grandRow="1" outline="0" fieldPosition="0"/>
    </format>
    <format dxfId="1849">
      <pivotArea dataOnly="0" labelOnly="1" outline="0" axis="axisValues" fieldPosition="0"/>
    </format>
    <format dxfId="1848">
      <pivotArea type="all" dataOnly="0" outline="0" fieldPosition="0"/>
    </format>
    <format dxfId="1847">
      <pivotArea outline="0" collapsedLevelsAreSubtotals="1" fieldPosition="0"/>
    </format>
    <format dxfId="1846">
      <pivotArea field="70" type="button" dataOnly="0" labelOnly="1" outline="0" axis="axisRow" fieldPosition="0"/>
    </format>
    <format dxfId="1845">
      <pivotArea dataOnly="0" labelOnly="1" fieldPosition="0">
        <references count="1">
          <reference field="70" count="12">
            <x v="0"/>
            <x v="1"/>
            <x v="2"/>
            <x v="4"/>
            <x v="7"/>
            <x v="9"/>
            <x v="11"/>
            <x v="12"/>
            <x v="13"/>
            <x v="15"/>
            <x v="16"/>
            <x v="17"/>
          </reference>
        </references>
      </pivotArea>
    </format>
    <format dxfId="1844">
      <pivotArea dataOnly="0" labelOnly="1" grandRow="1" outline="0" fieldPosition="0"/>
    </format>
    <format dxfId="184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0A4C8F3F-8D0D-4536-B6B0-A2C80E025927}" name="PivotTable86" cacheId="0" applyNumberFormats="0" applyBorderFormats="0" applyFontFormats="0" applyPatternFormats="0" applyAlignmentFormats="0" applyWidthHeightFormats="1" dataCaption="Values" updatedVersion="8" minRefreshableVersion="3" itemPrintTitles="1" createdVersion="4" indent="0" outline="1" outlineData="1" multipleFieldFilters="0" rowHeaderCaption="SELECT SITES">
  <location ref="E7:F18" firstHeaderRow="1" firstDataRow="1" firstDataCol="1" rowPageCount="1" colPageCount="1"/>
  <pivotFields count="84">
    <pivotField showAll="0"/>
    <pivotField multipleItemSelectionAllowed="1" showAll="0" defaultSubtotal="0"/>
    <pivotField multipleItemSelectionAllowed="1" showAll="0"/>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h="1" x="0"/>
        <item h="1" x="1"/>
        <item h="1" x="2"/>
        <item h="1" x="3"/>
        <item x="6"/>
        <item x="4"/>
        <item x="5"/>
        <item t="default"/>
      </items>
    </pivotField>
    <pivotField showAll="0"/>
    <pivotField axis="axisRow" showAll="0" sortType="ascending">
      <items count="16">
        <item x="5"/>
        <item x="9"/>
        <item x="4"/>
        <item x="7"/>
        <item h="1" x="13"/>
        <item h="1" x="1"/>
        <item x="2"/>
        <item x="14"/>
        <item x="8"/>
        <item x="6"/>
        <item x="10"/>
        <item x="3"/>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9"/>
  </rowFields>
  <rowItems count="11">
    <i>
      <x/>
    </i>
    <i>
      <x v="1"/>
    </i>
    <i>
      <x v="2"/>
    </i>
    <i>
      <x v="3"/>
    </i>
    <i>
      <x v="7"/>
    </i>
    <i>
      <x v="8"/>
    </i>
    <i>
      <x v="9"/>
    </i>
    <i>
      <x v="10"/>
    </i>
    <i>
      <x v="12"/>
    </i>
    <i>
      <x v="13"/>
    </i>
    <i t="grand">
      <x/>
    </i>
  </rowItems>
  <colItems count="1">
    <i/>
  </colItems>
  <pageFields count="1">
    <pageField fld="7" hier="-1"/>
  </pageFields>
  <dataFields count="1">
    <dataField name="Sum of 2024-2028 Total" fld="62" baseField="14" baseItem="1"/>
  </dataFields>
  <formats count="76">
    <format dxfId="1959">
      <pivotArea type="all" dataOnly="0" outline="0" fieldPosition="0"/>
    </format>
    <format dxfId="1958">
      <pivotArea type="all" dataOnly="0" outline="0" fieldPosition="0"/>
    </format>
    <format dxfId="1957">
      <pivotArea type="all" dataOnly="0" outline="0" fieldPosition="0"/>
    </format>
    <format dxfId="1956">
      <pivotArea type="all" dataOnly="0" outline="0" fieldPosition="0"/>
    </format>
    <format dxfId="1955">
      <pivotArea type="all" dataOnly="0" outline="0" fieldPosition="0"/>
    </format>
    <format dxfId="1954">
      <pivotArea type="all" dataOnly="0" outline="0" fieldPosition="0"/>
    </format>
    <format dxfId="1953">
      <pivotArea type="all" dataOnly="0" outline="0" fieldPosition="0"/>
    </format>
    <format dxfId="1952">
      <pivotArea type="all" dataOnly="0" outline="0" fieldPosition="0"/>
    </format>
    <format dxfId="1951">
      <pivotArea type="all" dataOnly="0" outline="0" fieldPosition="0"/>
    </format>
    <format dxfId="1950">
      <pivotArea type="all" dataOnly="0" outline="0" fieldPosition="0"/>
    </format>
    <format dxfId="1949">
      <pivotArea type="all" dataOnly="0" outline="0" fieldPosition="0"/>
    </format>
    <format dxfId="1948">
      <pivotArea outline="0" collapsedLevelsAreSubtotals="1" fieldPosition="0"/>
    </format>
    <format dxfId="1947">
      <pivotArea dataOnly="0" labelOnly="1" outline="0" axis="axisValues" fieldPosition="0"/>
    </format>
    <format dxfId="1946">
      <pivotArea type="all" dataOnly="0" outline="0" fieldPosition="0"/>
    </format>
    <format dxfId="1945">
      <pivotArea outline="0" collapsedLevelsAreSubtotals="1" fieldPosition="0"/>
    </format>
    <format dxfId="1944">
      <pivotArea dataOnly="0" labelOnly="1" grandRow="1" outline="0" fieldPosition="0"/>
    </format>
    <format dxfId="1943">
      <pivotArea dataOnly="0" labelOnly="1" outline="0" axis="axisValues" fieldPosition="0"/>
    </format>
    <format dxfId="1942">
      <pivotArea type="all" dataOnly="0" outline="0" fieldPosition="0"/>
    </format>
    <format dxfId="1941">
      <pivotArea outline="0" collapsedLevelsAreSubtotals="1" fieldPosition="0"/>
    </format>
    <format dxfId="1940">
      <pivotArea dataOnly="0" labelOnly="1" grandRow="1" outline="0" fieldPosition="0"/>
    </format>
    <format dxfId="1939">
      <pivotArea dataOnly="0" labelOnly="1" outline="0" axis="axisValues" fieldPosition="0"/>
    </format>
    <format dxfId="1938">
      <pivotArea type="all" dataOnly="0" outline="0" fieldPosition="0"/>
    </format>
    <format dxfId="1937">
      <pivotArea type="all" dataOnly="0" outline="0" fieldPosition="0"/>
    </format>
    <format dxfId="1936">
      <pivotArea outline="0" collapsedLevelsAreSubtotals="1" fieldPosition="0"/>
    </format>
    <format dxfId="1935">
      <pivotArea dataOnly="0" labelOnly="1" grandRow="1" outline="0" fieldPosition="0"/>
    </format>
    <format dxfId="1934">
      <pivotArea dataOnly="0" labelOnly="1" outline="0" axis="axisValues" fieldPosition="0"/>
    </format>
    <format dxfId="1933">
      <pivotArea type="all" dataOnly="0" outline="0" fieldPosition="0"/>
    </format>
    <format dxfId="1932">
      <pivotArea outline="0" collapsedLevelsAreSubtotals="1" fieldPosition="0"/>
    </format>
    <format dxfId="1931">
      <pivotArea dataOnly="0" labelOnly="1" grandRow="1" outline="0" fieldPosition="0"/>
    </format>
    <format dxfId="1930">
      <pivotArea dataOnly="0" labelOnly="1" outline="0" axis="axisValues" fieldPosition="0"/>
    </format>
    <format dxfId="1929">
      <pivotArea type="all" dataOnly="0" outline="0" fieldPosition="0"/>
    </format>
    <format dxfId="1928">
      <pivotArea outline="0" collapsedLevelsAreSubtotals="1" fieldPosition="0"/>
    </format>
    <format dxfId="1927">
      <pivotArea dataOnly="0" labelOnly="1" grandRow="1" outline="0" fieldPosition="0"/>
    </format>
    <format dxfId="1926">
      <pivotArea dataOnly="0" labelOnly="1" outline="0" axis="axisValues" fieldPosition="0"/>
    </format>
    <format dxfId="1925">
      <pivotArea type="all" dataOnly="0" outline="0" fieldPosition="0"/>
    </format>
    <format dxfId="1924">
      <pivotArea outline="0" collapsedLevelsAreSubtotals="1" fieldPosition="0"/>
    </format>
    <format dxfId="1923">
      <pivotArea dataOnly="0" labelOnly="1" grandRow="1" outline="0" fieldPosition="0"/>
    </format>
    <format dxfId="1922">
      <pivotArea dataOnly="0" labelOnly="1" outline="0" axis="axisValues" fieldPosition="0"/>
    </format>
    <format dxfId="1921">
      <pivotArea type="all" dataOnly="0" outline="0" fieldPosition="0"/>
    </format>
    <format dxfId="1920">
      <pivotArea outline="0" collapsedLevelsAreSubtotals="1" fieldPosition="0"/>
    </format>
    <format dxfId="1919">
      <pivotArea dataOnly="0" labelOnly="1" grandRow="1" outline="0" fieldPosition="0"/>
    </format>
    <format dxfId="1918">
      <pivotArea dataOnly="0" labelOnly="1" outline="0" axis="axisValues" fieldPosition="0"/>
    </format>
    <format dxfId="1917">
      <pivotArea type="all" dataOnly="0" outline="0" fieldPosition="0"/>
    </format>
    <format dxfId="1916">
      <pivotArea outline="0" collapsedLevelsAreSubtotals="1" fieldPosition="0"/>
    </format>
    <format dxfId="1915">
      <pivotArea dataOnly="0" labelOnly="1" grandRow="1" outline="0" fieldPosition="0"/>
    </format>
    <format dxfId="1914">
      <pivotArea dataOnly="0" labelOnly="1" outline="0" axis="axisValues" fieldPosition="0"/>
    </format>
    <format dxfId="1913">
      <pivotArea type="all" dataOnly="0" outline="0" fieldPosition="0"/>
    </format>
    <format dxfId="1912">
      <pivotArea outline="0" collapsedLevelsAreSubtotals="1" fieldPosition="0"/>
    </format>
    <format dxfId="1911">
      <pivotArea dataOnly="0" labelOnly="1" grandRow="1" outline="0" fieldPosition="0"/>
    </format>
    <format dxfId="1910">
      <pivotArea dataOnly="0" labelOnly="1" outline="0" axis="axisValues" fieldPosition="0"/>
    </format>
    <format dxfId="1909">
      <pivotArea type="all" dataOnly="0" outline="0" fieldPosition="0"/>
    </format>
    <format dxfId="1908">
      <pivotArea outline="0" collapsedLevelsAreSubtotals="1" fieldPosition="0"/>
    </format>
    <format dxfId="1907">
      <pivotArea dataOnly="0" labelOnly="1" grandRow="1" outline="0" fieldPosition="0"/>
    </format>
    <format dxfId="1906">
      <pivotArea dataOnly="0" labelOnly="1" outline="0" axis="axisValues" fieldPosition="0"/>
    </format>
    <format dxfId="1905">
      <pivotArea type="all" dataOnly="0" outline="0" fieldPosition="0"/>
    </format>
    <format dxfId="1904">
      <pivotArea type="all" dataOnly="0" outline="0" fieldPosition="0"/>
    </format>
    <format dxfId="1903">
      <pivotArea dataOnly="0" labelOnly="1" grandRow="1" outline="0" fieldPosition="0"/>
    </format>
    <format dxfId="1902">
      <pivotArea dataOnly="0" labelOnly="1" grandRow="1" outline="0" fieldPosition="0"/>
    </format>
    <format dxfId="1901">
      <pivotArea dataOnly="0" labelOnly="1" outline="0" fieldPosition="0">
        <references count="1">
          <reference field="7" count="0"/>
        </references>
      </pivotArea>
    </format>
    <format dxfId="1900">
      <pivotArea type="all" dataOnly="0" outline="0" fieldPosition="0"/>
    </format>
    <format dxfId="1899">
      <pivotArea outline="0" collapsedLevelsAreSubtotals="1" fieldPosition="0"/>
    </format>
    <format dxfId="1898">
      <pivotArea field="9" type="button" dataOnly="0" labelOnly="1" outline="0" axis="axisRow" fieldPosition="0"/>
    </format>
    <format dxfId="1897">
      <pivotArea dataOnly="0" labelOnly="1" grandRow="1" outline="0" fieldPosition="0"/>
    </format>
    <format dxfId="1896">
      <pivotArea dataOnly="0" labelOnly="1" outline="0" axis="axisValues" fieldPosition="0"/>
    </format>
    <format dxfId="1895">
      <pivotArea type="all" dataOnly="0" outline="0" fieldPosition="0"/>
    </format>
    <format dxfId="1894">
      <pivotArea type="all" dataOnly="0" outline="0" fieldPosition="0"/>
    </format>
    <format dxfId="1893">
      <pivotArea collapsedLevelsAreSubtotals="1" fieldPosition="0">
        <references count="1">
          <reference field="9" count="1">
            <x v="14"/>
          </reference>
        </references>
      </pivotArea>
    </format>
    <format dxfId="1892">
      <pivotArea type="all" dataOnly="0" outline="0" fieldPosition="0"/>
    </format>
    <format dxfId="1891">
      <pivotArea outline="0" collapsedLevelsAreSubtotals="1" fieldPosition="0"/>
    </format>
    <format dxfId="1890">
      <pivotArea field="9" type="button" dataOnly="0" labelOnly="1" outline="0" axis="axisRow" fieldPosition="0"/>
    </format>
    <format dxfId="1889">
      <pivotArea type="all" dataOnly="0" outline="0" fieldPosition="0"/>
    </format>
    <format dxfId="1888">
      <pivotArea outline="0" collapsedLevelsAreSubtotals="1" fieldPosition="0"/>
    </format>
    <format dxfId="1887">
      <pivotArea field="9" type="button" dataOnly="0" labelOnly="1" outline="0" axis="axisRow" fieldPosition="0"/>
    </format>
    <format dxfId="1886">
      <pivotArea dataOnly="0" labelOnly="1" grandRow="1" outline="0" fieldPosition="0"/>
    </format>
    <format dxfId="1885">
      <pivotArea dataOnly="0" labelOnly="1" outline="0" axis="axisValues" fieldPosition="0"/>
    </format>
    <format dxfId="1884">
      <pivotArea dataOnly="0" labelOnly="1" fieldPosition="0">
        <references count="1">
          <reference field="9" count="9">
            <x v="0"/>
            <x v="1"/>
            <x v="2"/>
            <x v="3"/>
            <x v="8"/>
            <x v="9"/>
            <x v="10"/>
            <x v="12"/>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7EDDCA19-42BB-459D-A797-EA4854C7255F}" name="PivotTable25"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566:H568" firstHeaderRow="1" firstDataRow="2" firstDataCol="1"/>
  <pivotFields count="84">
    <pivotField showAll="0" defaultSubtotal="0"/>
    <pivotField multipleItemSelectionAllowed="1" showAll="0" defaultSubtotal="0"/>
    <pivotField multipleItemSelectionAllowed="1"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multipleItemSelectionAllowed="1" showAll="0" defaultSubtotal="0"/>
    <pivotField multipleItemSelectionAllowed="1" showAll="0" defaultSubtotal="0"/>
    <pivotField showAll="0"/>
    <pivotField dataField="1" showAll="0"/>
    <pivotField axis="axisCol" showAll="0">
      <items count="7">
        <item x="1"/>
        <item x="2"/>
        <item x="5"/>
        <item x="0"/>
        <item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showAll="0">
      <items count="24">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t="default"/>
      </items>
    </pivotField>
  </pivotFields>
  <rowItems count="1">
    <i/>
  </rowItems>
  <colFields count="1">
    <field x="11"/>
  </colFields>
  <colItems count="6">
    <i>
      <x/>
    </i>
    <i>
      <x v="1"/>
    </i>
    <i>
      <x v="2"/>
    </i>
    <i>
      <x v="3"/>
    </i>
    <i>
      <x v="4"/>
    </i>
    <i t="grand">
      <x/>
    </i>
  </colItems>
  <dataFields count="1">
    <dataField name="Average of approval to completion" fld="10" subtotal="average" baseField="0" baseItem="32" numFmtId="164"/>
  </dataFields>
  <formats count="37">
    <format dxfId="1996">
      <pivotArea type="all" dataOnly="0" outline="0" fieldPosition="0"/>
    </format>
    <format dxfId="1995">
      <pivotArea type="all" dataOnly="0" outline="0" fieldPosition="0"/>
    </format>
    <format dxfId="1994">
      <pivotArea type="all" dataOnly="0" outline="0" fieldPosition="0"/>
    </format>
    <format dxfId="1993">
      <pivotArea type="all" dataOnly="0" outline="0" fieldPosition="0"/>
    </format>
    <format dxfId="1992">
      <pivotArea type="all" dataOnly="0" outline="0" fieldPosition="0"/>
    </format>
    <format dxfId="1991">
      <pivotArea type="all" dataOnly="0" outline="0" fieldPosition="0"/>
    </format>
    <format dxfId="1990">
      <pivotArea type="all" dataOnly="0" outline="0" fieldPosition="0"/>
    </format>
    <format dxfId="1989">
      <pivotArea type="all" dataOnly="0" outline="0" fieldPosition="0"/>
    </format>
    <format dxfId="1988">
      <pivotArea type="all" dataOnly="0" outline="0" fieldPosition="0"/>
    </format>
    <format dxfId="1987">
      <pivotArea type="all" dataOnly="0" outline="0" fieldPosition="0"/>
    </format>
    <format dxfId="1986">
      <pivotArea type="all" dataOnly="0" outline="0" fieldPosition="0"/>
    </format>
    <format dxfId="1985">
      <pivotArea outline="0" collapsedLevelsAreSubtotals="1" fieldPosition="0"/>
    </format>
    <format dxfId="1984">
      <pivotArea dataOnly="0" labelOnly="1" grandRow="1" outline="0" fieldPosition="0"/>
    </format>
    <format dxfId="1983">
      <pivotArea dataOnly="0" labelOnly="1" outline="0" axis="axisValues" fieldPosition="0"/>
    </format>
    <format dxfId="1982">
      <pivotArea type="all" dataOnly="0" outline="0" fieldPosition="0"/>
    </format>
    <format dxfId="1981">
      <pivotArea outline="0" collapsedLevelsAreSubtotals="1" fieldPosition="0"/>
    </format>
    <format dxfId="1980">
      <pivotArea dataOnly="0" labelOnly="1" grandRow="1" outline="0" fieldPosition="0"/>
    </format>
    <format dxfId="1979">
      <pivotArea dataOnly="0" labelOnly="1" outline="0" axis="axisValues" fieldPosition="0"/>
    </format>
    <format dxfId="1978">
      <pivotArea type="all" dataOnly="0" outline="0" fieldPosition="0"/>
    </format>
    <format dxfId="1977">
      <pivotArea outline="0" collapsedLevelsAreSubtotals="1" fieldPosition="0"/>
    </format>
    <format dxfId="1976">
      <pivotArea dataOnly="0" labelOnly="1" grandRow="1" outline="0" fieldPosition="0"/>
    </format>
    <format dxfId="1975">
      <pivotArea dataOnly="0" labelOnly="1" outline="0" axis="axisValues" fieldPosition="0"/>
    </format>
    <format dxfId="1974">
      <pivotArea type="all" dataOnly="0" outline="0" fieldPosition="0"/>
    </format>
    <format dxfId="1973">
      <pivotArea outline="0" collapsedLevelsAreSubtotals="1" fieldPosition="0"/>
    </format>
    <format dxfId="1972">
      <pivotArea field="70" type="button" dataOnly="0" labelOnly="1" outline="0"/>
    </format>
    <format dxfId="1971">
      <pivotArea dataOnly="0" labelOnly="1" grandRow="1" outline="0" fieldPosition="0"/>
    </format>
    <format dxfId="1970">
      <pivotArea dataOnly="0" labelOnly="1" outline="0" axis="axisValues" fieldPosition="0"/>
    </format>
    <format dxfId="1969">
      <pivotArea type="all" dataOnly="0" outline="0" fieldPosition="0"/>
    </format>
    <format dxfId="1968">
      <pivotArea outline="0" collapsedLevelsAreSubtotals="1" fieldPosition="0"/>
    </format>
    <format dxfId="1967">
      <pivotArea field="70" type="button" dataOnly="0" labelOnly="1" outline="0"/>
    </format>
    <format dxfId="1966">
      <pivotArea dataOnly="0" labelOnly="1" grandRow="1" outline="0" fieldPosition="0"/>
    </format>
    <format dxfId="1965">
      <pivotArea dataOnly="0" labelOnly="1" outline="0" axis="axisValues" fieldPosition="0"/>
    </format>
    <format dxfId="1964">
      <pivotArea type="all" dataOnly="0" outline="0" fieldPosition="0"/>
    </format>
    <format dxfId="1963">
      <pivotArea outline="0" collapsedLevelsAreSubtotals="1" fieldPosition="0"/>
    </format>
    <format dxfId="1962">
      <pivotArea field="70" type="button" dataOnly="0" labelOnly="1" outline="0"/>
    </format>
    <format dxfId="1961">
      <pivotArea dataOnly="0" labelOnly="1" grandRow="1" outline="0" fieldPosition="0"/>
    </format>
    <format dxfId="196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0290162D-FE90-4426-B75A-39F1AD27B215}" name="PivotTable45"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15:B116" firstHeaderRow="1" firstDataRow="1" firstDataCol="0" rowPageCount="2" colPageCount="1"/>
  <pivotFields count="84">
    <pivotField showAll="0" defaultSubtotal="0"/>
    <pivotField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h="1" x="5"/>
        <item h="1" x="6"/>
        <item h="1" x="2"/>
        <item h="1" x="3"/>
        <item h="1" x="1"/>
        <item h="1" x="4"/>
        <item h="1" x="7"/>
        <item x="0"/>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2">
    <pageField fld="7" hier="-1"/>
    <pageField fld="8" hier="-1"/>
  </pageFields>
  <dataFields count="1">
    <dataField name="Sum of Net Dwellings" fld="43" baseField="0" baseItem="0"/>
  </dataFields>
  <formats count="40">
    <format dxfId="2036">
      <pivotArea type="all" dataOnly="0" outline="0" fieldPosition="0"/>
    </format>
    <format dxfId="2035">
      <pivotArea type="all" dataOnly="0" outline="0" fieldPosition="0"/>
    </format>
    <format dxfId="2034">
      <pivotArea type="all" dataOnly="0" outline="0" fieldPosition="0"/>
    </format>
    <format dxfId="2033">
      <pivotArea type="all" dataOnly="0" outline="0" fieldPosition="0"/>
    </format>
    <format dxfId="2032">
      <pivotArea type="all" dataOnly="0" outline="0" fieldPosition="0"/>
    </format>
    <format dxfId="2031">
      <pivotArea type="all" dataOnly="0" outline="0" fieldPosition="0"/>
    </format>
    <format dxfId="2030">
      <pivotArea type="all" dataOnly="0" outline="0" fieldPosition="0"/>
    </format>
    <format dxfId="2029">
      <pivotArea type="all" dataOnly="0" outline="0" fieldPosition="0"/>
    </format>
    <format dxfId="2028">
      <pivotArea type="all" dataOnly="0" outline="0" fieldPosition="0"/>
    </format>
    <format dxfId="2027">
      <pivotArea type="all" dataOnly="0" outline="0" fieldPosition="0"/>
    </format>
    <format dxfId="2026">
      <pivotArea type="all" dataOnly="0" outline="0" fieldPosition="0"/>
    </format>
    <format dxfId="2025">
      <pivotArea outline="0" collapsedLevelsAreSubtotals="1" fieldPosition="0"/>
    </format>
    <format dxfId="2024">
      <pivotArea dataOnly="0" labelOnly="1" outline="0" axis="axisValues" fieldPosition="0"/>
    </format>
    <format dxfId="2023">
      <pivotArea type="all" dataOnly="0" outline="0" fieldPosition="0"/>
    </format>
    <format dxfId="2022">
      <pivotArea outline="0" collapsedLevelsAreSubtotals="1" fieldPosition="0"/>
    </format>
    <format dxfId="2021">
      <pivotArea dataOnly="0" labelOnly="1" outline="0" axis="axisValues" fieldPosition="0"/>
    </format>
    <format dxfId="2020">
      <pivotArea type="all" dataOnly="0" outline="0" fieldPosition="0"/>
    </format>
    <format dxfId="2019">
      <pivotArea outline="0" collapsedLevelsAreSubtotals="1" fieldPosition="0"/>
    </format>
    <format dxfId="2018">
      <pivotArea dataOnly="0" labelOnly="1" outline="0" axis="axisValues" fieldPosition="0"/>
    </format>
    <format dxfId="2017">
      <pivotArea type="all" dataOnly="0" outline="0" fieldPosition="0"/>
    </format>
    <format dxfId="2016">
      <pivotArea outline="0" collapsedLevelsAreSubtotals="1" fieldPosition="0"/>
    </format>
    <format dxfId="2015">
      <pivotArea dataOnly="0" labelOnly="1" outline="0" axis="axisValues" fieldPosition="0"/>
    </format>
    <format dxfId="2014">
      <pivotArea type="all" dataOnly="0" outline="0" fieldPosition="0"/>
    </format>
    <format dxfId="2013">
      <pivotArea outline="0" collapsedLevelsAreSubtotals="1" fieldPosition="0"/>
    </format>
    <format dxfId="2012">
      <pivotArea dataOnly="0" labelOnly="1" outline="0" axis="axisValues" fieldPosition="0"/>
    </format>
    <format dxfId="2011">
      <pivotArea type="all" dataOnly="0" outline="0" fieldPosition="0"/>
    </format>
    <format dxfId="2010">
      <pivotArea outline="0" collapsedLevelsAreSubtotals="1" fieldPosition="0"/>
    </format>
    <format dxfId="2009">
      <pivotArea dataOnly="0" labelOnly="1" outline="0" axis="axisValues" fieldPosition="0"/>
    </format>
    <format dxfId="2008">
      <pivotArea type="all" dataOnly="0" outline="0" fieldPosition="0"/>
    </format>
    <format dxfId="2007">
      <pivotArea outline="0" collapsedLevelsAreSubtotals="1" fieldPosition="0"/>
    </format>
    <format dxfId="2006">
      <pivotArea dataOnly="0" labelOnly="1" outline="0" axis="axisValues" fieldPosition="0"/>
    </format>
    <format dxfId="2005">
      <pivotArea type="all" dataOnly="0" outline="0" fieldPosition="0"/>
    </format>
    <format dxfId="2004">
      <pivotArea outline="0" collapsedLevelsAreSubtotals="1" fieldPosition="0"/>
    </format>
    <format dxfId="2003">
      <pivotArea type="all" dataOnly="0" outline="0" fieldPosition="0"/>
    </format>
    <format dxfId="2002">
      <pivotArea outline="0" collapsedLevelsAreSubtotals="1" fieldPosition="0"/>
    </format>
    <format dxfId="2001">
      <pivotArea outline="0" collapsedLevelsAreSubtotals="1" fieldPosition="0"/>
    </format>
    <format dxfId="2000">
      <pivotArea type="all" dataOnly="0" outline="0" fieldPosition="0"/>
    </format>
    <format dxfId="1999">
      <pivotArea type="all" dataOnly="0" outline="0" fieldPosition="0"/>
    </format>
    <format dxfId="1998">
      <pivotArea outline="0" collapsedLevelsAreSubtotals="1" fieldPosition="0"/>
    </format>
    <format dxfId="199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36D3454E-CCA8-4999-A52B-88F9AE0C78F0}" name="PivotTable61"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01:B202" firstHeaderRow="1" firstDataRow="1" firstDataCol="0" rowPageCount="3"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h="1" x="0"/>
        <item x="5"/>
        <item h="1" x="6"/>
        <item h="1" x="2"/>
        <item h="1" x="3"/>
        <item h="1" x="1"/>
        <item h="1" x="7"/>
        <item h="1" x="4"/>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3">
    <pageField fld="7" hier="-1"/>
    <pageField fld="1" hier="-1"/>
    <pageField fld="8" hier="-1"/>
  </pageFields>
  <dataFields count="1">
    <dataField name="Sum of Units Proposed" fld="34" baseField="0" baseItem="0"/>
  </dataFields>
  <formats count="40">
    <format dxfId="2076">
      <pivotArea type="all" dataOnly="0" outline="0" fieldPosition="0"/>
    </format>
    <format dxfId="2075">
      <pivotArea type="all" dataOnly="0" outline="0" fieldPosition="0"/>
    </format>
    <format dxfId="2074">
      <pivotArea type="all" dataOnly="0" outline="0" fieldPosition="0"/>
    </format>
    <format dxfId="2073">
      <pivotArea type="all" dataOnly="0" outline="0" fieldPosition="0"/>
    </format>
    <format dxfId="2072">
      <pivotArea type="all" dataOnly="0" outline="0" fieldPosition="0"/>
    </format>
    <format dxfId="2071">
      <pivotArea type="all" dataOnly="0" outline="0" fieldPosition="0"/>
    </format>
    <format dxfId="2070">
      <pivotArea type="all" dataOnly="0" outline="0" fieldPosition="0"/>
    </format>
    <format dxfId="2069">
      <pivotArea type="all" dataOnly="0" outline="0" fieldPosition="0"/>
    </format>
    <format dxfId="2068">
      <pivotArea type="all" dataOnly="0" outline="0" fieldPosition="0"/>
    </format>
    <format dxfId="2067">
      <pivotArea type="all" dataOnly="0" outline="0" fieldPosition="0"/>
    </format>
    <format dxfId="2066">
      <pivotArea type="all" dataOnly="0" outline="0" fieldPosition="0"/>
    </format>
    <format dxfId="2065">
      <pivotArea outline="0" collapsedLevelsAreSubtotals="1" fieldPosition="0"/>
    </format>
    <format dxfId="2064">
      <pivotArea dataOnly="0" labelOnly="1" outline="0" axis="axisValues" fieldPosition="0"/>
    </format>
    <format dxfId="2063">
      <pivotArea type="all" dataOnly="0" outline="0" fieldPosition="0"/>
    </format>
    <format dxfId="2062">
      <pivotArea outline="0" collapsedLevelsAreSubtotals="1" fieldPosition="0"/>
    </format>
    <format dxfId="2061">
      <pivotArea dataOnly="0" labelOnly="1" outline="0" axis="axisValues" fieldPosition="0"/>
    </format>
    <format dxfId="2060">
      <pivotArea type="all" dataOnly="0" outline="0" fieldPosition="0"/>
    </format>
    <format dxfId="2059">
      <pivotArea outline="0" collapsedLevelsAreSubtotals="1" fieldPosition="0"/>
    </format>
    <format dxfId="2058">
      <pivotArea dataOnly="0" labelOnly="1" outline="0" axis="axisValues" fieldPosition="0"/>
    </format>
    <format dxfId="2057">
      <pivotArea type="all" dataOnly="0" outline="0" fieldPosition="0"/>
    </format>
    <format dxfId="2056">
      <pivotArea outline="0" collapsedLevelsAreSubtotals="1" fieldPosition="0"/>
    </format>
    <format dxfId="2055">
      <pivotArea dataOnly="0" labelOnly="1" outline="0" axis="axisValues" fieldPosition="0"/>
    </format>
    <format dxfId="2054">
      <pivotArea type="all" dataOnly="0" outline="0" fieldPosition="0"/>
    </format>
    <format dxfId="2053">
      <pivotArea outline="0" collapsedLevelsAreSubtotals="1" fieldPosition="0"/>
    </format>
    <format dxfId="2052">
      <pivotArea dataOnly="0" labelOnly="1" outline="0" axis="axisValues" fieldPosition="0"/>
    </format>
    <format dxfId="2051">
      <pivotArea type="all" dataOnly="0" outline="0" fieldPosition="0"/>
    </format>
    <format dxfId="2050">
      <pivotArea outline="0" collapsedLevelsAreSubtotals="1" fieldPosition="0"/>
    </format>
    <format dxfId="2049">
      <pivotArea dataOnly="0" labelOnly="1" outline="0" axis="axisValues" fieldPosition="0"/>
    </format>
    <format dxfId="2048">
      <pivotArea type="all" dataOnly="0" outline="0" fieldPosition="0"/>
    </format>
    <format dxfId="2047">
      <pivotArea outline="0" collapsedLevelsAreSubtotals="1" fieldPosition="0"/>
    </format>
    <format dxfId="2046">
      <pivotArea dataOnly="0" labelOnly="1" outline="0" axis="axisValues" fieldPosition="0"/>
    </format>
    <format dxfId="2045">
      <pivotArea type="all" dataOnly="0" outline="0" fieldPosition="0"/>
    </format>
    <format dxfId="2044">
      <pivotArea outline="0" collapsedLevelsAreSubtotals="1" fieldPosition="0"/>
    </format>
    <format dxfId="2043">
      <pivotArea type="all" dataOnly="0" outline="0" fieldPosition="0"/>
    </format>
    <format dxfId="2042">
      <pivotArea outline="0" collapsedLevelsAreSubtotals="1" fieldPosition="0"/>
    </format>
    <format dxfId="2041">
      <pivotArea outline="0" collapsedLevelsAreSubtotals="1" fieldPosition="0"/>
    </format>
    <format dxfId="2040">
      <pivotArea type="all" dataOnly="0" outline="0" fieldPosition="0"/>
    </format>
    <format dxfId="2039">
      <pivotArea type="all" dataOnly="0" outline="0" fieldPosition="0"/>
    </format>
    <format dxfId="2038">
      <pivotArea outline="0" collapsedLevelsAreSubtotals="1" fieldPosition="0"/>
    </format>
    <format dxfId="20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CBBC701D-787B-4EE2-9189-2486CF948CE7}" name="PivotTable32"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80:E298" firstHeaderRow="0"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18">
    <i>
      <x/>
    </i>
    <i>
      <x v="1"/>
    </i>
    <i>
      <x v="2"/>
    </i>
    <i>
      <x v="3"/>
    </i>
    <i>
      <x v="4"/>
    </i>
    <i>
      <x v="5"/>
    </i>
    <i>
      <x v="6"/>
    </i>
    <i>
      <x v="7"/>
    </i>
    <i>
      <x v="8"/>
    </i>
    <i>
      <x v="9"/>
    </i>
    <i>
      <x v="11"/>
    </i>
    <i>
      <x v="12"/>
    </i>
    <i>
      <x v="13"/>
    </i>
    <i>
      <x v="14"/>
    </i>
    <i>
      <x v="15"/>
    </i>
    <i>
      <x v="16"/>
    </i>
    <i>
      <x v="18"/>
    </i>
    <i t="grand">
      <x/>
    </i>
  </rowItems>
  <colFields count="1">
    <field x="-2"/>
  </colFields>
  <colItems count="3">
    <i>
      <x/>
    </i>
    <i i="1">
      <x v="1"/>
    </i>
    <i i="2">
      <x v="2"/>
    </i>
  </colItems>
  <pageFields count="1">
    <pageField fld="7" hier="-1"/>
  </pageFields>
  <dataFields count="3">
    <dataField name="Sum of Units Proposed" fld="34" baseField="0" baseItem="0"/>
    <dataField name="Sum of Units Existing" fld="24" baseField="0" baseItem="0"/>
    <dataField name="Sum of Net Dwellings" fld="43" baseField="0" baseItem="0"/>
  </dataFields>
  <formats count="41">
    <format dxfId="2117">
      <pivotArea type="all" dataOnly="0" outline="0" fieldPosition="0"/>
    </format>
    <format dxfId="2116">
      <pivotArea type="all" dataOnly="0" outline="0" fieldPosition="0"/>
    </format>
    <format dxfId="2115">
      <pivotArea type="all" dataOnly="0" outline="0" fieldPosition="0"/>
    </format>
    <format dxfId="2114">
      <pivotArea type="all" dataOnly="0" outline="0" fieldPosition="0"/>
    </format>
    <format dxfId="2113">
      <pivotArea type="all" dataOnly="0" outline="0" fieldPosition="0"/>
    </format>
    <format dxfId="2112">
      <pivotArea type="all" dataOnly="0" outline="0" fieldPosition="0"/>
    </format>
    <format dxfId="2111">
      <pivotArea type="all" dataOnly="0" outline="0" fieldPosition="0"/>
    </format>
    <format dxfId="2110">
      <pivotArea dataOnly="0" labelOnly="1" outline="0" fieldPosition="0">
        <references count="1">
          <reference field="4294967294" count="2">
            <x v="0"/>
            <x v="2"/>
          </reference>
        </references>
      </pivotArea>
    </format>
    <format dxfId="2109">
      <pivotArea dataOnly="0" labelOnly="1" outline="0" fieldPosition="0">
        <references count="1">
          <reference field="4294967294" count="2">
            <x v="0"/>
            <x v="2"/>
          </reference>
        </references>
      </pivotArea>
    </format>
    <format dxfId="2108">
      <pivotArea dataOnly="0" labelOnly="1" outline="0" fieldPosition="0">
        <references count="1">
          <reference field="4294967294" count="2">
            <x v="0"/>
            <x v="2"/>
          </reference>
        </references>
      </pivotArea>
    </format>
    <format dxfId="2107">
      <pivotArea type="all" dataOnly="0" outline="0" fieldPosition="0"/>
    </format>
    <format dxfId="2106">
      <pivotArea type="all" dataOnly="0" outline="0" fieldPosition="0"/>
    </format>
    <format dxfId="2105">
      <pivotArea type="all" dataOnly="0" outline="0" fieldPosition="0"/>
    </format>
    <format dxfId="2104">
      <pivotArea type="all" dataOnly="0" outline="0" fieldPosition="0"/>
    </format>
    <format dxfId="2103">
      <pivotArea outline="0" collapsedLevelsAreSubtotals="1" fieldPosition="0"/>
    </format>
    <format dxfId="2102">
      <pivotArea dataOnly="0" labelOnly="1" grandRow="1" outline="0" fieldPosition="0"/>
    </format>
    <format dxfId="2101">
      <pivotArea dataOnly="0" labelOnly="1" outline="0" fieldPosition="0">
        <references count="1">
          <reference field="4294967294" count="2">
            <x v="0"/>
            <x v="2"/>
          </reference>
        </references>
      </pivotArea>
    </format>
    <format dxfId="2100">
      <pivotArea type="all" dataOnly="0" outline="0" fieldPosition="0"/>
    </format>
    <format dxfId="2099">
      <pivotArea outline="0" collapsedLevelsAreSubtotals="1" fieldPosition="0"/>
    </format>
    <format dxfId="2098">
      <pivotArea dataOnly="0" labelOnly="1" grandRow="1" outline="0" fieldPosition="0"/>
    </format>
    <format dxfId="2097">
      <pivotArea dataOnly="0" labelOnly="1" outline="0" fieldPosition="0">
        <references count="1">
          <reference field="4294967294" count="2">
            <x v="0"/>
            <x v="2"/>
          </reference>
        </references>
      </pivotArea>
    </format>
    <format dxfId="2096">
      <pivotArea type="all" dataOnly="0" outline="0" fieldPosition="0"/>
    </format>
    <format dxfId="2095">
      <pivotArea outline="0" collapsedLevelsAreSubtotals="1" fieldPosition="0"/>
    </format>
    <format dxfId="2094">
      <pivotArea dataOnly="0" labelOnly="1" grandRow="1" outline="0" fieldPosition="0"/>
    </format>
    <format dxfId="2093">
      <pivotArea dataOnly="0" labelOnly="1" outline="0" fieldPosition="0">
        <references count="1">
          <reference field="4294967294" count="2">
            <x v="0"/>
            <x v="2"/>
          </reference>
        </references>
      </pivotArea>
    </format>
    <format dxfId="2092">
      <pivotArea type="all" dataOnly="0" outline="0" fieldPosition="0"/>
    </format>
    <format dxfId="2091">
      <pivotArea outline="0" collapsedLevelsAreSubtotals="1" fieldPosition="0"/>
    </format>
    <format dxfId="2090">
      <pivotArea field="70" type="button" dataOnly="0" labelOnly="1" outline="0" axis="axisRow" fieldPosition="0"/>
    </format>
    <format dxfId="2089">
      <pivotArea dataOnly="0" labelOnly="1" grandRow="1" outline="0" fieldPosition="0"/>
    </format>
    <format dxfId="2088">
      <pivotArea dataOnly="0" labelOnly="1" outline="0" fieldPosition="0">
        <references count="1">
          <reference field="4294967294" count="3">
            <x v="0"/>
            <x v="1"/>
            <x v="2"/>
          </reference>
        </references>
      </pivotArea>
    </format>
    <format dxfId="2087">
      <pivotArea type="all" dataOnly="0" outline="0" fieldPosition="0"/>
    </format>
    <format dxfId="2086">
      <pivotArea outline="0" collapsedLevelsAreSubtotals="1" fieldPosition="0"/>
    </format>
    <format dxfId="2085">
      <pivotArea field="70" type="button" dataOnly="0" labelOnly="1" outline="0" axis="axisRow" fieldPosition="0"/>
    </format>
    <format dxfId="2084">
      <pivotArea dataOnly="0" labelOnly="1" grandRow="1" outline="0" fieldPosition="0"/>
    </format>
    <format dxfId="2083">
      <pivotArea dataOnly="0" labelOnly="1" outline="0" fieldPosition="0">
        <references count="1">
          <reference field="4294967294" count="3">
            <x v="0"/>
            <x v="1"/>
            <x v="2"/>
          </reference>
        </references>
      </pivotArea>
    </format>
    <format dxfId="2082">
      <pivotArea type="all" dataOnly="0" outline="0" fieldPosition="0"/>
    </format>
    <format dxfId="2081">
      <pivotArea outline="0" collapsedLevelsAreSubtotals="1" fieldPosition="0"/>
    </format>
    <format dxfId="2080">
      <pivotArea field="70" type="button" dataOnly="0" labelOnly="1" outline="0" axis="axisRow" fieldPosition="0"/>
    </format>
    <format dxfId="2079">
      <pivotArea dataOnly="0" labelOnly="1" fieldPosition="0">
        <references count="1">
          <reference field="70" count="18">
            <x v="0"/>
            <x v="1"/>
            <x v="2"/>
            <x v="3"/>
            <x v="4"/>
            <x v="5"/>
            <x v="6"/>
            <x v="7"/>
            <x v="8"/>
            <x v="9"/>
            <x v="11"/>
            <x v="12"/>
            <x v="13"/>
            <x v="14"/>
            <x v="15"/>
            <x v="16"/>
            <x v="17"/>
            <x v="18"/>
          </reference>
        </references>
      </pivotArea>
    </format>
    <format dxfId="2078">
      <pivotArea dataOnly="0" labelOnly="1" grandRow="1" outline="0" fieldPosition="0"/>
    </format>
    <format dxfId="2077">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61F6E9AD-3A09-4DE4-8F31-033B8D469DDD}" name="PivotTable81"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389:I401" firstHeaderRow="1" firstDataRow="1" firstDataCol="1" rowPageCount="4" colPageCount="1"/>
  <pivotFields count="84">
    <pivotField showAll="0" defaultSubtotal="0"/>
    <pivotField axis="axisPage" multipleItemSelectionAllowed="1" showAll="0" defaultSubtotal="0">
      <items count="5">
        <item x="1"/>
        <item x="2"/>
        <item x="3"/>
        <item x="4"/>
        <item x="0"/>
      </items>
    </pivotField>
    <pivotField axis="axisPage" multipleItemSelectionAllowed="1" showAll="0" defaultSubtotal="0">
      <items count="2">
        <item x="1"/>
        <item h="1"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multipleItemSelectionAllowed="1" showAll="0" defaultSubtotal="0"/>
    <pivotField axis="axisPage" multipleItemSelectionAllowed="1" showAll="0">
      <items count="16">
        <item x="5"/>
        <item x="9"/>
        <item x="4"/>
        <item x="7"/>
        <item x="13"/>
        <item h="1" x="1"/>
        <item x="2"/>
        <item x="14"/>
        <item x="8"/>
        <item x="6"/>
        <item x="10"/>
        <item x="3"/>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4"/>
        <item x="12"/>
        <item x="2"/>
        <item x="1"/>
        <item x="0"/>
        <item x="15"/>
        <item x="8"/>
        <item x="10"/>
        <item x="7"/>
        <item x="16"/>
        <item x="6"/>
        <item x="17"/>
        <item x="13"/>
        <item x="14"/>
        <item x="9"/>
        <item x="3"/>
        <item x="11"/>
        <item x="5"/>
        <item x="18"/>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12">
    <i>
      <x v="1"/>
    </i>
    <i>
      <x v="2"/>
    </i>
    <i>
      <x v="4"/>
    </i>
    <i>
      <x v="5"/>
    </i>
    <i>
      <x v="7"/>
    </i>
    <i>
      <x v="9"/>
    </i>
    <i>
      <x v="11"/>
    </i>
    <i>
      <x v="12"/>
    </i>
    <i>
      <x v="13"/>
    </i>
    <i>
      <x v="14"/>
    </i>
    <i>
      <x v="17"/>
    </i>
    <i t="grand">
      <x/>
    </i>
  </rowItems>
  <colItems count="1">
    <i/>
  </colItems>
  <pageFields count="4">
    <pageField fld="9" hier="-1"/>
    <pageField fld="7" hier="-1"/>
    <pageField fld="2" hier="-1"/>
    <pageField fld="1" hier="-1"/>
  </pageFields>
  <dataFields count="1">
    <dataField name="Sum of Net Dwellings" fld="43" baseField="0" baseItem="0"/>
  </dataFields>
  <formats count="41">
    <format dxfId="2158">
      <pivotArea type="all" dataOnly="0" outline="0" fieldPosition="0"/>
    </format>
    <format dxfId="2157">
      <pivotArea type="all" dataOnly="0" outline="0" fieldPosition="0"/>
    </format>
    <format dxfId="2156">
      <pivotArea type="all" dataOnly="0" outline="0" fieldPosition="0"/>
    </format>
    <format dxfId="2155">
      <pivotArea type="all" dataOnly="0" outline="0" fieldPosition="0"/>
    </format>
    <format dxfId="2154">
      <pivotArea type="all" dataOnly="0" outline="0" fieldPosition="0"/>
    </format>
    <format dxfId="2153">
      <pivotArea type="all" dataOnly="0" outline="0" fieldPosition="0"/>
    </format>
    <format dxfId="2152">
      <pivotArea type="all" dataOnly="0" outline="0" fieldPosition="0"/>
    </format>
    <format dxfId="2151">
      <pivotArea dataOnly="0" labelOnly="1" outline="0" fieldPosition="0">
        <references count="1">
          <reference field="4294967294" count="1">
            <x v="0"/>
          </reference>
        </references>
      </pivotArea>
    </format>
    <format dxfId="2150">
      <pivotArea dataOnly="0" labelOnly="1" outline="0" fieldPosition="0">
        <references count="1">
          <reference field="4294967294" count="1">
            <x v="0"/>
          </reference>
        </references>
      </pivotArea>
    </format>
    <format dxfId="2149">
      <pivotArea dataOnly="0" labelOnly="1" outline="0" fieldPosition="0">
        <references count="1">
          <reference field="4294967294" count="1">
            <x v="0"/>
          </reference>
        </references>
      </pivotArea>
    </format>
    <format dxfId="2148">
      <pivotArea type="all" dataOnly="0" outline="0" fieldPosition="0"/>
    </format>
    <format dxfId="2147">
      <pivotArea type="all" dataOnly="0" outline="0" fieldPosition="0"/>
    </format>
    <format dxfId="2146">
      <pivotArea type="all" dataOnly="0" outline="0" fieldPosition="0"/>
    </format>
    <format dxfId="2145">
      <pivotArea type="all" dataOnly="0" outline="0" fieldPosition="0"/>
    </format>
    <format dxfId="2144">
      <pivotArea outline="0" collapsedLevelsAreSubtotals="1" fieldPosition="0"/>
    </format>
    <format dxfId="2143">
      <pivotArea dataOnly="0" labelOnly="1" grandRow="1" outline="0" fieldPosition="0"/>
    </format>
    <format dxfId="2142">
      <pivotArea dataOnly="0" labelOnly="1" outline="0" axis="axisValues" fieldPosition="0"/>
    </format>
    <format dxfId="2141">
      <pivotArea type="all" dataOnly="0" outline="0" fieldPosition="0"/>
    </format>
    <format dxfId="2140">
      <pivotArea outline="0" collapsedLevelsAreSubtotals="1" fieldPosition="0"/>
    </format>
    <format dxfId="2139">
      <pivotArea dataOnly="0" labelOnly="1" grandRow="1" outline="0" fieldPosition="0"/>
    </format>
    <format dxfId="2138">
      <pivotArea dataOnly="0" labelOnly="1" outline="0" axis="axisValues" fieldPosition="0"/>
    </format>
    <format dxfId="2137">
      <pivotArea type="all" dataOnly="0" outline="0" fieldPosition="0"/>
    </format>
    <format dxfId="2136">
      <pivotArea outline="0" collapsedLevelsAreSubtotals="1" fieldPosition="0"/>
    </format>
    <format dxfId="2135">
      <pivotArea dataOnly="0" labelOnly="1" grandRow="1" outline="0" fieldPosition="0"/>
    </format>
    <format dxfId="2134">
      <pivotArea dataOnly="0" labelOnly="1" outline="0" axis="axisValues" fieldPosition="0"/>
    </format>
    <format dxfId="2133">
      <pivotArea type="all" dataOnly="0" outline="0" fieldPosition="0"/>
    </format>
    <format dxfId="2132">
      <pivotArea outline="0" collapsedLevelsAreSubtotals="1" fieldPosition="0"/>
    </format>
    <format dxfId="2131">
      <pivotArea field="70" type="button" dataOnly="0" labelOnly="1" outline="0" axis="axisRow" fieldPosition="0"/>
    </format>
    <format dxfId="2130">
      <pivotArea dataOnly="0" labelOnly="1" grandRow="1" outline="0" fieldPosition="0"/>
    </format>
    <format dxfId="2129">
      <pivotArea dataOnly="0" labelOnly="1" outline="0" axis="axisValues" fieldPosition="0"/>
    </format>
    <format dxfId="2128">
      <pivotArea type="all" dataOnly="0" outline="0" fieldPosition="0"/>
    </format>
    <format dxfId="2127">
      <pivotArea outline="0" collapsedLevelsAreSubtotals="1" fieldPosition="0"/>
    </format>
    <format dxfId="2126">
      <pivotArea field="70" type="button" dataOnly="0" labelOnly="1" outline="0" axis="axisRow" fieldPosition="0"/>
    </format>
    <format dxfId="2125">
      <pivotArea dataOnly="0" labelOnly="1" grandRow="1" outline="0" fieldPosition="0"/>
    </format>
    <format dxfId="2124">
      <pivotArea dataOnly="0" labelOnly="1" outline="0" axis="axisValues" fieldPosition="0"/>
    </format>
    <format dxfId="2123">
      <pivotArea type="all" dataOnly="0" outline="0" fieldPosition="0"/>
    </format>
    <format dxfId="2122">
      <pivotArea outline="0" collapsedLevelsAreSubtotals="1" fieldPosition="0"/>
    </format>
    <format dxfId="2121">
      <pivotArea field="70" type="button" dataOnly="0" labelOnly="1" outline="0" axis="axisRow" fieldPosition="0"/>
    </format>
    <format dxfId="2120">
      <pivotArea dataOnly="0" labelOnly="1" fieldPosition="0">
        <references count="1">
          <reference field="70" count="10">
            <x v="1"/>
            <x v="2"/>
            <x v="3"/>
            <x v="5"/>
            <x v="6"/>
            <x v="7"/>
            <x v="8"/>
            <x v="9"/>
            <x v="10"/>
            <x v="13"/>
          </reference>
        </references>
      </pivotArea>
    </format>
    <format dxfId="2119">
      <pivotArea dataOnly="0" labelOnly="1" grandRow="1" outline="0" fieldPosition="0"/>
    </format>
    <format dxfId="211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82B3E38A-173A-4963-9E01-DC882C2B20C2}" name="PivotTable46"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40:I243" firstHeaderRow="1"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1"/>
        <item h="1" x="2"/>
        <item x="0"/>
        <item t="default"/>
      </items>
    </pivotField>
    <pivotField showAll="0"/>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80"/>
  </rowFields>
  <rowItems count="3">
    <i>
      <x/>
    </i>
    <i>
      <x v="2"/>
    </i>
    <i t="grand">
      <x/>
    </i>
  </rowItems>
  <colItems count="1">
    <i/>
  </colItems>
  <pageFields count="1">
    <pageField fld="7" hier="-1"/>
  </pageFields>
  <dataFields count="1">
    <dataField name="Sum of Net Dwellings" fld="43" baseField="0" baseItem="0"/>
  </dataFields>
  <formats count="37">
    <format dxfId="2195">
      <pivotArea type="all" dataOnly="0" outline="0" fieldPosition="0"/>
    </format>
    <format dxfId="2194">
      <pivotArea type="all" dataOnly="0" outline="0" fieldPosition="0"/>
    </format>
    <format dxfId="2193">
      <pivotArea type="all" dataOnly="0" outline="0" fieldPosition="0"/>
    </format>
    <format dxfId="2192">
      <pivotArea type="all" dataOnly="0" outline="0" fieldPosition="0"/>
    </format>
    <format dxfId="2191">
      <pivotArea type="all" dataOnly="0" outline="0" fieldPosition="0"/>
    </format>
    <format dxfId="2190">
      <pivotArea type="all" dataOnly="0" outline="0" fieldPosition="0"/>
    </format>
    <format dxfId="2189">
      <pivotArea type="all" dataOnly="0" outline="0" fieldPosition="0"/>
    </format>
    <format dxfId="2188">
      <pivotArea type="all" dataOnly="0" outline="0" fieldPosition="0"/>
    </format>
    <format dxfId="2187">
      <pivotArea type="all" dataOnly="0" outline="0" fieldPosition="0"/>
    </format>
    <format dxfId="2186">
      <pivotArea type="all" dataOnly="0" outline="0" fieldPosition="0"/>
    </format>
    <format dxfId="2185">
      <pivotArea type="all" dataOnly="0" outline="0" fieldPosition="0"/>
    </format>
    <format dxfId="2184">
      <pivotArea outline="0" collapsedLevelsAreSubtotals="1" fieldPosition="0"/>
    </format>
    <format dxfId="2183">
      <pivotArea dataOnly="0" labelOnly="1" grandRow="1" outline="0" fieldPosition="0"/>
    </format>
    <format dxfId="2182">
      <pivotArea dataOnly="0" labelOnly="1" outline="0" axis="axisValues" fieldPosition="0"/>
    </format>
    <format dxfId="2181">
      <pivotArea type="all" dataOnly="0" outline="0" fieldPosition="0"/>
    </format>
    <format dxfId="2180">
      <pivotArea outline="0" collapsedLevelsAreSubtotals="1" fieldPosition="0"/>
    </format>
    <format dxfId="2179">
      <pivotArea dataOnly="0" labelOnly="1" grandRow="1" outline="0" fieldPosition="0"/>
    </format>
    <format dxfId="2178">
      <pivotArea dataOnly="0" labelOnly="1" outline="0" axis="axisValues" fieldPosition="0"/>
    </format>
    <format dxfId="2177">
      <pivotArea type="all" dataOnly="0" outline="0" fieldPosition="0"/>
    </format>
    <format dxfId="2176">
      <pivotArea outline="0" collapsedLevelsAreSubtotals="1" fieldPosition="0"/>
    </format>
    <format dxfId="2175">
      <pivotArea dataOnly="0" labelOnly="1" grandRow="1" outline="0" fieldPosition="0"/>
    </format>
    <format dxfId="2174">
      <pivotArea dataOnly="0" labelOnly="1" outline="0" axis="axisValues" fieldPosition="0"/>
    </format>
    <format dxfId="2173">
      <pivotArea type="all" dataOnly="0" outline="0" fieldPosition="0"/>
    </format>
    <format dxfId="2172">
      <pivotArea type="all" dataOnly="0" outline="0" fieldPosition="0"/>
    </format>
    <format dxfId="2171">
      <pivotArea outline="0" collapsedLevelsAreSubtotals="1" fieldPosition="0"/>
    </format>
    <format dxfId="2170">
      <pivotArea dataOnly="0" labelOnly="1" grandRow="1" outline="0" fieldPosition="0"/>
    </format>
    <format dxfId="2169">
      <pivotArea dataOnly="0" labelOnly="1" outline="0" axis="axisValues" fieldPosition="0"/>
    </format>
    <format dxfId="2168">
      <pivotArea type="all" dataOnly="0" outline="0" fieldPosition="0"/>
    </format>
    <format dxfId="2167">
      <pivotArea outline="0" collapsedLevelsAreSubtotals="1" fieldPosition="0"/>
    </format>
    <format dxfId="2166">
      <pivotArea field="80" type="button" dataOnly="0" labelOnly="1" outline="0" axis="axisRow" fieldPosition="0"/>
    </format>
    <format dxfId="2165">
      <pivotArea dataOnly="0" labelOnly="1" fieldPosition="0">
        <references count="1">
          <reference field="80" count="0"/>
        </references>
      </pivotArea>
    </format>
    <format dxfId="2164">
      <pivotArea dataOnly="0" labelOnly="1" grandRow="1" outline="0" fieldPosition="0"/>
    </format>
    <format dxfId="2163">
      <pivotArea dataOnly="0" labelOnly="1" outline="0" axis="axisValues" fieldPosition="0"/>
    </format>
    <format dxfId="2162">
      <pivotArea type="all" dataOnly="0" outline="0" fieldPosition="0"/>
    </format>
    <format dxfId="2161">
      <pivotArea outline="0" collapsedLevelsAreSubtotals="1" fieldPosition="0"/>
    </format>
    <format dxfId="2160">
      <pivotArea dataOnly="0" labelOnly="1" grandRow="1" outline="0" fieldPosition="0"/>
    </format>
    <format dxfId="215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2C61BDA9-BA7B-4BA5-9361-3D152D686C7D}" name="PivotTable14"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78:C485" firstHeaderRow="1" firstDataRow="1" firstDataCol="1" rowPageCount="3" colPageCount="1"/>
  <pivotFields count="84">
    <pivotField showAll="0" defaultSubtotal="0"/>
    <pivotField axis="axisPage" multipleItemSelectionAllowed="1" showAll="0" defaultSubtotal="0">
      <items count="5">
        <item x="1"/>
        <item x="2"/>
        <item x="3"/>
        <item h="1" x="4"/>
        <item h="1" x="0"/>
      </items>
    </pivotField>
    <pivotField axis="axisPage" multipleItemSelectionAllowed="1" showAll="0" defaultSubtotal="0">
      <items count="2">
        <item h="1"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3"/>
        <item x="2"/>
        <item x="6"/>
        <item x="5"/>
        <item x="1"/>
        <item x="4"/>
        <item x="0"/>
        <item t="default"/>
      </items>
    </pivotField>
    <pivotField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69"/>
  </rowFields>
  <rowItems count="7">
    <i>
      <x/>
    </i>
    <i>
      <x v="1"/>
    </i>
    <i>
      <x v="3"/>
    </i>
    <i>
      <x v="4"/>
    </i>
    <i>
      <x v="5"/>
    </i>
    <i>
      <x v="6"/>
    </i>
    <i t="grand">
      <x/>
    </i>
  </rowItems>
  <colItems count="1">
    <i/>
  </colItems>
  <pageFields count="3">
    <pageField fld="7" hier="-1"/>
    <pageField fld="2" hier="-1"/>
    <pageField fld="1" hier="-1"/>
  </pageFields>
  <dataFields count="1">
    <dataField name="Sum of Net Dwellings" fld="43" baseField="0" baseItem="0"/>
  </dataFields>
  <formats count="46">
    <format dxfId="2241">
      <pivotArea type="all" dataOnly="0" outline="0" fieldPosition="0"/>
    </format>
    <format dxfId="2240">
      <pivotArea type="all" dataOnly="0" outline="0" fieldPosition="0"/>
    </format>
    <format dxfId="2239">
      <pivotArea type="all" dataOnly="0" outline="0" fieldPosition="0"/>
    </format>
    <format dxfId="2238">
      <pivotArea type="all" dataOnly="0" outline="0" fieldPosition="0"/>
    </format>
    <format dxfId="2237">
      <pivotArea type="all" dataOnly="0" outline="0" fieldPosition="0"/>
    </format>
    <format dxfId="2236">
      <pivotArea type="all" dataOnly="0" outline="0" fieldPosition="0"/>
    </format>
    <format dxfId="2235">
      <pivotArea type="all" dataOnly="0" outline="0" fieldPosition="0"/>
    </format>
    <format dxfId="2234">
      <pivotArea dataOnly="0" labelOnly="1" outline="0" fieldPosition="0">
        <references count="1">
          <reference field="4294967294" count="1">
            <x v="0"/>
          </reference>
        </references>
      </pivotArea>
    </format>
    <format dxfId="2233">
      <pivotArea dataOnly="0" labelOnly="1" outline="0" fieldPosition="0">
        <references count="1">
          <reference field="4294967294" count="1">
            <x v="0"/>
          </reference>
        </references>
      </pivotArea>
    </format>
    <format dxfId="2232">
      <pivotArea dataOnly="0" labelOnly="1" outline="0" fieldPosition="0">
        <references count="1">
          <reference field="4294967294" count="1">
            <x v="0"/>
          </reference>
        </references>
      </pivotArea>
    </format>
    <format dxfId="2231">
      <pivotArea type="all" dataOnly="0" outline="0" fieldPosition="0"/>
    </format>
    <format dxfId="2230">
      <pivotArea type="all" dataOnly="0" outline="0" fieldPosition="0"/>
    </format>
    <format dxfId="2229">
      <pivotArea type="all" dataOnly="0" outline="0" fieldPosition="0"/>
    </format>
    <format dxfId="2228">
      <pivotArea type="all" dataOnly="0" outline="0" fieldPosition="0"/>
    </format>
    <format dxfId="2227">
      <pivotArea outline="0" collapsedLevelsAreSubtotals="1" fieldPosition="0"/>
    </format>
    <format dxfId="2226">
      <pivotArea dataOnly="0" labelOnly="1" grandRow="1" outline="0" fieldPosition="0"/>
    </format>
    <format dxfId="2225">
      <pivotArea dataOnly="0" labelOnly="1" outline="0" axis="axisValues" fieldPosition="0"/>
    </format>
    <format dxfId="2224">
      <pivotArea type="all" dataOnly="0" outline="0" fieldPosition="0"/>
    </format>
    <format dxfId="2223">
      <pivotArea outline="0" collapsedLevelsAreSubtotals="1" fieldPosition="0"/>
    </format>
    <format dxfId="2222">
      <pivotArea dataOnly="0" labelOnly="1" grandRow="1" outline="0" fieldPosition="0"/>
    </format>
    <format dxfId="2221">
      <pivotArea dataOnly="0" labelOnly="1" outline="0" axis="axisValues" fieldPosition="0"/>
    </format>
    <format dxfId="2220">
      <pivotArea type="all" dataOnly="0" outline="0" fieldPosition="0"/>
    </format>
    <format dxfId="2219">
      <pivotArea outline="0" collapsedLevelsAreSubtotals="1" fieldPosition="0"/>
    </format>
    <format dxfId="2218">
      <pivotArea dataOnly="0" labelOnly="1" grandRow="1" outline="0" fieldPosition="0"/>
    </format>
    <format dxfId="2217">
      <pivotArea dataOnly="0" labelOnly="1" outline="0" axis="axisValues" fieldPosition="0"/>
    </format>
    <format dxfId="2216">
      <pivotArea type="all" dataOnly="0" outline="0" fieldPosition="0"/>
    </format>
    <format dxfId="2215">
      <pivotArea outline="0" collapsedLevelsAreSubtotals="1" fieldPosition="0"/>
    </format>
    <format dxfId="2214">
      <pivotArea field="70" type="button" dataOnly="0" labelOnly="1" outline="0"/>
    </format>
    <format dxfId="2213">
      <pivotArea dataOnly="0" labelOnly="1" grandRow="1" outline="0" fieldPosition="0"/>
    </format>
    <format dxfId="2212">
      <pivotArea dataOnly="0" labelOnly="1" outline="0" axis="axisValues" fieldPosition="0"/>
    </format>
    <format dxfId="2211">
      <pivotArea type="all" dataOnly="0" outline="0" fieldPosition="0"/>
    </format>
    <format dxfId="2210">
      <pivotArea outline="0" collapsedLevelsAreSubtotals="1" fieldPosition="0"/>
    </format>
    <format dxfId="2209">
      <pivotArea field="70" type="button" dataOnly="0" labelOnly="1" outline="0"/>
    </format>
    <format dxfId="2208">
      <pivotArea dataOnly="0" labelOnly="1" grandRow="1" outline="0" fieldPosition="0"/>
    </format>
    <format dxfId="2207">
      <pivotArea dataOnly="0" labelOnly="1" outline="0" axis="axisValues" fieldPosition="0"/>
    </format>
    <format dxfId="2206">
      <pivotArea type="all" dataOnly="0" outline="0" fieldPosition="0"/>
    </format>
    <format dxfId="2205">
      <pivotArea outline="0" collapsedLevelsAreSubtotals="1" fieldPosition="0"/>
    </format>
    <format dxfId="2204">
      <pivotArea field="70" type="button" dataOnly="0" labelOnly="1" outline="0"/>
    </format>
    <format dxfId="2203">
      <pivotArea dataOnly="0" labelOnly="1" grandRow="1" outline="0" fieldPosition="0"/>
    </format>
    <format dxfId="2202">
      <pivotArea dataOnly="0" labelOnly="1" outline="0" axis="axisValues" fieldPosition="0"/>
    </format>
    <format dxfId="2201">
      <pivotArea type="all" dataOnly="0" outline="0" fieldPosition="0"/>
    </format>
    <format dxfId="2200">
      <pivotArea outline="0" collapsedLevelsAreSubtotals="1" fieldPosition="0"/>
    </format>
    <format dxfId="2199">
      <pivotArea field="69" type="button" dataOnly="0" labelOnly="1" outline="0" axis="axisRow" fieldPosition="0"/>
    </format>
    <format dxfId="2198">
      <pivotArea dataOnly="0" labelOnly="1" fieldPosition="0">
        <references count="1">
          <reference field="69" count="6">
            <x v="0"/>
            <x v="1"/>
            <x v="3"/>
            <x v="4"/>
            <x v="5"/>
            <x v="6"/>
          </reference>
        </references>
      </pivotArea>
    </format>
    <format dxfId="2197">
      <pivotArea dataOnly="0" labelOnly="1" grandRow="1" outline="0" fieldPosition="0"/>
    </format>
    <format dxfId="219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7F337066-D8F8-4CBD-A319-56713D2702C7}" name="PivotTable21"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80:B81" firstHeaderRow="1" firstDataRow="1" firstDataCol="0" rowPageCount="2" colPageCount="1"/>
  <pivotFields count="84">
    <pivotField showAll="0" defaultSubtotal="0"/>
    <pivotField axis="axisPage" multipleItemSelectionAllowed="1" showAll="0" defaultSubtotal="0">
      <items count="5">
        <item x="1"/>
        <item x="2"/>
        <item x="3"/>
        <item h="1" x="4"/>
        <item h="1"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2">
    <pageField fld="7" hier="-1"/>
    <pageField fld="1" hier="-1"/>
  </pageFields>
  <dataFields count="1">
    <dataField name="Sum of Net Dwellings" fld="43" baseField="0" baseItem="0"/>
  </dataFields>
  <formats count="40">
    <format dxfId="2281">
      <pivotArea type="all" dataOnly="0" outline="0" fieldPosition="0"/>
    </format>
    <format dxfId="2280">
      <pivotArea type="all" dataOnly="0" outline="0" fieldPosition="0"/>
    </format>
    <format dxfId="2279">
      <pivotArea type="all" dataOnly="0" outline="0" fieldPosition="0"/>
    </format>
    <format dxfId="2278">
      <pivotArea type="all" dataOnly="0" outline="0" fieldPosition="0"/>
    </format>
    <format dxfId="2277">
      <pivotArea type="all" dataOnly="0" outline="0" fieldPosition="0"/>
    </format>
    <format dxfId="2276">
      <pivotArea type="all" dataOnly="0" outline="0" fieldPosition="0"/>
    </format>
    <format dxfId="2275">
      <pivotArea type="all" dataOnly="0" outline="0" fieldPosition="0"/>
    </format>
    <format dxfId="2274">
      <pivotArea type="all" dataOnly="0" outline="0" fieldPosition="0"/>
    </format>
    <format dxfId="2273">
      <pivotArea type="all" dataOnly="0" outline="0" fieldPosition="0"/>
    </format>
    <format dxfId="2272">
      <pivotArea type="all" dataOnly="0" outline="0" fieldPosition="0"/>
    </format>
    <format dxfId="2271">
      <pivotArea type="all" dataOnly="0" outline="0" fieldPosition="0"/>
    </format>
    <format dxfId="2270">
      <pivotArea outline="0" collapsedLevelsAreSubtotals="1" fieldPosition="0"/>
    </format>
    <format dxfId="2269">
      <pivotArea dataOnly="0" labelOnly="1" outline="0" axis="axisValues" fieldPosition="0"/>
    </format>
    <format dxfId="2268">
      <pivotArea type="all" dataOnly="0" outline="0" fieldPosition="0"/>
    </format>
    <format dxfId="2267">
      <pivotArea outline="0" collapsedLevelsAreSubtotals="1" fieldPosition="0"/>
    </format>
    <format dxfId="2266">
      <pivotArea dataOnly="0" labelOnly="1" outline="0" axis="axisValues" fieldPosition="0"/>
    </format>
    <format dxfId="2265">
      <pivotArea type="all" dataOnly="0" outline="0" fieldPosition="0"/>
    </format>
    <format dxfId="2264">
      <pivotArea outline="0" collapsedLevelsAreSubtotals="1" fieldPosition="0"/>
    </format>
    <format dxfId="2263">
      <pivotArea dataOnly="0" labelOnly="1" outline="0" axis="axisValues" fieldPosition="0"/>
    </format>
    <format dxfId="2262">
      <pivotArea type="all" dataOnly="0" outline="0" fieldPosition="0"/>
    </format>
    <format dxfId="2261">
      <pivotArea outline="0" collapsedLevelsAreSubtotals="1" fieldPosition="0"/>
    </format>
    <format dxfId="2260">
      <pivotArea dataOnly="0" labelOnly="1" outline="0" axis="axisValues" fieldPosition="0"/>
    </format>
    <format dxfId="2259">
      <pivotArea type="all" dataOnly="0" outline="0" fieldPosition="0"/>
    </format>
    <format dxfId="2258">
      <pivotArea outline="0" collapsedLevelsAreSubtotals="1" fieldPosition="0"/>
    </format>
    <format dxfId="2257">
      <pivotArea dataOnly="0" labelOnly="1" outline="0" axis="axisValues" fieldPosition="0"/>
    </format>
    <format dxfId="2256">
      <pivotArea type="all" dataOnly="0" outline="0" fieldPosition="0"/>
    </format>
    <format dxfId="2255">
      <pivotArea outline="0" collapsedLevelsAreSubtotals="1" fieldPosition="0"/>
    </format>
    <format dxfId="2254">
      <pivotArea dataOnly="0" labelOnly="1" outline="0" axis="axisValues" fieldPosition="0"/>
    </format>
    <format dxfId="2253">
      <pivotArea type="all" dataOnly="0" outline="0" fieldPosition="0"/>
    </format>
    <format dxfId="2252">
      <pivotArea outline="0" collapsedLevelsAreSubtotals="1" fieldPosition="0"/>
    </format>
    <format dxfId="2251">
      <pivotArea dataOnly="0" labelOnly="1" outline="0" axis="axisValues" fieldPosition="0"/>
    </format>
    <format dxfId="2250">
      <pivotArea type="all" dataOnly="0" outline="0" fieldPosition="0"/>
    </format>
    <format dxfId="2249">
      <pivotArea outline="0" collapsedLevelsAreSubtotals="1" fieldPosition="0"/>
    </format>
    <format dxfId="2248">
      <pivotArea type="all" dataOnly="0" outline="0" fieldPosition="0"/>
    </format>
    <format dxfId="2247">
      <pivotArea outline="0" collapsedLevelsAreSubtotals="1" fieldPosition="0"/>
    </format>
    <format dxfId="2246">
      <pivotArea outline="0" collapsedLevelsAreSubtotals="1" fieldPosition="0"/>
    </format>
    <format dxfId="2245">
      <pivotArea type="all" dataOnly="0" outline="0" fieldPosition="0"/>
    </format>
    <format dxfId="2244">
      <pivotArea type="all" dataOnly="0" outline="0" fieldPosition="0"/>
    </format>
    <format dxfId="2243">
      <pivotArea outline="0" collapsedLevelsAreSubtotals="1" fieldPosition="0"/>
    </format>
    <format dxfId="22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BC1E2CD9-0A00-41C8-975A-2EA3A170A8F6}" name="PivotTable47"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41:B142" firstHeaderRow="1" firstDataRow="1" firstDataCol="0" rowPageCount="2" colPageCount="1"/>
  <pivotFields count="84">
    <pivotField showAll="0" defaultSubtotal="0"/>
    <pivotField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x="0"/>
        <item h="1" x="5"/>
        <item h="1" x="6"/>
        <item h="1" x="2"/>
        <item h="1" x="3"/>
        <item h="1" x="1"/>
        <item h="1" x="7"/>
        <item h="1" x="4"/>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2">
    <pageField fld="7" hier="-1"/>
    <pageField fld="8" hier="-1"/>
  </pageFields>
  <dataFields count="1">
    <dataField name="Sum of Units Proposed" fld="34" baseField="0" baseItem="0"/>
  </dataFields>
  <formats count="40">
    <format dxfId="2321">
      <pivotArea type="all" dataOnly="0" outline="0" fieldPosition="0"/>
    </format>
    <format dxfId="2320">
      <pivotArea type="all" dataOnly="0" outline="0" fieldPosition="0"/>
    </format>
    <format dxfId="2319">
      <pivotArea type="all" dataOnly="0" outline="0" fieldPosition="0"/>
    </format>
    <format dxfId="2318">
      <pivotArea type="all" dataOnly="0" outline="0" fieldPosition="0"/>
    </format>
    <format dxfId="2317">
      <pivotArea type="all" dataOnly="0" outline="0" fieldPosition="0"/>
    </format>
    <format dxfId="2316">
      <pivotArea type="all" dataOnly="0" outline="0" fieldPosition="0"/>
    </format>
    <format dxfId="2315">
      <pivotArea type="all" dataOnly="0" outline="0" fieldPosition="0"/>
    </format>
    <format dxfId="2314">
      <pivotArea type="all" dataOnly="0" outline="0" fieldPosition="0"/>
    </format>
    <format dxfId="2313">
      <pivotArea type="all" dataOnly="0" outline="0" fieldPosition="0"/>
    </format>
    <format dxfId="2312">
      <pivotArea type="all" dataOnly="0" outline="0" fieldPosition="0"/>
    </format>
    <format dxfId="2311">
      <pivotArea type="all" dataOnly="0" outline="0" fieldPosition="0"/>
    </format>
    <format dxfId="2310">
      <pivotArea outline="0" collapsedLevelsAreSubtotals="1" fieldPosition="0"/>
    </format>
    <format dxfId="2309">
      <pivotArea dataOnly="0" labelOnly="1" outline="0" axis="axisValues" fieldPosition="0"/>
    </format>
    <format dxfId="2308">
      <pivotArea type="all" dataOnly="0" outline="0" fieldPosition="0"/>
    </format>
    <format dxfId="2307">
      <pivotArea outline="0" collapsedLevelsAreSubtotals="1" fieldPosition="0"/>
    </format>
    <format dxfId="2306">
      <pivotArea dataOnly="0" labelOnly="1" outline="0" axis="axisValues" fieldPosition="0"/>
    </format>
    <format dxfId="2305">
      <pivotArea type="all" dataOnly="0" outline="0" fieldPosition="0"/>
    </format>
    <format dxfId="2304">
      <pivotArea outline="0" collapsedLevelsAreSubtotals="1" fieldPosition="0"/>
    </format>
    <format dxfId="2303">
      <pivotArea dataOnly="0" labelOnly="1" outline="0" axis="axisValues" fieldPosition="0"/>
    </format>
    <format dxfId="2302">
      <pivotArea type="all" dataOnly="0" outline="0" fieldPosition="0"/>
    </format>
    <format dxfId="2301">
      <pivotArea outline="0" collapsedLevelsAreSubtotals="1" fieldPosition="0"/>
    </format>
    <format dxfId="2300">
      <pivotArea dataOnly="0" labelOnly="1" outline="0" axis="axisValues" fieldPosition="0"/>
    </format>
    <format dxfId="2299">
      <pivotArea type="all" dataOnly="0" outline="0" fieldPosition="0"/>
    </format>
    <format dxfId="2298">
      <pivotArea outline="0" collapsedLevelsAreSubtotals="1" fieldPosition="0"/>
    </format>
    <format dxfId="2297">
      <pivotArea dataOnly="0" labelOnly="1" outline="0" axis="axisValues" fieldPosition="0"/>
    </format>
    <format dxfId="2296">
      <pivotArea type="all" dataOnly="0" outline="0" fieldPosition="0"/>
    </format>
    <format dxfId="2295">
      <pivotArea outline="0" collapsedLevelsAreSubtotals="1" fieldPosition="0"/>
    </format>
    <format dxfId="2294">
      <pivotArea dataOnly="0" labelOnly="1" outline="0" axis="axisValues" fieldPosition="0"/>
    </format>
    <format dxfId="2293">
      <pivotArea type="all" dataOnly="0" outline="0" fieldPosition="0"/>
    </format>
    <format dxfId="2292">
      <pivotArea outline="0" collapsedLevelsAreSubtotals="1" fieldPosition="0"/>
    </format>
    <format dxfId="2291">
      <pivotArea dataOnly="0" labelOnly="1" outline="0" axis="axisValues" fieldPosition="0"/>
    </format>
    <format dxfId="2290">
      <pivotArea type="all" dataOnly="0" outline="0" fieldPosition="0"/>
    </format>
    <format dxfId="2289">
      <pivotArea outline="0" collapsedLevelsAreSubtotals="1" fieldPosition="0"/>
    </format>
    <format dxfId="2288">
      <pivotArea type="all" dataOnly="0" outline="0" fieldPosition="0"/>
    </format>
    <format dxfId="2287">
      <pivotArea outline="0" collapsedLevelsAreSubtotals="1" fieldPosition="0"/>
    </format>
    <format dxfId="2286">
      <pivotArea outline="0" collapsedLevelsAreSubtotals="1" fieldPosition="0"/>
    </format>
    <format dxfId="2285">
      <pivotArea type="all" dataOnly="0" outline="0" fieldPosition="0"/>
    </format>
    <format dxfId="2284">
      <pivotArea type="all" dataOnly="0" outline="0" fieldPosition="0"/>
    </format>
    <format dxfId="2283">
      <pivotArea outline="0" collapsedLevelsAreSubtotals="1" fieldPosition="0"/>
    </format>
    <format dxfId="228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2650E22F-2D0B-4CD9-B894-7A1B4D953E1E}" name="PivotTable77"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21:I329" firstHeaderRow="0" firstDataRow="1" firstDataCol="1" rowPageCount="2"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Row" multipleItemSelectionAllowed="1" showAll="0" defaultSubtotal="0">
      <items count="9">
        <item x="0"/>
        <item x="5"/>
        <item x="6"/>
        <item x="2"/>
        <item x="3"/>
        <item x="1"/>
        <item x="4"/>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8"/>
  </rowFields>
  <rowItems count="8">
    <i>
      <x/>
    </i>
    <i>
      <x v="1"/>
    </i>
    <i>
      <x v="2"/>
    </i>
    <i>
      <x v="4"/>
    </i>
    <i>
      <x v="5"/>
    </i>
    <i>
      <x v="6"/>
    </i>
    <i>
      <x v="7"/>
    </i>
    <i t="grand">
      <x/>
    </i>
  </rowItems>
  <colFields count="1">
    <field x="-2"/>
  </colFields>
  <colItems count="7">
    <i>
      <x/>
    </i>
    <i i="1">
      <x v="1"/>
    </i>
    <i i="2">
      <x v="2"/>
    </i>
    <i i="3">
      <x v="3"/>
    </i>
    <i i="4">
      <x v="4"/>
    </i>
    <i i="5">
      <x v="5"/>
    </i>
    <i i="6">
      <x v="6"/>
    </i>
  </colItems>
  <pageFields count="2">
    <pageField fld="7" hier="-1"/>
    <pageField fld="1" hier="-1"/>
  </pageFields>
  <dataFields count="7">
    <dataField name="Sum of 1 bed net" fld="35" baseField="0" baseItem="0"/>
    <dataField name="Sum of 2 bed net" fld="36" baseField="0" baseItem="0"/>
    <dataField name="Sum of 3 bed net" fld="37" baseField="0" baseItem="0"/>
    <dataField name="Sum of 4 bed net" fld="38" baseField="0" baseItem="0"/>
    <dataField name="Sum of 5 bed net" fld="39" baseField="0" baseItem="0"/>
    <dataField name="Sum of 6 bed net" fld="40" baseField="0" baseItem="0"/>
    <dataField name="Sum of 7 bed net" fld="41" baseField="0" baseItem="0"/>
  </dataFields>
  <formats count="48">
    <format dxfId="2369">
      <pivotArea type="all" dataOnly="0" outline="0" fieldPosition="0"/>
    </format>
    <format dxfId="2368">
      <pivotArea type="all" dataOnly="0" outline="0" fieldPosition="0"/>
    </format>
    <format dxfId="2367">
      <pivotArea type="all" dataOnly="0" outline="0" fieldPosition="0"/>
    </format>
    <format dxfId="2366">
      <pivotArea type="all" dataOnly="0" outline="0" fieldPosition="0"/>
    </format>
    <format dxfId="2365">
      <pivotArea type="all" dataOnly="0" outline="0" fieldPosition="0"/>
    </format>
    <format dxfId="2364">
      <pivotArea type="all" dataOnly="0" outline="0" fieldPosition="0"/>
    </format>
    <format dxfId="2363">
      <pivotArea type="all" dataOnly="0" outline="0" fieldPosition="0"/>
    </format>
    <format dxfId="2362">
      <pivotArea type="all" dataOnly="0" outline="0" fieldPosition="0"/>
    </format>
    <format dxfId="2361">
      <pivotArea type="all" dataOnly="0" outline="0" fieldPosition="0"/>
    </format>
    <format dxfId="2360">
      <pivotArea type="all" dataOnly="0" outline="0" fieldPosition="0"/>
    </format>
    <format dxfId="2359">
      <pivotArea type="all" dataOnly="0" outline="0" fieldPosition="0"/>
    </format>
    <format dxfId="2358">
      <pivotArea outline="0" collapsedLevelsAreSubtotals="1" fieldPosition="0"/>
    </format>
    <format dxfId="2357">
      <pivotArea field="8" type="button" dataOnly="0" labelOnly="1" outline="0" axis="axisRow" fieldPosition="0"/>
    </format>
    <format dxfId="2356">
      <pivotArea dataOnly="0" labelOnly="1" fieldPosition="0">
        <references count="1">
          <reference field="8" count="1">
            <x v="0"/>
          </reference>
        </references>
      </pivotArea>
    </format>
    <format dxfId="2355">
      <pivotArea dataOnly="0" labelOnly="1" grandRow="1" outline="0" fieldPosition="0"/>
    </format>
    <format dxfId="2354">
      <pivotArea dataOnly="0" labelOnly="1" outline="0" fieldPosition="0">
        <references count="1">
          <reference field="4294967294" count="7">
            <x v="0"/>
            <x v="1"/>
            <x v="2"/>
            <x v="3"/>
            <x v="4"/>
            <x v="5"/>
            <x v="6"/>
          </reference>
        </references>
      </pivotArea>
    </format>
    <format dxfId="2353">
      <pivotArea type="all" dataOnly="0" outline="0" fieldPosition="0"/>
    </format>
    <format dxfId="2352">
      <pivotArea outline="0" collapsedLevelsAreSubtotals="1" fieldPosition="0"/>
    </format>
    <format dxfId="2351">
      <pivotArea field="8" type="button" dataOnly="0" labelOnly="1" outline="0" axis="axisRow" fieldPosition="0"/>
    </format>
    <format dxfId="2350">
      <pivotArea dataOnly="0" labelOnly="1" fieldPosition="0">
        <references count="1">
          <reference field="8" count="1">
            <x v="0"/>
          </reference>
        </references>
      </pivotArea>
    </format>
    <format dxfId="2349">
      <pivotArea dataOnly="0" labelOnly="1" grandRow="1" outline="0" fieldPosition="0"/>
    </format>
    <format dxfId="2348">
      <pivotArea dataOnly="0" labelOnly="1" outline="0" fieldPosition="0">
        <references count="1">
          <reference field="4294967294" count="7">
            <x v="0"/>
            <x v="1"/>
            <x v="2"/>
            <x v="3"/>
            <x v="4"/>
            <x v="5"/>
            <x v="6"/>
          </reference>
        </references>
      </pivotArea>
    </format>
    <format dxfId="2347">
      <pivotArea type="all" dataOnly="0" outline="0" fieldPosition="0"/>
    </format>
    <format dxfId="2346">
      <pivotArea outline="0" collapsedLevelsAreSubtotals="1" fieldPosition="0"/>
    </format>
    <format dxfId="2345">
      <pivotArea field="8" type="button" dataOnly="0" labelOnly="1" outline="0" axis="axisRow" fieldPosition="0"/>
    </format>
    <format dxfId="2344">
      <pivotArea dataOnly="0" labelOnly="1" fieldPosition="0">
        <references count="1">
          <reference field="8" count="1">
            <x v="0"/>
          </reference>
        </references>
      </pivotArea>
    </format>
    <format dxfId="2343">
      <pivotArea dataOnly="0" labelOnly="1" grandRow="1" outline="0" fieldPosition="0"/>
    </format>
    <format dxfId="2342">
      <pivotArea dataOnly="0" labelOnly="1" outline="0" fieldPosition="0">
        <references count="1">
          <reference field="4294967294" count="7">
            <x v="0"/>
            <x v="1"/>
            <x v="2"/>
            <x v="3"/>
            <x v="4"/>
            <x v="5"/>
            <x v="6"/>
          </reference>
        </references>
      </pivotArea>
    </format>
    <format dxfId="2341">
      <pivotArea type="all" dataOnly="0" outline="0" fieldPosition="0"/>
    </format>
    <format dxfId="2340">
      <pivotArea outline="0" collapsedLevelsAreSubtotals="1" fieldPosition="0"/>
    </format>
    <format dxfId="2339">
      <pivotArea field="8" type="button" dataOnly="0" labelOnly="1" outline="0" axis="axisRow" fieldPosition="0"/>
    </format>
    <format dxfId="2338">
      <pivotArea dataOnly="0" labelOnly="1" fieldPosition="0">
        <references count="1">
          <reference field="8" count="6">
            <x v="0"/>
            <x v="1"/>
            <x v="2"/>
            <x v="3"/>
            <x v="4"/>
            <x v="5"/>
          </reference>
        </references>
      </pivotArea>
    </format>
    <format dxfId="2337">
      <pivotArea dataOnly="0" labelOnly="1" grandRow="1" outline="0" fieldPosition="0"/>
    </format>
    <format dxfId="2336">
      <pivotArea dataOnly="0" labelOnly="1" outline="0" fieldPosition="0">
        <references count="1">
          <reference field="4294967294" count="7">
            <x v="0"/>
            <x v="1"/>
            <x v="2"/>
            <x v="3"/>
            <x v="4"/>
            <x v="5"/>
            <x v="6"/>
          </reference>
        </references>
      </pivotArea>
    </format>
    <format dxfId="2335">
      <pivotArea type="all" dataOnly="0" outline="0" fieldPosition="0"/>
    </format>
    <format dxfId="2334">
      <pivotArea type="all" dataOnly="0" outline="0" fieldPosition="0"/>
    </format>
    <format dxfId="2333">
      <pivotArea collapsedLevelsAreSubtotals="1" fieldPosition="0">
        <references count="1">
          <reference field="8" count="7">
            <x v="0"/>
            <x v="1"/>
            <x v="2"/>
            <x v="3"/>
            <x v="4"/>
            <x v="5"/>
            <x v="6"/>
          </reference>
        </references>
      </pivotArea>
    </format>
    <format dxfId="2332">
      <pivotArea type="all" dataOnly="0" outline="0" fieldPosition="0"/>
    </format>
    <format dxfId="2331">
      <pivotArea outline="0" collapsedLevelsAreSubtotals="1" fieldPosition="0"/>
    </format>
    <format dxfId="2330">
      <pivotArea field="8" type="button" dataOnly="0" labelOnly="1" outline="0" axis="axisRow" fieldPosition="0"/>
    </format>
    <format dxfId="2329">
      <pivotArea dataOnly="0" labelOnly="1" fieldPosition="0">
        <references count="1">
          <reference field="8" count="7">
            <x v="0"/>
            <x v="1"/>
            <x v="2"/>
            <x v="3"/>
            <x v="4"/>
            <x v="5"/>
            <x v="6"/>
          </reference>
        </references>
      </pivotArea>
    </format>
    <format dxfId="2328">
      <pivotArea dataOnly="0" labelOnly="1" grandRow="1" outline="0" fieldPosition="0"/>
    </format>
    <format dxfId="2327">
      <pivotArea type="all" dataOnly="0" outline="0" fieldPosition="0"/>
    </format>
    <format dxfId="2326">
      <pivotArea outline="0" collapsedLevelsAreSubtotals="1" fieldPosition="0"/>
    </format>
    <format dxfId="2325">
      <pivotArea field="8" type="button" dataOnly="0" labelOnly="1" outline="0" axis="axisRow" fieldPosition="0"/>
    </format>
    <format dxfId="2324">
      <pivotArea dataOnly="0" labelOnly="1" fieldPosition="0">
        <references count="1">
          <reference field="8" count="7">
            <x v="0"/>
            <x v="1"/>
            <x v="2"/>
            <x v="3"/>
            <x v="4"/>
            <x v="5"/>
            <x v="6"/>
          </reference>
        </references>
      </pivotArea>
    </format>
    <format dxfId="2323">
      <pivotArea dataOnly="0" labelOnly="1" grandRow="1" outline="0" fieldPosition="0"/>
    </format>
    <format dxfId="2322">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0D584253-5084-41CC-B5F0-E714CE768834}" name="PivotTable50"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27:F230" firstHeaderRow="1"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7"/>
  </rowFields>
  <rowItems count="3">
    <i>
      <x/>
    </i>
    <i>
      <x v="1"/>
    </i>
    <i t="grand">
      <x/>
    </i>
  </rowItems>
  <colItems count="1">
    <i/>
  </colItems>
  <pageFields count="1">
    <pageField fld="7" hier="-1"/>
  </pageFields>
  <dataFields count="1">
    <dataField name="Sum of Net Dwellings" fld="43" baseField="0" baseItem="0"/>
  </dataFields>
  <formats count="39">
    <format dxfId="2408">
      <pivotArea type="all" dataOnly="0" outline="0" fieldPosition="0"/>
    </format>
    <format dxfId="2407">
      <pivotArea type="all" dataOnly="0" outline="0" fieldPosition="0"/>
    </format>
    <format dxfId="2406">
      <pivotArea type="all" dataOnly="0" outline="0" fieldPosition="0"/>
    </format>
    <format dxfId="2405">
      <pivotArea type="all" dataOnly="0" outline="0" fieldPosition="0"/>
    </format>
    <format dxfId="2404">
      <pivotArea type="all" dataOnly="0" outline="0" fieldPosition="0"/>
    </format>
    <format dxfId="2403">
      <pivotArea type="all" dataOnly="0" outline="0" fieldPosition="0"/>
    </format>
    <format dxfId="2402">
      <pivotArea type="all" dataOnly="0" outline="0" fieldPosition="0"/>
    </format>
    <format dxfId="2401">
      <pivotArea type="all" dataOnly="0" outline="0" fieldPosition="0"/>
    </format>
    <format dxfId="2400">
      <pivotArea type="all" dataOnly="0" outline="0" fieldPosition="0"/>
    </format>
    <format dxfId="2399">
      <pivotArea type="all" dataOnly="0" outline="0" fieldPosition="0"/>
    </format>
    <format dxfId="2398">
      <pivotArea type="all" dataOnly="0" outline="0" fieldPosition="0"/>
    </format>
    <format dxfId="2397">
      <pivotArea outline="0" collapsedLevelsAreSubtotals="1" fieldPosition="0"/>
    </format>
    <format dxfId="2396">
      <pivotArea dataOnly="0" labelOnly="1" grandRow="1" outline="0" fieldPosition="0"/>
    </format>
    <format dxfId="2395">
      <pivotArea dataOnly="0" labelOnly="1" outline="0" axis="axisValues" fieldPosition="0"/>
    </format>
    <format dxfId="2394">
      <pivotArea type="all" dataOnly="0" outline="0" fieldPosition="0"/>
    </format>
    <format dxfId="2393">
      <pivotArea outline="0" collapsedLevelsAreSubtotals="1" fieldPosition="0"/>
    </format>
    <format dxfId="2392">
      <pivotArea dataOnly="0" labelOnly="1" grandRow="1" outline="0" fieldPosition="0"/>
    </format>
    <format dxfId="2391">
      <pivotArea dataOnly="0" labelOnly="1" outline="0" axis="axisValues" fieldPosition="0"/>
    </format>
    <format dxfId="2390">
      <pivotArea type="all" dataOnly="0" outline="0" fieldPosition="0"/>
    </format>
    <format dxfId="2389">
      <pivotArea outline="0" collapsedLevelsAreSubtotals="1" fieldPosition="0"/>
    </format>
    <format dxfId="2388">
      <pivotArea dataOnly="0" labelOnly="1" grandRow="1" outline="0" fieldPosition="0"/>
    </format>
    <format dxfId="2387">
      <pivotArea dataOnly="0" labelOnly="1" outline="0" axis="axisValues" fieldPosition="0"/>
    </format>
    <format dxfId="2386">
      <pivotArea type="all" dataOnly="0" outline="0" fieldPosition="0"/>
    </format>
    <format dxfId="2385">
      <pivotArea outline="0" collapsedLevelsAreSubtotals="1" fieldPosition="0"/>
    </format>
    <format dxfId="2384">
      <pivotArea dataOnly="0" labelOnly="1" grandRow="1" outline="0" fieldPosition="0"/>
    </format>
    <format dxfId="2383">
      <pivotArea dataOnly="0" labelOnly="1" outline="0" axis="axisValues" fieldPosition="0"/>
    </format>
    <format dxfId="2382">
      <pivotArea type="all" dataOnly="0" outline="0" fieldPosition="0"/>
    </format>
    <format dxfId="2381">
      <pivotArea outline="0" collapsedLevelsAreSubtotals="1" fieldPosition="0"/>
    </format>
    <format dxfId="2380">
      <pivotArea type="all" dataOnly="0" outline="0" fieldPosition="0"/>
    </format>
    <format dxfId="2379">
      <pivotArea outline="0" collapsedLevelsAreSubtotals="1" fieldPosition="0"/>
    </format>
    <format dxfId="2378">
      <pivotArea outline="0" collapsedLevelsAreSubtotals="1" fieldPosition="0"/>
    </format>
    <format dxfId="2377">
      <pivotArea type="all" dataOnly="0" outline="0" fieldPosition="0"/>
    </format>
    <format dxfId="2376">
      <pivotArea outline="0" collapsedLevelsAreSubtotals="1" fieldPosition="0"/>
    </format>
    <format dxfId="2375">
      <pivotArea field="77" type="button" dataOnly="0" labelOnly="1" outline="0" axis="axisRow" fieldPosition="0"/>
    </format>
    <format dxfId="2374">
      <pivotArea dataOnly="0" labelOnly="1" fieldPosition="0">
        <references count="1">
          <reference field="77" count="0"/>
        </references>
      </pivotArea>
    </format>
    <format dxfId="2373">
      <pivotArea dataOnly="0" labelOnly="1" grandRow="1" outline="0" fieldPosition="0"/>
    </format>
    <format dxfId="2372">
      <pivotArea dataOnly="0" labelOnly="1" outline="0" axis="axisValues" fieldPosition="0"/>
    </format>
    <format dxfId="2371">
      <pivotArea type="all" dataOnly="0" outline="0" fieldPosition="0"/>
    </format>
    <format dxfId="237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C2C5B863-083C-47C1-AA81-31C05DED968E}" name="PivotTable15"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57:C464" firstHeaderRow="1" firstDataRow="1" firstDataCol="1" rowPageCount="4" colPageCount="1"/>
  <pivotFields count="84">
    <pivotField showAll="0" defaultSubtotal="0"/>
    <pivotField axis="axisPage" multipleItemSelectionAllowed="1" showAll="0" defaultSubtotal="0">
      <items count="5">
        <item h="1" x="1"/>
        <item h="1" x="2"/>
        <item h="1" x="3"/>
        <item x="4"/>
        <item x="0"/>
      </items>
    </pivotField>
    <pivotField axis="axisPage" multipleItemSelectionAllowed="1" showAll="0" defaultSubtotal="0">
      <items count="2">
        <item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multipleItemSelectionAllowed="1" showAll="0" defaultSubtotal="0"/>
    <pivotField axis="axisPage" multipleItemSelectionAllowed="1" showAll="0">
      <items count="16">
        <item x="7"/>
        <item x="13"/>
        <item h="1" x="1"/>
        <item x="2"/>
        <item x="14"/>
        <item x="6"/>
        <item x="10"/>
        <item x="3"/>
        <item x="11"/>
        <item x="12"/>
        <item x="0"/>
        <item h="1" x="4"/>
        <item h="1" x="5"/>
        <item h="1" x="8"/>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3"/>
        <item x="2"/>
        <item x="6"/>
        <item x="5"/>
        <item x="1"/>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69"/>
  </rowFields>
  <rowItems count="7">
    <i>
      <x/>
    </i>
    <i>
      <x v="1"/>
    </i>
    <i>
      <x v="3"/>
    </i>
    <i>
      <x v="4"/>
    </i>
    <i>
      <x v="5"/>
    </i>
    <i>
      <x v="6"/>
    </i>
    <i t="grand">
      <x/>
    </i>
  </rowItems>
  <colItems count="1">
    <i/>
  </colItems>
  <pageFields count="4">
    <pageField fld="9" hier="-1"/>
    <pageField fld="7" hier="-1"/>
    <pageField fld="2" hier="-1"/>
    <pageField fld="1" hier="-1"/>
  </pageFields>
  <dataFields count="1">
    <dataField name="Sum of Net Dwellings" fld="43" baseField="0" baseItem="0"/>
  </dataFields>
  <formats count="43">
    <format dxfId="2451">
      <pivotArea type="all" dataOnly="0" outline="0" fieldPosition="0"/>
    </format>
    <format dxfId="2450">
      <pivotArea type="all" dataOnly="0" outline="0" fieldPosition="0"/>
    </format>
    <format dxfId="2449">
      <pivotArea type="all" dataOnly="0" outline="0" fieldPosition="0"/>
    </format>
    <format dxfId="2448">
      <pivotArea type="all" dataOnly="0" outline="0" fieldPosition="0"/>
    </format>
    <format dxfId="2447">
      <pivotArea type="all" dataOnly="0" outline="0" fieldPosition="0"/>
    </format>
    <format dxfId="2446">
      <pivotArea type="all" dataOnly="0" outline="0" fieldPosition="0"/>
    </format>
    <format dxfId="2445">
      <pivotArea type="all" dataOnly="0" outline="0" fieldPosition="0"/>
    </format>
    <format dxfId="2444">
      <pivotArea dataOnly="0" labelOnly="1" outline="0" fieldPosition="0">
        <references count="1">
          <reference field="4294967294" count="1">
            <x v="0"/>
          </reference>
        </references>
      </pivotArea>
    </format>
    <format dxfId="2443">
      <pivotArea dataOnly="0" labelOnly="1" outline="0" fieldPosition="0">
        <references count="1">
          <reference field="4294967294" count="1">
            <x v="0"/>
          </reference>
        </references>
      </pivotArea>
    </format>
    <format dxfId="2442">
      <pivotArea dataOnly="0" labelOnly="1" outline="0" fieldPosition="0">
        <references count="1">
          <reference field="4294967294" count="1">
            <x v="0"/>
          </reference>
        </references>
      </pivotArea>
    </format>
    <format dxfId="2441">
      <pivotArea type="all" dataOnly="0" outline="0" fieldPosition="0"/>
    </format>
    <format dxfId="2440">
      <pivotArea type="all" dataOnly="0" outline="0" fieldPosition="0"/>
    </format>
    <format dxfId="2439">
      <pivotArea type="all" dataOnly="0" outline="0" fieldPosition="0"/>
    </format>
    <format dxfId="2438">
      <pivotArea type="all" dataOnly="0" outline="0" fieldPosition="0"/>
    </format>
    <format dxfId="2437">
      <pivotArea outline="0" collapsedLevelsAreSubtotals="1" fieldPosition="0"/>
    </format>
    <format dxfId="2436">
      <pivotArea dataOnly="0" labelOnly="1" grandRow="1" outline="0" fieldPosition="0"/>
    </format>
    <format dxfId="2435">
      <pivotArea dataOnly="0" labelOnly="1" outline="0" axis="axisValues" fieldPosition="0"/>
    </format>
    <format dxfId="2434">
      <pivotArea type="all" dataOnly="0" outline="0" fieldPosition="0"/>
    </format>
    <format dxfId="2433">
      <pivotArea outline="0" collapsedLevelsAreSubtotals="1" fieldPosition="0"/>
    </format>
    <format dxfId="2432">
      <pivotArea dataOnly="0" labelOnly="1" grandRow="1" outline="0" fieldPosition="0"/>
    </format>
    <format dxfId="2431">
      <pivotArea dataOnly="0" labelOnly="1" outline="0" axis="axisValues" fieldPosition="0"/>
    </format>
    <format dxfId="2430">
      <pivotArea type="all" dataOnly="0" outline="0" fieldPosition="0"/>
    </format>
    <format dxfId="2429">
      <pivotArea outline="0" collapsedLevelsAreSubtotals="1" fieldPosition="0"/>
    </format>
    <format dxfId="2428">
      <pivotArea dataOnly="0" labelOnly="1" grandRow="1" outline="0" fieldPosition="0"/>
    </format>
    <format dxfId="2427">
      <pivotArea dataOnly="0" labelOnly="1" outline="0" axis="axisValues" fieldPosition="0"/>
    </format>
    <format dxfId="2426">
      <pivotArea type="all" dataOnly="0" outline="0" fieldPosition="0"/>
    </format>
    <format dxfId="2425">
      <pivotArea outline="0" collapsedLevelsAreSubtotals="1" fieldPosition="0"/>
    </format>
    <format dxfId="2424">
      <pivotArea dataOnly="0" labelOnly="1" grandRow="1" outline="0" fieldPosition="0"/>
    </format>
    <format dxfId="2423">
      <pivotArea dataOnly="0" labelOnly="1" outline="0" axis="axisValues" fieldPosition="0"/>
    </format>
    <format dxfId="2422">
      <pivotArea type="all" dataOnly="0" outline="0" fieldPosition="0"/>
    </format>
    <format dxfId="2421">
      <pivotArea outline="0" collapsedLevelsAreSubtotals="1" fieldPosition="0"/>
    </format>
    <format dxfId="2420">
      <pivotArea dataOnly="0" labelOnly="1" grandRow="1" outline="0" fieldPosition="0"/>
    </format>
    <format dxfId="2419">
      <pivotArea dataOnly="0" labelOnly="1" outline="0" axis="axisValues" fieldPosition="0"/>
    </format>
    <format dxfId="2418">
      <pivotArea type="all" dataOnly="0" outline="0" fieldPosition="0"/>
    </format>
    <format dxfId="2417">
      <pivotArea outline="0" collapsedLevelsAreSubtotals="1" fieldPosition="0"/>
    </format>
    <format dxfId="2416">
      <pivotArea dataOnly="0" labelOnly="1" grandRow="1" outline="0" fieldPosition="0"/>
    </format>
    <format dxfId="2415">
      <pivotArea dataOnly="0" labelOnly="1" outline="0" axis="axisValues" fieldPosition="0"/>
    </format>
    <format dxfId="2414">
      <pivotArea type="all" dataOnly="0" outline="0" fieldPosition="0"/>
    </format>
    <format dxfId="2413">
      <pivotArea outline="0" collapsedLevelsAreSubtotals="1" fieldPosition="0"/>
    </format>
    <format dxfId="2412">
      <pivotArea field="69" type="button" dataOnly="0" labelOnly="1" outline="0" axis="axisRow" fieldPosition="0"/>
    </format>
    <format dxfId="2411">
      <pivotArea dataOnly="0" labelOnly="1" fieldPosition="0">
        <references count="1">
          <reference field="69" count="6">
            <x v="0"/>
            <x v="1"/>
            <x v="3"/>
            <x v="4"/>
            <x v="5"/>
            <x v="6"/>
          </reference>
        </references>
      </pivotArea>
    </format>
    <format dxfId="2410">
      <pivotArea dataOnly="0" labelOnly="1" grandRow="1" outline="0" fieldPosition="0"/>
    </format>
    <format dxfId="240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DE988116-2D0B-429E-9E82-D761E209A500}" name="PivotTable51"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27:I230" firstHeaderRow="1"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2"/>
  </rowFields>
  <rowItems count="3">
    <i>
      <x/>
    </i>
    <i>
      <x v="2"/>
    </i>
    <i t="grand">
      <x/>
    </i>
  </rowItems>
  <colItems count="1">
    <i/>
  </colItems>
  <pageFields count="1">
    <pageField fld="7" hier="-1"/>
  </pageFields>
  <dataFields count="1">
    <dataField name="Sum of Net Dwellings" fld="43" baseField="0" baseItem="0"/>
  </dataFields>
  <formats count="39">
    <format dxfId="2490">
      <pivotArea type="all" dataOnly="0" outline="0" fieldPosition="0"/>
    </format>
    <format dxfId="2489">
      <pivotArea type="all" dataOnly="0" outline="0" fieldPosition="0"/>
    </format>
    <format dxfId="2488">
      <pivotArea type="all" dataOnly="0" outline="0" fieldPosition="0"/>
    </format>
    <format dxfId="2487">
      <pivotArea type="all" dataOnly="0" outline="0" fieldPosition="0"/>
    </format>
    <format dxfId="2486">
      <pivotArea type="all" dataOnly="0" outline="0" fieldPosition="0"/>
    </format>
    <format dxfId="2485">
      <pivotArea type="all" dataOnly="0" outline="0" fieldPosition="0"/>
    </format>
    <format dxfId="2484">
      <pivotArea type="all" dataOnly="0" outline="0" fieldPosition="0"/>
    </format>
    <format dxfId="2483">
      <pivotArea type="all" dataOnly="0" outline="0" fieldPosition="0"/>
    </format>
    <format dxfId="2482">
      <pivotArea type="all" dataOnly="0" outline="0" fieldPosition="0"/>
    </format>
    <format dxfId="2481">
      <pivotArea type="all" dataOnly="0" outline="0" fieldPosition="0"/>
    </format>
    <format dxfId="2480">
      <pivotArea type="all" dataOnly="0" outline="0" fieldPosition="0"/>
    </format>
    <format dxfId="2479">
      <pivotArea outline="0" collapsedLevelsAreSubtotals="1" fieldPosition="0"/>
    </format>
    <format dxfId="2478">
      <pivotArea dataOnly="0" labelOnly="1" grandRow="1" outline="0" fieldPosition="0"/>
    </format>
    <format dxfId="2477">
      <pivotArea dataOnly="0" labelOnly="1" outline="0" axis="axisValues" fieldPosition="0"/>
    </format>
    <format dxfId="2476">
      <pivotArea type="all" dataOnly="0" outline="0" fieldPosition="0"/>
    </format>
    <format dxfId="2475">
      <pivotArea outline="0" collapsedLevelsAreSubtotals="1" fieldPosition="0"/>
    </format>
    <format dxfId="2474">
      <pivotArea dataOnly="0" labelOnly="1" grandRow="1" outline="0" fieldPosition="0"/>
    </format>
    <format dxfId="2473">
      <pivotArea dataOnly="0" labelOnly="1" outline="0" axis="axisValues" fieldPosition="0"/>
    </format>
    <format dxfId="2472">
      <pivotArea type="all" dataOnly="0" outline="0" fieldPosition="0"/>
    </format>
    <format dxfId="2471">
      <pivotArea outline="0" collapsedLevelsAreSubtotals="1" fieldPosition="0"/>
    </format>
    <format dxfId="2470">
      <pivotArea dataOnly="0" labelOnly="1" grandRow="1" outline="0" fieldPosition="0"/>
    </format>
    <format dxfId="2469">
      <pivotArea dataOnly="0" labelOnly="1" outline="0" axis="axisValues" fieldPosition="0"/>
    </format>
    <format dxfId="2468">
      <pivotArea type="all" dataOnly="0" outline="0" fieldPosition="0"/>
    </format>
    <format dxfId="2467">
      <pivotArea outline="0" collapsedLevelsAreSubtotals="1" fieldPosition="0"/>
    </format>
    <format dxfId="2466">
      <pivotArea dataOnly="0" labelOnly="1" grandRow="1" outline="0" fieldPosition="0"/>
    </format>
    <format dxfId="2465">
      <pivotArea dataOnly="0" labelOnly="1" outline="0" axis="axisValues" fieldPosition="0"/>
    </format>
    <format dxfId="2464">
      <pivotArea type="all" dataOnly="0" outline="0" fieldPosition="0"/>
    </format>
    <format dxfId="2463">
      <pivotArea outline="0" collapsedLevelsAreSubtotals="1" fieldPosition="0"/>
    </format>
    <format dxfId="2462">
      <pivotArea type="all" dataOnly="0" outline="0" fieldPosition="0"/>
    </format>
    <format dxfId="2461">
      <pivotArea outline="0" collapsedLevelsAreSubtotals="1" fieldPosition="0"/>
    </format>
    <format dxfId="2460">
      <pivotArea outline="0" collapsedLevelsAreSubtotals="1" fieldPosition="0"/>
    </format>
    <format dxfId="2459">
      <pivotArea type="all" dataOnly="0" outline="0" fieldPosition="0"/>
    </format>
    <format dxfId="2458">
      <pivotArea outline="0" collapsedLevelsAreSubtotals="1" fieldPosition="0"/>
    </format>
    <format dxfId="2457">
      <pivotArea field="72" type="button" dataOnly="0" labelOnly="1" outline="0" axis="axisRow" fieldPosition="0"/>
    </format>
    <format dxfId="2456">
      <pivotArea dataOnly="0" labelOnly="1" fieldPosition="0">
        <references count="1">
          <reference field="72" count="0"/>
        </references>
      </pivotArea>
    </format>
    <format dxfId="2455">
      <pivotArea dataOnly="0" labelOnly="1" grandRow="1" outline="0" fieldPosition="0"/>
    </format>
    <format dxfId="2454">
      <pivotArea dataOnly="0" labelOnly="1" outline="0" axis="axisValues" fieldPosition="0"/>
    </format>
    <format dxfId="2453">
      <pivotArea type="all" dataOnly="0" outline="0" fieldPosition="0"/>
    </format>
    <format dxfId="245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E8865928-DDA6-41C6-9572-E2E1544CDCFE}" name="PivotTable82"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389:F397" firstHeaderRow="1" firstDataRow="1" firstDataCol="1" rowPageCount="4" colPageCount="1"/>
  <pivotFields count="84">
    <pivotField showAll="0" defaultSubtotal="0"/>
    <pivotField axis="axisPage" multipleItemSelectionAllowed="1" showAll="0" defaultSubtotal="0">
      <items count="5">
        <item x="1"/>
        <item x="2"/>
        <item x="3"/>
        <item x="4"/>
        <item x="0"/>
      </items>
    </pivotField>
    <pivotField axis="axisPage" multipleItemSelectionAllowed="1" showAll="0" defaultSubtotal="0">
      <items count="2">
        <item x="1"/>
        <item h="1"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multipleItemSelectionAllowed="1" showAll="0" defaultSubtotal="0"/>
    <pivotField axis="axisPage" multipleItemSelectionAllowed="1" showAll="0">
      <items count="16">
        <item x="5"/>
        <item x="9"/>
        <item x="4"/>
        <item x="7"/>
        <item x="13"/>
        <item h="1" x="1"/>
        <item x="2"/>
        <item x="14"/>
        <item x="8"/>
        <item x="6"/>
        <item x="10"/>
        <item x="3"/>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4"/>
        <item x="12"/>
        <item x="2"/>
        <item x="1"/>
        <item x="0"/>
        <item x="15"/>
        <item x="8"/>
        <item x="10"/>
        <item x="7"/>
        <item x="16"/>
        <item x="6"/>
        <item x="17"/>
        <item x="13"/>
        <item x="14"/>
        <item x="9"/>
        <item x="3"/>
        <item x="11"/>
        <item x="5"/>
        <item x="18"/>
        <item t="default"/>
      </items>
    </pivotField>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0"/>
  </rowFields>
  <rowItems count="8">
    <i>
      <x v="6"/>
    </i>
    <i>
      <x v="7"/>
    </i>
    <i>
      <x v="8"/>
    </i>
    <i>
      <x v="9"/>
    </i>
    <i>
      <x v="10"/>
    </i>
    <i>
      <x v="14"/>
    </i>
    <i>
      <x v="16"/>
    </i>
    <i t="grand">
      <x/>
    </i>
  </rowItems>
  <colItems count="1">
    <i/>
  </colItems>
  <pageFields count="4">
    <pageField fld="9" hier="-1"/>
    <pageField fld="7" hier="-1"/>
    <pageField fld="2" hier="-1"/>
    <pageField fld="1" hier="-1"/>
  </pageFields>
  <dataFields count="1">
    <dataField name="Sum of Net Dwellings" fld="43" baseField="0" baseItem="0"/>
  </dataFields>
  <formats count="51">
    <format dxfId="2541">
      <pivotArea type="all" dataOnly="0" outline="0" fieldPosition="0"/>
    </format>
    <format dxfId="2540">
      <pivotArea type="all" dataOnly="0" outline="0" fieldPosition="0"/>
    </format>
    <format dxfId="2539">
      <pivotArea type="all" dataOnly="0" outline="0" fieldPosition="0"/>
    </format>
    <format dxfId="2538">
      <pivotArea type="all" dataOnly="0" outline="0" fieldPosition="0"/>
    </format>
    <format dxfId="2537">
      <pivotArea type="all" dataOnly="0" outline="0" fieldPosition="0"/>
    </format>
    <format dxfId="2536">
      <pivotArea type="all" dataOnly="0" outline="0" fieldPosition="0"/>
    </format>
    <format dxfId="2535">
      <pivotArea type="all" dataOnly="0" outline="0" fieldPosition="0"/>
    </format>
    <format dxfId="2534">
      <pivotArea dataOnly="0" labelOnly="1" outline="0" fieldPosition="0">
        <references count="1">
          <reference field="4294967294" count="1">
            <x v="0"/>
          </reference>
        </references>
      </pivotArea>
    </format>
    <format dxfId="2533">
      <pivotArea dataOnly="0" labelOnly="1" outline="0" fieldPosition="0">
        <references count="1">
          <reference field="4294967294" count="1">
            <x v="0"/>
          </reference>
        </references>
      </pivotArea>
    </format>
    <format dxfId="2532">
      <pivotArea dataOnly="0" labelOnly="1" outline="0" fieldPosition="0">
        <references count="1">
          <reference field="4294967294" count="1">
            <x v="0"/>
          </reference>
        </references>
      </pivotArea>
    </format>
    <format dxfId="2531">
      <pivotArea type="all" dataOnly="0" outline="0" fieldPosition="0"/>
    </format>
    <format dxfId="2530">
      <pivotArea type="all" dataOnly="0" outline="0" fieldPosition="0"/>
    </format>
    <format dxfId="2529">
      <pivotArea type="all" dataOnly="0" outline="0" fieldPosition="0"/>
    </format>
    <format dxfId="2528">
      <pivotArea type="all" dataOnly="0" outline="0" fieldPosition="0"/>
    </format>
    <format dxfId="2527">
      <pivotArea outline="0" collapsedLevelsAreSubtotals="1" fieldPosition="0"/>
    </format>
    <format dxfId="2526">
      <pivotArea dataOnly="0" labelOnly="1" grandRow="1" outline="0" fieldPosition="0"/>
    </format>
    <format dxfId="2525">
      <pivotArea dataOnly="0" labelOnly="1" outline="0" axis="axisValues" fieldPosition="0"/>
    </format>
    <format dxfId="2524">
      <pivotArea type="all" dataOnly="0" outline="0" fieldPosition="0"/>
    </format>
    <format dxfId="2523">
      <pivotArea outline="0" collapsedLevelsAreSubtotals="1" fieldPosition="0"/>
    </format>
    <format dxfId="2522">
      <pivotArea dataOnly="0" labelOnly="1" grandRow="1" outline="0" fieldPosition="0"/>
    </format>
    <format dxfId="2521">
      <pivotArea dataOnly="0" labelOnly="1" outline="0" axis="axisValues" fieldPosition="0"/>
    </format>
    <format dxfId="2520">
      <pivotArea type="all" dataOnly="0" outline="0" fieldPosition="0"/>
    </format>
    <format dxfId="2519">
      <pivotArea outline="0" collapsedLevelsAreSubtotals="1" fieldPosition="0"/>
    </format>
    <format dxfId="2518">
      <pivotArea dataOnly="0" labelOnly="1" grandRow="1" outline="0" fieldPosition="0"/>
    </format>
    <format dxfId="2517">
      <pivotArea dataOnly="0" labelOnly="1" outline="0" axis="axisValues" fieldPosition="0"/>
    </format>
    <format dxfId="2516">
      <pivotArea type="all" dataOnly="0" outline="0" fieldPosition="0"/>
    </format>
    <format dxfId="2515">
      <pivotArea outline="0" collapsedLevelsAreSubtotals="1" fieldPosition="0"/>
    </format>
    <format dxfId="2514">
      <pivotArea field="70" type="button" dataOnly="0" labelOnly="1" outline="0" axis="axisRow" fieldPosition="0"/>
    </format>
    <format dxfId="2513">
      <pivotArea dataOnly="0" labelOnly="1" grandRow="1" outline="0" fieldPosition="0"/>
    </format>
    <format dxfId="2512">
      <pivotArea dataOnly="0" labelOnly="1" outline="0" axis="axisValues" fieldPosition="0"/>
    </format>
    <format dxfId="2511">
      <pivotArea type="all" dataOnly="0" outline="0" fieldPosition="0"/>
    </format>
    <format dxfId="2510">
      <pivotArea outline="0" collapsedLevelsAreSubtotals="1" fieldPosition="0"/>
    </format>
    <format dxfId="2509">
      <pivotArea field="70" type="button" dataOnly="0" labelOnly="1" outline="0" axis="axisRow" fieldPosition="0"/>
    </format>
    <format dxfId="2508">
      <pivotArea dataOnly="0" labelOnly="1" grandRow="1" outline="0" fieldPosition="0"/>
    </format>
    <format dxfId="2507">
      <pivotArea dataOnly="0" labelOnly="1" outline="0" axis="axisValues" fieldPosition="0"/>
    </format>
    <format dxfId="2506">
      <pivotArea type="all" dataOnly="0" outline="0" fieldPosition="0"/>
    </format>
    <format dxfId="2505">
      <pivotArea outline="0" collapsedLevelsAreSubtotals="1" fieldPosition="0"/>
    </format>
    <format dxfId="2504">
      <pivotArea field="70" type="button" dataOnly="0" labelOnly="1" outline="0" axis="axisRow" fieldPosition="0"/>
    </format>
    <format dxfId="2503">
      <pivotArea dataOnly="0" labelOnly="1" grandRow="1" outline="0" fieldPosition="0"/>
    </format>
    <format dxfId="2502">
      <pivotArea dataOnly="0" labelOnly="1" outline="0" axis="axisValues" fieldPosition="0"/>
    </format>
    <format dxfId="2501">
      <pivotArea type="all" dataOnly="0" outline="0" fieldPosition="0"/>
    </format>
    <format dxfId="2500">
      <pivotArea outline="0" collapsedLevelsAreSubtotals="1" fieldPosition="0"/>
    </format>
    <format dxfId="2499">
      <pivotArea field="70" type="button" dataOnly="0" labelOnly="1" outline="0" axis="axisRow" fieldPosition="0"/>
    </format>
    <format dxfId="2498">
      <pivotArea dataOnly="0" labelOnly="1" grandRow="1" outline="0" fieldPosition="0"/>
    </format>
    <format dxfId="2497">
      <pivotArea dataOnly="0" labelOnly="1" outline="0" axis="axisValues" fieldPosition="0"/>
    </format>
    <format dxfId="2496">
      <pivotArea type="all" dataOnly="0" outline="0" fieldPosition="0"/>
    </format>
    <format dxfId="2495">
      <pivotArea outline="0" collapsedLevelsAreSubtotals="1" fieldPosition="0"/>
    </format>
    <format dxfId="2494">
      <pivotArea field="70" type="button" dataOnly="0" labelOnly="1" outline="0" axis="axisRow" fieldPosition="0"/>
    </format>
    <format dxfId="2493">
      <pivotArea dataOnly="0" labelOnly="1" fieldPosition="0">
        <references count="1">
          <reference field="70" count="7">
            <x v="1"/>
            <x v="5"/>
            <x v="7"/>
            <x v="9"/>
            <x v="10"/>
            <x v="13"/>
            <x v="14"/>
          </reference>
        </references>
      </pivotArea>
    </format>
    <format dxfId="2492">
      <pivotArea dataOnly="0" labelOnly="1" grandRow="1" outline="0" fieldPosition="0"/>
    </format>
    <format dxfId="249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B8D9641F-42AB-4FDE-9E41-51DA62B1A499}" name="PivotTable62"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55:B156" firstHeaderRow="1" firstDataRow="1" firstDataCol="0" rowPageCount="3"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x="0"/>
        <item h="1" x="5"/>
        <item h="1" x="6"/>
        <item h="1" x="2"/>
        <item h="1" x="3"/>
        <item h="1" x="1"/>
        <item h="1" x="7"/>
        <item h="1" x="4"/>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3">
    <pageField fld="7" hier="-1"/>
    <pageField fld="1" hier="-1"/>
    <pageField fld="8" hier="-1"/>
  </pageFields>
  <dataFields count="1">
    <dataField name="Sum of Net Dwellings" fld="43" baseField="0" baseItem="0"/>
  </dataFields>
  <formats count="40">
    <format dxfId="2581">
      <pivotArea type="all" dataOnly="0" outline="0" fieldPosition="0"/>
    </format>
    <format dxfId="2580">
      <pivotArea type="all" dataOnly="0" outline="0" fieldPosition="0"/>
    </format>
    <format dxfId="2579">
      <pivotArea type="all" dataOnly="0" outline="0" fieldPosition="0"/>
    </format>
    <format dxfId="2578">
      <pivotArea type="all" dataOnly="0" outline="0" fieldPosition="0"/>
    </format>
    <format dxfId="2577">
      <pivotArea type="all" dataOnly="0" outline="0" fieldPosition="0"/>
    </format>
    <format dxfId="2576">
      <pivotArea type="all" dataOnly="0" outline="0" fieldPosition="0"/>
    </format>
    <format dxfId="2575">
      <pivotArea type="all" dataOnly="0" outline="0" fieldPosition="0"/>
    </format>
    <format dxfId="2574">
      <pivotArea type="all" dataOnly="0" outline="0" fieldPosition="0"/>
    </format>
    <format dxfId="2573">
      <pivotArea type="all" dataOnly="0" outline="0" fieldPosition="0"/>
    </format>
    <format dxfId="2572">
      <pivotArea type="all" dataOnly="0" outline="0" fieldPosition="0"/>
    </format>
    <format dxfId="2571">
      <pivotArea type="all" dataOnly="0" outline="0" fieldPosition="0"/>
    </format>
    <format dxfId="2570">
      <pivotArea outline="0" collapsedLevelsAreSubtotals="1" fieldPosition="0"/>
    </format>
    <format dxfId="2569">
      <pivotArea dataOnly="0" labelOnly="1" outline="0" axis="axisValues" fieldPosition="0"/>
    </format>
    <format dxfId="2568">
      <pivotArea type="all" dataOnly="0" outline="0" fieldPosition="0"/>
    </format>
    <format dxfId="2567">
      <pivotArea outline="0" collapsedLevelsAreSubtotals="1" fieldPosition="0"/>
    </format>
    <format dxfId="2566">
      <pivotArea dataOnly="0" labelOnly="1" outline="0" axis="axisValues" fieldPosition="0"/>
    </format>
    <format dxfId="2565">
      <pivotArea type="all" dataOnly="0" outline="0" fieldPosition="0"/>
    </format>
    <format dxfId="2564">
      <pivotArea outline="0" collapsedLevelsAreSubtotals="1" fieldPosition="0"/>
    </format>
    <format dxfId="2563">
      <pivotArea dataOnly="0" labelOnly="1" outline="0" axis="axisValues" fieldPosition="0"/>
    </format>
    <format dxfId="2562">
      <pivotArea type="all" dataOnly="0" outline="0" fieldPosition="0"/>
    </format>
    <format dxfId="2561">
      <pivotArea outline="0" collapsedLevelsAreSubtotals="1" fieldPosition="0"/>
    </format>
    <format dxfId="2560">
      <pivotArea dataOnly="0" labelOnly="1" outline="0" axis="axisValues" fieldPosition="0"/>
    </format>
    <format dxfId="2559">
      <pivotArea type="all" dataOnly="0" outline="0" fieldPosition="0"/>
    </format>
    <format dxfId="2558">
      <pivotArea outline="0" collapsedLevelsAreSubtotals="1" fieldPosition="0"/>
    </format>
    <format dxfId="2557">
      <pivotArea dataOnly="0" labelOnly="1" outline="0" axis="axisValues" fieldPosition="0"/>
    </format>
    <format dxfId="2556">
      <pivotArea type="all" dataOnly="0" outline="0" fieldPosition="0"/>
    </format>
    <format dxfId="2555">
      <pivotArea outline="0" collapsedLevelsAreSubtotals="1" fieldPosition="0"/>
    </format>
    <format dxfId="2554">
      <pivotArea dataOnly="0" labelOnly="1" outline="0" axis="axisValues" fieldPosition="0"/>
    </format>
    <format dxfId="2553">
      <pivotArea type="all" dataOnly="0" outline="0" fieldPosition="0"/>
    </format>
    <format dxfId="2552">
      <pivotArea outline="0" collapsedLevelsAreSubtotals="1" fieldPosition="0"/>
    </format>
    <format dxfId="2551">
      <pivotArea dataOnly="0" labelOnly="1" outline="0" axis="axisValues" fieldPosition="0"/>
    </format>
    <format dxfId="2550">
      <pivotArea type="all" dataOnly="0" outline="0" fieldPosition="0"/>
    </format>
    <format dxfId="2549">
      <pivotArea outline="0" collapsedLevelsAreSubtotals="1" fieldPosition="0"/>
    </format>
    <format dxfId="2548">
      <pivotArea type="all" dataOnly="0" outline="0" fieldPosition="0"/>
    </format>
    <format dxfId="2547">
      <pivotArea outline="0" collapsedLevelsAreSubtotals="1" fieldPosition="0"/>
    </format>
    <format dxfId="2546">
      <pivotArea outline="0" collapsedLevelsAreSubtotals="1" fieldPosition="0"/>
    </format>
    <format dxfId="2545">
      <pivotArea type="all" dataOnly="0" outline="0" fieldPosition="0"/>
    </format>
    <format dxfId="2544">
      <pivotArea type="all" dataOnly="0" outline="0" fieldPosition="0"/>
    </format>
    <format dxfId="2543">
      <pivotArea outline="0" collapsedLevelsAreSubtotals="1" fieldPosition="0"/>
    </format>
    <format dxfId="25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E10536DE-2481-4CD1-AB9A-CB8272937345}" name="PivotTable55"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99:B100" firstHeaderRow="1" firstDataRow="1" firstDataCol="0" rowPageCount="2" colPageCount="1"/>
  <pivotFields count="84">
    <pivotField showAll="0" defaultSubtotal="0"/>
    <pivotField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h="1" x="5"/>
        <item x="6"/>
        <item h="1" x="2"/>
        <item h="1" x="3"/>
        <item h="1" x="1"/>
        <item h="1" x="4"/>
        <item h="1" x="7"/>
        <item h="1" x="0"/>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2">
    <pageField fld="7" hier="-1"/>
    <pageField fld="8" hier="-1"/>
  </pageFields>
  <dataFields count="1">
    <dataField name="Sum of Net Dwellings" fld="43" baseField="0" baseItem="0"/>
  </dataFields>
  <formats count="40">
    <format dxfId="2621">
      <pivotArea type="all" dataOnly="0" outline="0" fieldPosition="0"/>
    </format>
    <format dxfId="2620">
      <pivotArea type="all" dataOnly="0" outline="0" fieldPosition="0"/>
    </format>
    <format dxfId="2619">
      <pivotArea type="all" dataOnly="0" outline="0" fieldPosition="0"/>
    </format>
    <format dxfId="2618">
      <pivotArea type="all" dataOnly="0" outline="0" fieldPosition="0"/>
    </format>
    <format dxfId="2617">
      <pivotArea type="all" dataOnly="0" outline="0" fieldPosition="0"/>
    </format>
    <format dxfId="2616">
      <pivotArea type="all" dataOnly="0" outline="0" fieldPosition="0"/>
    </format>
    <format dxfId="2615">
      <pivotArea type="all" dataOnly="0" outline="0" fieldPosition="0"/>
    </format>
    <format dxfId="2614">
      <pivotArea type="all" dataOnly="0" outline="0" fieldPosition="0"/>
    </format>
    <format dxfId="2613">
      <pivotArea type="all" dataOnly="0" outline="0" fieldPosition="0"/>
    </format>
    <format dxfId="2612">
      <pivotArea type="all" dataOnly="0" outline="0" fieldPosition="0"/>
    </format>
    <format dxfId="2611">
      <pivotArea type="all" dataOnly="0" outline="0" fieldPosition="0"/>
    </format>
    <format dxfId="2610">
      <pivotArea outline="0" collapsedLevelsAreSubtotals="1" fieldPosition="0"/>
    </format>
    <format dxfId="2609">
      <pivotArea dataOnly="0" labelOnly="1" outline="0" axis="axisValues" fieldPosition="0"/>
    </format>
    <format dxfId="2608">
      <pivotArea type="all" dataOnly="0" outline="0" fieldPosition="0"/>
    </format>
    <format dxfId="2607">
      <pivotArea outline="0" collapsedLevelsAreSubtotals="1" fieldPosition="0"/>
    </format>
    <format dxfId="2606">
      <pivotArea dataOnly="0" labelOnly="1" outline="0" axis="axisValues" fieldPosition="0"/>
    </format>
    <format dxfId="2605">
      <pivotArea type="all" dataOnly="0" outline="0" fieldPosition="0"/>
    </format>
    <format dxfId="2604">
      <pivotArea outline="0" collapsedLevelsAreSubtotals="1" fieldPosition="0"/>
    </format>
    <format dxfId="2603">
      <pivotArea dataOnly="0" labelOnly="1" outline="0" axis="axisValues" fieldPosition="0"/>
    </format>
    <format dxfId="2602">
      <pivotArea type="all" dataOnly="0" outline="0" fieldPosition="0"/>
    </format>
    <format dxfId="2601">
      <pivotArea outline="0" collapsedLevelsAreSubtotals="1" fieldPosition="0"/>
    </format>
    <format dxfId="2600">
      <pivotArea dataOnly="0" labelOnly="1" outline="0" axis="axisValues" fieldPosition="0"/>
    </format>
    <format dxfId="2599">
      <pivotArea type="all" dataOnly="0" outline="0" fieldPosition="0"/>
    </format>
    <format dxfId="2598">
      <pivotArea outline="0" collapsedLevelsAreSubtotals="1" fieldPosition="0"/>
    </format>
    <format dxfId="2597">
      <pivotArea dataOnly="0" labelOnly="1" outline="0" axis="axisValues" fieldPosition="0"/>
    </format>
    <format dxfId="2596">
      <pivotArea type="all" dataOnly="0" outline="0" fieldPosition="0"/>
    </format>
    <format dxfId="2595">
      <pivotArea outline="0" collapsedLevelsAreSubtotals="1" fieldPosition="0"/>
    </format>
    <format dxfId="2594">
      <pivotArea dataOnly="0" labelOnly="1" outline="0" axis="axisValues" fieldPosition="0"/>
    </format>
    <format dxfId="2593">
      <pivotArea type="all" dataOnly="0" outline="0" fieldPosition="0"/>
    </format>
    <format dxfId="2592">
      <pivotArea outline="0" collapsedLevelsAreSubtotals="1" fieldPosition="0"/>
    </format>
    <format dxfId="2591">
      <pivotArea dataOnly="0" labelOnly="1" outline="0" axis="axisValues" fieldPosition="0"/>
    </format>
    <format dxfId="2590">
      <pivotArea type="all" dataOnly="0" outline="0" fieldPosition="0"/>
    </format>
    <format dxfId="2589">
      <pivotArea outline="0" collapsedLevelsAreSubtotals="1" fieldPosition="0"/>
    </format>
    <format dxfId="2588">
      <pivotArea type="all" dataOnly="0" outline="0" fieldPosition="0"/>
    </format>
    <format dxfId="2587">
      <pivotArea outline="0" collapsedLevelsAreSubtotals="1" fieldPosition="0"/>
    </format>
    <format dxfId="2586">
      <pivotArea outline="0" collapsedLevelsAreSubtotals="1" fieldPosition="0"/>
    </format>
    <format dxfId="2585">
      <pivotArea type="all" dataOnly="0" outline="0" fieldPosition="0"/>
    </format>
    <format dxfId="2584">
      <pivotArea type="all" dataOnly="0" outline="0" fieldPosition="0"/>
    </format>
    <format dxfId="2583">
      <pivotArea outline="0" collapsedLevelsAreSubtotals="1" fieldPosition="0"/>
    </format>
    <format dxfId="258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15905ED9-373A-43D8-A1FD-643FE74C8234}" name="PivotTable37"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15:K416" firstHeaderRow="0" firstDataRow="1" firstDataCol="0" rowPageCount="2"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x="1"/>
        <item x="2"/>
        <item x="3"/>
        <item x="6"/>
        <item x="4"/>
        <item x="5"/>
      </items>
    </pivotField>
    <pivotField showAll="0" defaultSubtotal="0"/>
    <pivotField axis="axisPage" multipleItemSelectionAllowed="1" showAll="0">
      <items count="16">
        <item x="14"/>
        <item x="6"/>
        <item x="10"/>
        <item x="11"/>
        <item x="12"/>
        <item x="2"/>
        <item x="3"/>
        <item x="0"/>
        <item x="13"/>
        <item h="1" x="1"/>
        <item x="7"/>
        <item x="4"/>
        <item x="5"/>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Fields count="1">
    <field x="-2"/>
  </colFields>
  <colItems count="10">
    <i>
      <x/>
    </i>
    <i i="1">
      <x v="1"/>
    </i>
    <i i="2">
      <x v="2"/>
    </i>
    <i i="3">
      <x v="3"/>
    </i>
    <i i="4">
      <x v="4"/>
    </i>
    <i i="5">
      <x v="5"/>
    </i>
    <i i="6">
      <x v="6"/>
    </i>
    <i i="7">
      <x v="7"/>
    </i>
    <i i="8">
      <x v="8"/>
    </i>
    <i i="9">
      <x v="9"/>
    </i>
  </colItems>
  <pageFields count="2">
    <pageField fld="7" hier="-1"/>
    <pageField fld="9" hier="-1"/>
  </pageFields>
  <dataFields count="10">
    <dataField name="Sum of 2024/25 (1)" fld="46" baseField="0" baseItem="0"/>
    <dataField name="Sum of 2025/26 (2)" fld="47" baseField="0" baseItem="0"/>
    <dataField name="Sum of 2026/27 (3)" fld="48" baseField="0" baseItem="0"/>
    <dataField name="Sum of 2027/28 (4)" fld="49" baseField="0" baseItem="0"/>
    <dataField name="Sum of 2028/29 (5)" fld="50" baseField="0" baseItem="0"/>
    <dataField name="Sum of 2029/30 (6)" fld="51" baseField="0" baseItem="0"/>
    <dataField name="Sum of 2030/31 (7)" fld="52" baseField="0" baseItem="0"/>
    <dataField name="Sum of 2031/32 (8)" fld="53" baseField="0" baseItem="0"/>
    <dataField name="Sum of 2032/33 (9)" fld="54" baseField="0" baseItem="0"/>
    <dataField name="Sum of 2033/34 (10)" fld="55" baseField="0" baseItem="0"/>
  </dataFields>
  <formats count="28">
    <format dxfId="2649">
      <pivotArea type="all" dataOnly="0" outline="0" fieldPosition="0"/>
    </format>
    <format dxfId="2648">
      <pivotArea type="all" dataOnly="0" outline="0" fieldPosition="0"/>
    </format>
    <format dxfId="2647">
      <pivotArea type="all" dataOnly="0" outline="0" fieldPosition="0"/>
    </format>
    <format dxfId="2646">
      <pivotArea type="all" dataOnly="0" outline="0" fieldPosition="0"/>
    </format>
    <format dxfId="2645">
      <pivotArea type="all" dataOnly="0" outline="0" fieldPosition="0"/>
    </format>
    <format dxfId="2644">
      <pivotArea type="all" dataOnly="0" outline="0" fieldPosition="0"/>
    </format>
    <format dxfId="2643">
      <pivotArea type="all" dataOnly="0" outline="0" fieldPosition="0"/>
    </format>
    <format dxfId="2642">
      <pivotArea outline="0" collapsedLevelsAreSubtotals="1" fieldPosition="0"/>
    </format>
    <format dxfId="2641">
      <pivotArea type="all" dataOnly="0" outline="0" fieldPosition="0"/>
    </format>
    <format dxfId="2640">
      <pivotArea type="all" dataOnly="0" outline="0" fieldPosition="0"/>
    </format>
    <format dxfId="2639">
      <pivotArea type="all" dataOnly="0" outline="0" fieldPosition="0"/>
    </format>
    <format dxfId="2638">
      <pivotArea type="all" dataOnly="0" outline="0" fieldPosition="0"/>
    </format>
    <format dxfId="2637">
      <pivotArea outline="0" collapsedLevelsAreSubtotals="1" fieldPosition="0"/>
    </format>
    <format dxfId="2636">
      <pivotArea type="all" dataOnly="0" outline="0" fieldPosition="0"/>
    </format>
    <format dxfId="2635">
      <pivotArea outline="0" collapsedLevelsAreSubtotals="1" fieldPosition="0"/>
    </format>
    <format dxfId="2634">
      <pivotArea type="all" dataOnly="0" outline="0" fieldPosition="0"/>
    </format>
    <format dxfId="2633">
      <pivotArea outline="0" collapsedLevelsAreSubtotals="1" fieldPosition="0"/>
    </format>
    <format dxfId="2632">
      <pivotArea type="all" dataOnly="0" outline="0" fieldPosition="0"/>
    </format>
    <format dxfId="2631">
      <pivotArea outline="0" collapsedLevelsAreSubtotals="1" fieldPosition="0"/>
    </format>
    <format dxfId="2630">
      <pivotArea type="all" dataOnly="0" outline="0" fieldPosition="0"/>
    </format>
    <format dxfId="2629">
      <pivotArea outline="0" collapsedLevelsAreSubtotals="1" fieldPosition="0"/>
    </format>
    <format dxfId="2628">
      <pivotArea type="all" dataOnly="0" outline="0" fieldPosition="0"/>
    </format>
    <format dxfId="2627">
      <pivotArea outline="0" collapsedLevelsAreSubtotals="1" fieldPosition="0"/>
    </format>
    <format dxfId="2626">
      <pivotArea outline="0" collapsedLevelsAreSubtotals="1" fieldPosition="0"/>
    </format>
    <format dxfId="2625">
      <pivotArea type="all" dataOnly="0" outline="0" fieldPosition="0"/>
    </format>
    <format dxfId="2624">
      <pivotArea type="all" dataOnly="0" outline="0" fieldPosition="0"/>
    </format>
    <format dxfId="2623">
      <pivotArea outline="0" collapsedLevelsAreSubtotals="1" fieldPosition="0"/>
    </format>
    <format dxfId="2622">
      <pivotArea outline="0" collapsedLevelsAreSubtotals="1" fieldPosition="0">
        <references count="1">
          <reference field="4294967294" count="5" selected="0">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84C1A770-27B4-4C51-80CD-8F618E194DEC}" name="PivotTable91" cacheId="0" applyNumberFormats="0" applyBorderFormats="0" applyFontFormats="0" applyPatternFormats="0" applyAlignmentFormats="0" applyWidthHeightFormats="1" dataCaption="Values" updatedVersion="8" minRefreshableVersion="3" itemPrintTitles="1" createdVersion="4" indent="0" outline="1" outlineData="1" multipleFieldFilters="0" rowHeaderCaption="SELECT SITES">
  <location ref="E46:F49" firstHeaderRow="1" firstDataRow="1" firstDataCol="1" rowPageCount="1" colPageCount="1"/>
  <pivotFields count="84">
    <pivotField showAll="0"/>
    <pivotField multipleItemSelectionAllowed="1" showAll="0" defaultSubtotal="0"/>
    <pivotField multipleItemSelectionAllowed="1" showAll="0"/>
    <pivotField numFmtId="14"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numFmtId="14" showAll="0"/>
    <pivotField showAll="0" defaultSubtotal="0"/>
    <pivotField showAll="0" defaultSubtotal="0"/>
    <pivotField axis="axisPage" multipleItemSelectionAllowed="1" showAll="0">
      <items count="8">
        <item h="1" x="0"/>
        <item h="1" x="1"/>
        <item h="1" x="2"/>
        <item h="1" x="6"/>
        <item x="3"/>
        <item h="1" x="4"/>
        <item h="1" x="5"/>
        <item t="default"/>
      </items>
    </pivotField>
    <pivotField showAll="0"/>
    <pivotField axis="axisRow" showAll="0" sortType="ascending">
      <items count="16">
        <item x="5"/>
        <item x="9"/>
        <item x="4"/>
        <item x="7"/>
        <item x="13"/>
        <item x="1"/>
        <item x="2"/>
        <item x="14"/>
        <item x="8"/>
        <item x="6"/>
        <item x="10"/>
        <item x="3"/>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9"/>
  </rowFields>
  <rowItems count="3">
    <i>
      <x v="6"/>
    </i>
    <i>
      <x v="11"/>
    </i>
    <i t="grand">
      <x/>
    </i>
  </rowItems>
  <colItems count="1">
    <i/>
  </colItems>
  <pageFields count="1">
    <pageField fld="7" hier="-1"/>
  </pageFields>
  <dataFields count="1">
    <dataField name="Sum of 2024-2034 Total" fld="63" baseField="0" baseItem="0"/>
  </dataFields>
  <formats count="80">
    <format dxfId="2729">
      <pivotArea type="all" dataOnly="0" outline="0" fieldPosition="0"/>
    </format>
    <format dxfId="2728">
      <pivotArea type="all" dataOnly="0" outline="0" fieldPosition="0"/>
    </format>
    <format dxfId="2727">
      <pivotArea type="all" dataOnly="0" outline="0" fieldPosition="0"/>
    </format>
    <format dxfId="2726">
      <pivotArea type="all" dataOnly="0" outline="0" fieldPosition="0"/>
    </format>
    <format dxfId="2725">
      <pivotArea type="all" dataOnly="0" outline="0" fieldPosition="0"/>
    </format>
    <format dxfId="2724">
      <pivotArea type="all" dataOnly="0" outline="0" fieldPosition="0"/>
    </format>
    <format dxfId="2723">
      <pivotArea type="all" dataOnly="0" outline="0" fieldPosition="0"/>
    </format>
    <format dxfId="2722">
      <pivotArea type="all" dataOnly="0" outline="0" fieldPosition="0"/>
    </format>
    <format dxfId="2721">
      <pivotArea type="all" dataOnly="0" outline="0" fieldPosition="0"/>
    </format>
    <format dxfId="2720">
      <pivotArea type="all" dataOnly="0" outline="0" fieldPosition="0"/>
    </format>
    <format dxfId="2719">
      <pivotArea type="all" dataOnly="0" outline="0" fieldPosition="0"/>
    </format>
    <format dxfId="2718">
      <pivotArea outline="0" collapsedLevelsAreSubtotals="1" fieldPosition="0"/>
    </format>
    <format dxfId="2717">
      <pivotArea dataOnly="0" labelOnly="1" outline="0" axis="axisValues" fieldPosition="0"/>
    </format>
    <format dxfId="2716">
      <pivotArea type="all" dataOnly="0" outline="0" fieldPosition="0"/>
    </format>
    <format dxfId="2715">
      <pivotArea outline="0" collapsedLevelsAreSubtotals="1" fieldPosition="0"/>
    </format>
    <format dxfId="2714">
      <pivotArea dataOnly="0" labelOnly="1" grandRow="1" outline="0" fieldPosition="0"/>
    </format>
    <format dxfId="2713">
      <pivotArea dataOnly="0" labelOnly="1" outline="0" axis="axisValues" fieldPosition="0"/>
    </format>
    <format dxfId="2712">
      <pivotArea type="all" dataOnly="0" outline="0" fieldPosition="0"/>
    </format>
    <format dxfId="2711">
      <pivotArea outline="0" collapsedLevelsAreSubtotals="1" fieldPosition="0"/>
    </format>
    <format dxfId="2710">
      <pivotArea dataOnly="0" labelOnly="1" grandRow="1" outline="0" fieldPosition="0"/>
    </format>
    <format dxfId="2709">
      <pivotArea dataOnly="0" labelOnly="1" outline="0" axis="axisValues" fieldPosition="0"/>
    </format>
    <format dxfId="2708">
      <pivotArea type="all" dataOnly="0" outline="0" fieldPosition="0"/>
    </format>
    <format dxfId="2707">
      <pivotArea type="all" dataOnly="0" outline="0" fieldPosition="0"/>
    </format>
    <format dxfId="2706">
      <pivotArea outline="0" collapsedLevelsAreSubtotals="1" fieldPosition="0"/>
    </format>
    <format dxfId="2705">
      <pivotArea dataOnly="0" labelOnly="1" grandRow="1" outline="0" fieldPosition="0"/>
    </format>
    <format dxfId="2704">
      <pivotArea dataOnly="0" labelOnly="1" outline="0" axis="axisValues" fieldPosition="0"/>
    </format>
    <format dxfId="2703">
      <pivotArea type="all" dataOnly="0" outline="0" fieldPosition="0"/>
    </format>
    <format dxfId="2702">
      <pivotArea outline="0" collapsedLevelsAreSubtotals="1" fieldPosition="0"/>
    </format>
    <format dxfId="2701">
      <pivotArea dataOnly="0" labelOnly="1" grandRow="1" outline="0" fieldPosition="0"/>
    </format>
    <format dxfId="2700">
      <pivotArea dataOnly="0" labelOnly="1" outline="0" axis="axisValues" fieldPosition="0"/>
    </format>
    <format dxfId="2699">
      <pivotArea type="all" dataOnly="0" outline="0" fieldPosition="0"/>
    </format>
    <format dxfId="2698">
      <pivotArea outline="0" collapsedLevelsAreSubtotals="1" fieldPosition="0"/>
    </format>
    <format dxfId="2697">
      <pivotArea dataOnly="0" labelOnly="1" grandRow="1" outline="0" fieldPosition="0"/>
    </format>
    <format dxfId="2696">
      <pivotArea dataOnly="0" labelOnly="1" outline="0" axis="axisValues" fieldPosition="0"/>
    </format>
    <format dxfId="2695">
      <pivotArea type="all" dataOnly="0" outline="0" fieldPosition="0"/>
    </format>
    <format dxfId="2694">
      <pivotArea outline="0" collapsedLevelsAreSubtotals="1" fieldPosition="0"/>
    </format>
    <format dxfId="2693">
      <pivotArea dataOnly="0" labelOnly="1" grandRow="1" outline="0" fieldPosition="0"/>
    </format>
    <format dxfId="2692">
      <pivotArea dataOnly="0" labelOnly="1" outline="0" axis="axisValues" fieldPosition="0"/>
    </format>
    <format dxfId="2691">
      <pivotArea type="all" dataOnly="0" outline="0" fieldPosition="0"/>
    </format>
    <format dxfId="2690">
      <pivotArea outline="0" collapsedLevelsAreSubtotals="1" fieldPosition="0"/>
    </format>
    <format dxfId="2689">
      <pivotArea dataOnly="0" labelOnly="1" grandRow="1" outline="0" fieldPosition="0"/>
    </format>
    <format dxfId="2688">
      <pivotArea dataOnly="0" labelOnly="1" outline="0" axis="axisValues" fieldPosition="0"/>
    </format>
    <format dxfId="2687">
      <pivotArea type="all" dataOnly="0" outline="0" fieldPosition="0"/>
    </format>
    <format dxfId="2686">
      <pivotArea outline="0" collapsedLevelsAreSubtotals="1" fieldPosition="0"/>
    </format>
    <format dxfId="2685">
      <pivotArea dataOnly="0" labelOnly="1" grandRow="1" outline="0" fieldPosition="0"/>
    </format>
    <format dxfId="2684">
      <pivotArea dataOnly="0" labelOnly="1" outline="0" axis="axisValues" fieldPosition="0"/>
    </format>
    <format dxfId="2683">
      <pivotArea type="all" dataOnly="0" outline="0" fieldPosition="0"/>
    </format>
    <format dxfId="2682">
      <pivotArea outline="0" collapsedLevelsAreSubtotals="1" fieldPosition="0"/>
    </format>
    <format dxfId="2681">
      <pivotArea dataOnly="0" labelOnly="1" grandRow="1" outline="0" fieldPosition="0"/>
    </format>
    <format dxfId="2680">
      <pivotArea dataOnly="0" labelOnly="1" outline="0" axis="axisValues" fieldPosition="0"/>
    </format>
    <format dxfId="2679">
      <pivotArea type="all" dataOnly="0" outline="0" fieldPosition="0"/>
    </format>
    <format dxfId="2678">
      <pivotArea outline="0" collapsedLevelsAreSubtotals="1" fieldPosition="0"/>
    </format>
    <format dxfId="2677">
      <pivotArea dataOnly="0" labelOnly="1" grandRow="1" outline="0" fieldPosition="0"/>
    </format>
    <format dxfId="2676">
      <pivotArea dataOnly="0" labelOnly="1" outline="0" axis="axisValues" fieldPosition="0"/>
    </format>
    <format dxfId="2675">
      <pivotArea type="all" dataOnly="0" outline="0" fieldPosition="0"/>
    </format>
    <format dxfId="2674">
      <pivotArea type="all" dataOnly="0" outline="0" fieldPosition="0"/>
    </format>
    <format dxfId="2673">
      <pivotArea dataOnly="0" labelOnly="1" grandRow="1" outline="0" fieldPosition="0"/>
    </format>
    <format dxfId="2672">
      <pivotArea dataOnly="0" labelOnly="1" grandRow="1" outline="0" fieldPosition="0"/>
    </format>
    <format dxfId="2671">
      <pivotArea type="all" dataOnly="0" outline="0" fieldPosition="0"/>
    </format>
    <format dxfId="2670">
      <pivotArea outline="0" collapsedLevelsAreSubtotals="1" fieldPosition="0"/>
    </format>
    <format dxfId="2669">
      <pivotArea field="9" type="button" dataOnly="0" labelOnly="1" outline="0" axis="axisRow" fieldPosition="0"/>
    </format>
    <format dxfId="2668">
      <pivotArea dataOnly="0" labelOnly="1" fieldPosition="0">
        <references count="1">
          <reference field="9" count="5">
            <x v="7"/>
            <x v="9"/>
            <x v="10"/>
            <x v="12"/>
            <x v="13"/>
          </reference>
        </references>
      </pivotArea>
    </format>
    <format dxfId="2667">
      <pivotArea dataOnly="0" labelOnly="1" grandRow="1" outline="0" fieldPosition="0"/>
    </format>
    <format dxfId="2666">
      <pivotArea dataOnly="0" labelOnly="1" outline="0" axis="axisValues" fieldPosition="0"/>
    </format>
    <format dxfId="2665">
      <pivotArea type="all" dataOnly="0" outline="0" fieldPosition="0"/>
    </format>
    <format dxfId="2664">
      <pivotArea dataOnly="0" labelOnly="1" fieldPosition="0">
        <references count="1">
          <reference field="9" count="5">
            <x v="7"/>
            <x v="9"/>
            <x v="10"/>
            <x v="12"/>
            <x v="13"/>
          </reference>
        </references>
      </pivotArea>
    </format>
    <format dxfId="2663">
      <pivotArea type="all" dataOnly="0" outline="0" fieldPosition="0"/>
    </format>
    <format dxfId="2662">
      <pivotArea dataOnly="0" labelOnly="1" fieldPosition="0">
        <references count="1">
          <reference field="9" count="5">
            <x v="7"/>
            <x v="9"/>
            <x v="10"/>
            <x v="12"/>
            <x v="13"/>
          </reference>
        </references>
      </pivotArea>
    </format>
    <format dxfId="2661">
      <pivotArea collapsedLevelsAreSubtotals="1" fieldPosition="0">
        <references count="1">
          <reference field="9" count="5">
            <x v="7"/>
            <x v="9"/>
            <x v="10"/>
            <x v="12"/>
            <x v="13"/>
          </reference>
        </references>
      </pivotArea>
    </format>
    <format dxfId="2660">
      <pivotArea type="all" dataOnly="0" outline="0" fieldPosition="0"/>
    </format>
    <format dxfId="2659">
      <pivotArea outline="0" collapsedLevelsAreSubtotals="1" fieldPosition="0"/>
    </format>
    <format dxfId="2658">
      <pivotArea field="9" type="button" dataOnly="0" labelOnly="1" outline="0" axis="axisRow" fieldPosition="0"/>
    </format>
    <format dxfId="2657">
      <pivotArea dataOnly="0" labelOnly="1" fieldPosition="0">
        <references count="1">
          <reference field="9" count="2">
            <x v="6"/>
            <x v="11"/>
          </reference>
        </references>
      </pivotArea>
    </format>
    <format dxfId="2656">
      <pivotArea type="all" dataOnly="0" outline="0" fieldPosition="0"/>
    </format>
    <format dxfId="2655">
      <pivotArea outline="0" collapsedLevelsAreSubtotals="1" fieldPosition="0"/>
    </format>
    <format dxfId="2654">
      <pivotArea field="9" type="button" dataOnly="0" labelOnly="1" outline="0" axis="axisRow" fieldPosition="0"/>
    </format>
    <format dxfId="2653">
      <pivotArea dataOnly="0" labelOnly="1" fieldPosition="0">
        <references count="1">
          <reference field="9" count="2">
            <x v="6"/>
            <x v="11"/>
          </reference>
        </references>
      </pivotArea>
    </format>
    <format dxfId="2652">
      <pivotArea dataOnly="0" labelOnly="1" grandRow="1" outline="0" fieldPosition="0"/>
    </format>
    <format dxfId="2651">
      <pivotArea dataOnly="0" labelOnly="1" outline="0" axis="axisValues" fieldPosition="0"/>
    </format>
    <format dxfId="2650">
      <pivotArea collapsedLevelsAreSubtotals="1" fieldPosition="0">
        <references count="1">
          <reference field="9"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0E5703B9-BC81-4A7C-99D9-4BE63D6F262E}" name="PivotTable48"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40:F243" firstHeaderRow="1" firstDataRow="1" firstDataCol="1" rowPageCount="1" colPageCount="1"/>
  <pivotFields count="84">
    <pivotField showAll="0" defaultSubtotal="0"/>
    <pivotField multipleItemSelectionAllowed="1" showAll="0" defaultSubtotal="0"/>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4"/>
  </rowFields>
  <rowItems count="3">
    <i>
      <x/>
    </i>
    <i>
      <x v="1"/>
    </i>
    <i t="grand">
      <x/>
    </i>
  </rowItems>
  <colItems count="1">
    <i/>
  </colItems>
  <pageFields count="1">
    <pageField fld="7" hier="-1"/>
  </pageFields>
  <dataFields count="1">
    <dataField name="Sum of Net Dwellings" fld="43" baseField="0" baseItem="0"/>
  </dataFields>
  <formats count="36">
    <format dxfId="2765">
      <pivotArea type="all" dataOnly="0" outline="0" fieldPosition="0"/>
    </format>
    <format dxfId="2764">
      <pivotArea type="all" dataOnly="0" outline="0" fieldPosition="0"/>
    </format>
    <format dxfId="2763">
      <pivotArea type="all" dataOnly="0" outline="0" fieldPosition="0"/>
    </format>
    <format dxfId="2762">
      <pivotArea type="all" dataOnly="0" outline="0" fieldPosition="0"/>
    </format>
    <format dxfId="2761">
      <pivotArea type="all" dataOnly="0" outline="0" fieldPosition="0"/>
    </format>
    <format dxfId="2760">
      <pivotArea type="all" dataOnly="0" outline="0" fieldPosition="0"/>
    </format>
    <format dxfId="2759">
      <pivotArea type="all" dataOnly="0" outline="0" fieldPosition="0"/>
    </format>
    <format dxfId="2758">
      <pivotArea type="all" dataOnly="0" outline="0" fieldPosition="0"/>
    </format>
    <format dxfId="2757">
      <pivotArea type="all" dataOnly="0" outline="0" fieldPosition="0"/>
    </format>
    <format dxfId="2756">
      <pivotArea type="all" dataOnly="0" outline="0" fieldPosition="0"/>
    </format>
    <format dxfId="2755">
      <pivotArea type="all" dataOnly="0" outline="0" fieldPosition="0"/>
    </format>
    <format dxfId="2754">
      <pivotArea outline="0" collapsedLevelsAreSubtotals="1" fieldPosition="0"/>
    </format>
    <format dxfId="2753">
      <pivotArea dataOnly="0" labelOnly="1" grandRow="1" outline="0" fieldPosition="0"/>
    </format>
    <format dxfId="2752">
      <pivotArea dataOnly="0" labelOnly="1" outline="0" axis="axisValues" fieldPosition="0"/>
    </format>
    <format dxfId="2751">
      <pivotArea type="all" dataOnly="0" outline="0" fieldPosition="0"/>
    </format>
    <format dxfId="2750">
      <pivotArea outline="0" collapsedLevelsAreSubtotals="1" fieldPosition="0"/>
    </format>
    <format dxfId="2749">
      <pivotArea dataOnly="0" labelOnly="1" grandRow="1" outline="0" fieldPosition="0"/>
    </format>
    <format dxfId="2748">
      <pivotArea dataOnly="0" labelOnly="1" outline="0" axis="axisValues" fieldPosition="0"/>
    </format>
    <format dxfId="2747">
      <pivotArea type="all" dataOnly="0" outline="0" fieldPosition="0"/>
    </format>
    <format dxfId="2746">
      <pivotArea outline="0" collapsedLevelsAreSubtotals="1" fieldPosition="0"/>
    </format>
    <format dxfId="2745">
      <pivotArea dataOnly="0" labelOnly="1" grandRow="1" outline="0" fieldPosition="0"/>
    </format>
    <format dxfId="2744">
      <pivotArea dataOnly="0" labelOnly="1" outline="0" axis="axisValues" fieldPosition="0"/>
    </format>
    <format dxfId="2743">
      <pivotArea type="all" dataOnly="0" outline="0" fieldPosition="0"/>
    </format>
    <format dxfId="2742">
      <pivotArea outline="0" collapsedLevelsAreSubtotals="1" fieldPosition="0"/>
    </format>
    <format dxfId="2741">
      <pivotArea dataOnly="0" labelOnly="1" grandRow="1" outline="0" fieldPosition="0"/>
    </format>
    <format dxfId="2740">
      <pivotArea dataOnly="0" labelOnly="1" outline="0" axis="axisValues" fieldPosition="0"/>
    </format>
    <format dxfId="2739">
      <pivotArea type="all" dataOnly="0" outline="0" fieldPosition="0"/>
    </format>
    <format dxfId="2738">
      <pivotArea outline="0" collapsedLevelsAreSubtotals="1" fieldPosition="0"/>
    </format>
    <format dxfId="2737">
      <pivotArea field="74" type="button" dataOnly="0" labelOnly="1" outline="0" axis="axisRow" fieldPosition="0"/>
    </format>
    <format dxfId="2736">
      <pivotArea dataOnly="0" labelOnly="1" fieldPosition="0">
        <references count="1">
          <reference field="74" count="0"/>
        </references>
      </pivotArea>
    </format>
    <format dxfId="2735">
      <pivotArea dataOnly="0" labelOnly="1" grandRow="1" outline="0" fieldPosition="0"/>
    </format>
    <format dxfId="2734">
      <pivotArea dataOnly="0" labelOnly="1" outline="0" axis="axisValues" fieldPosition="0"/>
    </format>
    <format dxfId="2733">
      <pivotArea type="all" dataOnly="0" outline="0" fieldPosition="0"/>
    </format>
    <format dxfId="2732">
      <pivotArea outline="0" collapsedLevelsAreSubtotals="1" fieldPosition="0"/>
    </format>
    <format dxfId="2731">
      <pivotArea dataOnly="0" labelOnly="1" grandRow="1" outline="0" fieldPosition="0"/>
    </format>
    <format dxfId="27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EE751E4E-106C-489C-A43A-E8F46830347A}" name="PivotTable41" cacheId="0" applyNumberFormats="0" applyBorderFormats="0" applyFontFormats="0" applyPatternFormats="0" applyAlignmentFormats="0" applyWidthHeightFormats="1" dataCaption="Values" missingCaption="0" updatedVersion="8" minRefreshableVersion="3" itemPrintTitles="1" createdVersion="4" indent="0" outline="1" outlineData="1" multipleFieldFilters="0">
  <location ref="H501:I510" firstHeaderRow="1" firstDataRow="1" firstDataCol="1" rowPageCount="4" colPageCount="1"/>
  <pivotFields count="84">
    <pivotField showAll="0" defaultSubtotal="0"/>
    <pivotField axis="axisPage" multipleItemSelectionAllowed="1" showAll="0" defaultSubtotal="0">
      <items count="5">
        <item x="1"/>
        <item x="2"/>
        <item x="3"/>
        <item h="1" x="4"/>
        <item h="1" x="0"/>
      </items>
    </pivotField>
    <pivotField axis="axisPage" multipleItemSelectionAllowed="1" showAll="0" defaultSubtotal="0">
      <items count="2">
        <item x="1"/>
        <item x="0"/>
      </items>
    </pivotField>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h="1" x="0"/>
        <item x="1"/>
        <item h="1" x="2"/>
        <item h="1" x="6"/>
        <item h="1" x="3"/>
        <item h="1" x="4"/>
        <item h="1" x="5"/>
      </items>
    </pivotField>
    <pivotField multipleItemSelectionAllowed="1" showAll="0" defaultSubtotal="0"/>
    <pivotField axis="axisPage" multipleItemSelectionAllowed="1" showAll="0">
      <items count="16">
        <item x="5"/>
        <item x="9"/>
        <item x="4"/>
        <item x="7"/>
        <item x="13"/>
        <item h="1" x="1"/>
        <item x="2"/>
        <item x="14"/>
        <item x="8"/>
        <item x="6"/>
        <item x="10"/>
        <item x="3"/>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3"/>
        <item x="2"/>
        <item x="6"/>
        <item x="5"/>
        <item x="1"/>
        <item x="4"/>
        <item x="0"/>
        <item t="default"/>
      </items>
    </pivotField>
    <pivotField showAll="0" sortType="ascending">
      <items count="20">
        <item x="4"/>
        <item x="12"/>
        <item x="14"/>
        <item x="3"/>
        <item x="2"/>
        <item x="1"/>
        <item x="11"/>
        <item x="0"/>
        <item x="15"/>
        <item x="9"/>
        <item x="18"/>
        <item x="8"/>
        <item x="10"/>
        <item x="7"/>
        <item x="5"/>
        <item x="16"/>
        <item x="6"/>
        <item x="17"/>
        <item x="13"/>
        <item t="default"/>
      </items>
    </pivotField>
    <pivotField showAll="0"/>
    <pivotField showAll="0"/>
    <pivotField showAll="0"/>
    <pivotField showAll="0"/>
    <pivotField showAll="0"/>
    <pivotField showAll="0"/>
    <pivotField showAll="0"/>
    <pivotField showAll="0"/>
    <pivotField axis="axisRow" showAll="0">
      <items count="11">
        <item x="3"/>
        <item x="2"/>
        <item x="1"/>
        <item x="8"/>
        <item x="7"/>
        <item x="5"/>
        <item x="6"/>
        <item x="4"/>
        <item x="0"/>
        <item x="9"/>
        <item t="default"/>
      </items>
    </pivotField>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Fields count="1">
    <field x="79"/>
  </rowFields>
  <rowItems count="9">
    <i>
      <x v="1"/>
    </i>
    <i>
      <x v="2"/>
    </i>
    <i>
      <x v="3"/>
    </i>
    <i>
      <x v="4"/>
    </i>
    <i>
      <x v="5"/>
    </i>
    <i>
      <x v="6"/>
    </i>
    <i>
      <x v="7"/>
    </i>
    <i>
      <x v="8"/>
    </i>
    <i t="grand">
      <x/>
    </i>
  </rowItems>
  <colItems count="1">
    <i/>
  </colItems>
  <pageFields count="4">
    <pageField fld="9" hier="-1"/>
    <pageField fld="7" hier="-1"/>
    <pageField fld="2" hier="-1"/>
    <pageField fld="1" hier="-1"/>
  </pageFields>
  <dataFields count="1">
    <dataField name="Sum of Net Dwellings" fld="43" baseField="0" baseItem="0"/>
  </dataFields>
  <formats count="49">
    <format dxfId="2814">
      <pivotArea type="all" dataOnly="0" outline="0" fieldPosition="0"/>
    </format>
    <format dxfId="2813">
      <pivotArea type="all" dataOnly="0" outline="0" fieldPosition="0"/>
    </format>
    <format dxfId="2812">
      <pivotArea type="all" dataOnly="0" outline="0" fieldPosition="0"/>
    </format>
    <format dxfId="2811">
      <pivotArea type="all" dataOnly="0" outline="0" fieldPosition="0"/>
    </format>
    <format dxfId="2810">
      <pivotArea type="all" dataOnly="0" outline="0" fieldPosition="0"/>
    </format>
    <format dxfId="2809">
      <pivotArea type="all" dataOnly="0" outline="0" fieldPosition="0"/>
    </format>
    <format dxfId="2808">
      <pivotArea type="all" dataOnly="0" outline="0" fieldPosition="0"/>
    </format>
    <format dxfId="2807">
      <pivotArea dataOnly="0" labelOnly="1" outline="0" fieldPosition="0">
        <references count="1">
          <reference field="4294967294" count="1">
            <x v="0"/>
          </reference>
        </references>
      </pivotArea>
    </format>
    <format dxfId="2806">
      <pivotArea dataOnly="0" labelOnly="1" outline="0" fieldPosition="0">
        <references count="1">
          <reference field="4294967294" count="1">
            <x v="0"/>
          </reference>
        </references>
      </pivotArea>
    </format>
    <format dxfId="2805">
      <pivotArea dataOnly="0" labelOnly="1" outline="0" fieldPosition="0">
        <references count="1">
          <reference field="4294967294" count="1">
            <x v="0"/>
          </reference>
        </references>
      </pivotArea>
    </format>
    <format dxfId="2804">
      <pivotArea type="all" dataOnly="0" outline="0" fieldPosition="0"/>
    </format>
    <format dxfId="2803">
      <pivotArea type="all" dataOnly="0" outline="0" fieldPosition="0"/>
    </format>
    <format dxfId="2802">
      <pivotArea type="all" dataOnly="0" outline="0" fieldPosition="0"/>
    </format>
    <format dxfId="2801">
      <pivotArea type="all" dataOnly="0" outline="0" fieldPosition="0"/>
    </format>
    <format dxfId="2800">
      <pivotArea outline="0" collapsedLevelsAreSubtotals="1" fieldPosition="0"/>
    </format>
    <format dxfId="2799">
      <pivotArea dataOnly="0" labelOnly="1" grandRow="1" outline="0" fieldPosition="0"/>
    </format>
    <format dxfId="2798">
      <pivotArea dataOnly="0" labelOnly="1" outline="0" axis="axisValues" fieldPosition="0"/>
    </format>
    <format dxfId="2797">
      <pivotArea grandRow="1" outline="0" collapsedLevelsAreSubtotals="1" fieldPosition="0"/>
    </format>
    <format dxfId="2796">
      <pivotArea type="all" dataOnly="0" outline="0" fieldPosition="0"/>
    </format>
    <format dxfId="2795">
      <pivotArea outline="0" collapsedLevelsAreSubtotals="1" fieldPosition="0"/>
    </format>
    <format dxfId="2794">
      <pivotArea dataOnly="0" labelOnly="1" grandRow="1" outline="0" fieldPosition="0"/>
    </format>
    <format dxfId="2793">
      <pivotArea dataOnly="0" labelOnly="1" outline="0" axis="axisValues" fieldPosition="0"/>
    </format>
    <format dxfId="2792">
      <pivotArea type="all" dataOnly="0" outline="0" fieldPosition="0"/>
    </format>
    <format dxfId="2791">
      <pivotArea outline="0" collapsedLevelsAreSubtotals="1" fieldPosition="0"/>
    </format>
    <format dxfId="2790">
      <pivotArea dataOnly="0" labelOnly="1" grandRow="1" outline="0" fieldPosition="0"/>
    </format>
    <format dxfId="2789">
      <pivotArea dataOnly="0" labelOnly="1" outline="0" axis="axisValues" fieldPosition="0"/>
    </format>
    <format dxfId="2788">
      <pivotArea type="all" dataOnly="0" outline="0" fieldPosition="0"/>
    </format>
    <format dxfId="2787">
      <pivotArea outline="0" collapsedLevelsAreSubtotals="1" fieldPosition="0"/>
    </format>
    <format dxfId="2786">
      <pivotArea field="70" type="button" dataOnly="0" labelOnly="1" outline="0"/>
    </format>
    <format dxfId="2785">
      <pivotArea dataOnly="0" labelOnly="1" grandRow="1" outline="0" fieldPosition="0"/>
    </format>
    <format dxfId="2784">
      <pivotArea dataOnly="0" labelOnly="1" outline="0" axis="axisValues" fieldPosition="0"/>
    </format>
    <format dxfId="2783">
      <pivotArea type="all" dataOnly="0" outline="0" fieldPosition="0"/>
    </format>
    <format dxfId="2782">
      <pivotArea outline="0" collapsedLevelsAreSubtotals="1" fieldPosition="0"/>
    </format>
    <format dxfId="2781">
      <pivotArea field="70" type="button" dataOnly="0" labelOnly="1" outline="0"/>
    </format>
    <format dxfId="2780">
      <pivotArea dataOnly="0" labelOnly="1" grandRow="1" outline="0" fieldPosition="0"/>
    </format>
    <format dxfId="2779">
      <pivotArea dataOnly="0" labelOnly="1" outline="0" axis="axisValues" fieldPosition="0"/>
    </format>
    <format dxfId="2778">
      <pivotArea type="all" dataOnly="0" outline="0" fieldPosition="0"/>
    </format>
    <format dxfId="2777">
      <pivotArea outline="0" collapsedLevelsAreSubtotals="1" fieldPosition="0"/>
    </format>
    <format dxfId="2776">
      <pivotArea field="70" type="button" dataOnly="0" labelOnly="1" outline="0"/>
    </format>
    <format dxfId="2775">
      <pivotArea dataOnly="0" labelOnly="1" grandRow="1" outline="0" fieldPosition="0"/>
    </format>
    <format dxfId="2774">
      <pivotArea dataOnly="0" labelOnly="1" outline="0" axis="axisValues" fieldPosition="0"/>
    </format>
    <format dxfId="2773">
      <pivotArea dataOnly="0" labelOnly="1" outline="0" fieldPosition="0">
        <references count="1">
          <reference field="2" count="0"/>
        </references>
      </pivotArea>
    </format>
    <format dxfId="2772">
      <pivotArea type="all" dataOnly="0" outline="0" fieldPosition="0"/>
    </format>
    <format dxfId="2771">
      <pivotArea outline="0" collapsedLevelsAreSubtotals="1" fieldPosition="0"/>
    </format>
    <format dxfId="2770">
      <pivotArea field="69" type="button" dataOnly="0" labelOnly="1" outline="0"/>
    </format>
    <format dxfId="2769">
      <pivotArea dataOnly="0" labelOnly="1" grandRow="1" outline="0" fieldPosition="0"/>
    </format>
    <format dxfId="2768">
      <pivotArea dataOnly="0" labelOnly="1" outline="0" axis="axisValues" fieldPosition="0"/>
    </format>
    <format dxfId="2767">
      <pivotArea outline="0" collapsedLevelsAreSubtotals="1" fieldPosition="0"/>
    </format>
    <format dxfId="276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06999C3A-520E-4757-AB9E-5C940FC3AA87}" name="PivotTable63"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64:B165" firstHeaderRow="1" firstDataRow="1" firstDataCol="0" rowPageCount="3" colPageCount="1"/>
  <pivotFields count="84">
    <pivotField showAll="0" defaultSubtotal="0"/>
    <pivotField axis="axisPage" multipleItemSelectionAllowed="1" showAll="0" defaultSubtotal="0">
      <items count="5">
        <item h="1" x="1"/>
        <item h="1" x="2"/>
        <item h="1" x="3"/>
        <item x="4"/>
        <item x="0"/>
      </items>
    </pivotField>
    <pivotField showAll="0" defaultSubtotal="0"/>
    <pivotField showAll="0">
      <items count="245">
        <item x="74"/>
        <item x="75"/>
        <item x="81"/>
        <item x="83"/>
        <item x="84"/>
        <item x="16"/>
        <item x="11"/>
        <item x="18"/>
        <item x="85"/>
        <item x="87"/>
        <item x="76"/>
        <item x="86"/>
        <item x="89"/>
        <item x="22"/>
        <item x="88"/>
        <item x="65"/>
        <item x="80"/>
        <item x="91"/>
        <item x="21"/>
        <item x="19"/>
        <item x="90"/>
        <item x="67"/>
        <item x="92"/>
        <item x="93"/>
        <item x="66"/>
        <item x="95"/>
        <item x="99"/>
        <item x="102"/>
        <item x="97"/>
        <item x="17"/>
        <item x="104"/>
        <item x="24"/>
        <item x="101"/>
        <item x="96"/>
        <item x="98"/>
        <item x="100"/>
        <item x="20"/>
        <item x="103"/>
        <item x="107"/>
        <item x="23"/>
        <item x="105"/>
        <item x="2"/>
        <item x="110"/>
        <item x="108"/>
        <item x="113"/>
        <item x="4"/>
        <item x="1"/>
        <item x="114"/>
        <item x="94"/>
        <item x="77"/>
        <item x="82"/>
        <item x="5"/>
        <item x="25"/>
        <item x="69"/>
        <item x="111"/>
        <item x="26"/>
        <item x="168"/>
        <item x="145"/>
        <item x="29"/>
        <item x="28"/>
        <item x="31"/>
        <item x="106"/>
        <item x="79"/>
        <item x="119"/>
        <item x="109"/>
        <item x="117"/>
        <item x="64"/>
        <item x="184"/>
        <item x="27"/>
        <item x="32"/>
        <item x="118"/>
        <item x="120"/>
        <item x="180"/>
        <item x="178"/>
        <item x="34"/>
        <item x="70"/>
        <item x="68"/>
        <item x="188"/>
        <item x="185"/>
        <item x="174"/>
        <item x="30"/>
        <item x="115"/>
        <item x="167"/>
        <item x="63"/>
        <item x="6"/>
        <item x="173"/>
        <item x="191"/>
        <item x="9"/>
        <item x="150"/>
        <item x="193"/>
        <item x="116"/>
        <item x="162"/>
        <item x="39"/>
        <item x="37"/>
        <item x="41"/>
        <item x="182"/>
        <item x="128"/>
        <item x="179"/>
        <item x="71"/>
        <item x="175"/>
        <item x="197"/>
        <item x="183"/>
        <item x="40"/>
        <item x="201"/>
        <item x="44"/>
        <item x="240"/>
        <item x="3"/>
        <item x="112"/>
        <item x="125"/>
        <item x="204"/>
        <item x="198"/>
        <item x="46"/>
        <item x="45"/>
        <item x="36"/>
        <item x="38"/>
        <item x="0"/>
        <item x="48"/>
        <item x="146"/>
        <item x="208"/>
        <item x="33"/>
        <item x="206"/>
        <item x="147"/>
        <item x="192"/>
        <item x="195"/>
        <item x="172"/>
        <item x="10"/>
        <item x="78"/>
        <item x="205"/>
        <item x="43"/>
        <item x="127"/>
        <item x="73"/>
        <item x="122"/>
        <item x="42"/>
        <item x="51"/>
        <item x="49"/>
        <item x="52"/>
        <item x="35"/>
        <item x="202"/>
        <item x="200"/>
        <item x="15"/>
        <item x="190"/>
        <item x="189"/>
        <item x="203"/>
        <item x="47"/>
        <item x="155"/>
        <item x="181"/>
        <item x="199"/>
        <item x="129"/>
        <item x="177"/>
        <item x="134"/>
        <item x="12"/>
        <item x="7"/>
        <item x="135"/>
        <item x="215"/>
        <item x="216"/>
        <item x="132"/>
        <item x="148"/>
        <item x="212"/>
        <item x="221"/>
        <item x="196"/>
        <item x="219"/>
        <item x="194"/>
        <item x="157"/>
        <item x="210"/>
        <item x="186"/>
        <item x="133"/>
        <item x="55"/>
        <item x="124"/>
        <item x="72"/>
        <item x="214"/>
        <item x="209"/>
        <item x="50"/>
        <item x="126"/>
        <item x="137"/>
        <item x="152"/>
        <item x="138"/>
        <item x="123"/>
        <item x="53"/>
        <item x="131"/>
        <item x="14"/>
        <item x="220"/>
        <item x="154"/>
        <item x="207"/>
        <item x="211"/>
        <item x="57"/>
        <item x="121"/>
        <item x="170"/>
        <item x="158"/>
        <item x="225"/>
        <item x="58"/>
        <item x="139"/>
        <item x="228"/>
        <item x="230"/>
        <item x="176"/>
        <item x="213"/>
        <item x="169"/>
        <item x="59"/>
        <item x="142"/>
        <item x="234"/>
        <item x="159"/>
        <item x="163"/>
        <item x="60"/>
        <item x="233"/>
        <item x="227"/>
        <item x="140"/>
        <item x="232"/>
        <item x="143"/>
        <item x="171"/>
        <item x="130"/>
        <item x="13"/>
        <item x="218"/>
        <item x="166"/>
        <item x="153"/>
        <item x="151"/>
        <item x="56"/>
        <item x="160"/>
        <item x="149"/>
        <item x="223"/>
        <item x="164"/>
        <item x="217"/>
        <item x="8"/>
        <item x="237"/>
        <item x="136"/>
        <item x="144"/>
        <item x="187"/>
        <item x="156"/>
        <item x="235"/>
        <item x="61"/>
        <item x="229"/>
        <item x="231"/>
        <item x="62"/>
        <item x="141"/>
        <item x="226"/>
        <item x="224"/>
        <item x="222"/>
        <item x="165"/>
        <item x="238"/>
        <item x="236"/>
        <item x="54"/>
        <item x="239"/>
        <item x="161"/>
        <item x="242"/>
        <item x="243"/>
        <item x="241"/>
        <item t="default"/>
      </items>
    </pivotField>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9">
        <item x="0"/>
        <item h="1" x="5"/>
        <item h="1" x="6"/>
        <item h="1" x="2"/>
        <item h="1" x="3"/>
        <item h="1" x="1"/>
        <item h="1" x="7"/>
        <item h="1" x="4"/>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s>
  <rowItems count="1">
    <i/>
  </rowItems>
  <colItems count="1">
    <i/>
  </colItems>
  <pageFields count="3">
    <pageField fld="7" hier="-1"/>
    <pageField fld="1" hier="-1"/>
    <pageField fld="8" hier="-1"/>
  </pageFields>
  <dataFields count="1">
    <dataField name="Sum of Units Proposed" fld="34" baseField="0" baseItem="0"/>
  </dataFields>
  <formats count="40">
    <format dxfId="2854">
      <pivotArea type="all" dataOnly="0" outline="0" fieldPosition="0"/>
    </format>
    <format dxfId="2853">
      <pivotArea type="all" dataOnly="0" outline="0" fieldPosition="0"/>
    </format>
    <format dxfId="2852">
      <pivotArea type="all" dataOnly="0" outline="0" fieldPosition="0"/>
    </format>
    <format dxfId="2851">
      <pivotArea type="all" dataOnly="0" outline="0" fieldPosition="0"/>
    </format>
    <format dxfId="2850">
      <pivotArea type="all" dataOnly="0" outline="0" fieldPosition="0"/>
    </format>
    <format dxfId="2849">
      <pivotArea type="all" dataOnly="0" outline="0" fieldPosition="0"/>
    </format>
    <format dxfId="2848">
      <pivotArea type="all" dataOnly="0" outline="0" fieldPosition="0"/>
    </format>
    <format dxfId="2847">
      <pivotArea type="all" dataOnly="0" outline="0" fieldPosition="0"/>
    </format>
    <format dxfId="2846">
      <pivotArea type="all" dataOnly="0" outline="0" fieldPosition="0"/>
    </format>
    <format dxfId="2845">
      <pivotArea type="all" dataOnly="0" outline="0" fieldPosition="0"/>
    </format>
    <format dxfId="2844">
      <pivotArea type="all" dataOnly="0" outline="0" fieldPosition="0"/>
    </format>
    <format dxfId="2843">
      <pivotArea outline="0" collapsedLevelsAreSubtotals="1" fieldPosition="0"/>
    </format>
    <format dxfId="2842">
      <pivotArea dataOnly="0" labelOnly="1" outline="0" axis="axisValues" fieldPosition="0"/>
    </format>
    <format dxfId="2841">
      <pivotArea type="all" dataOnly="0" outline="0" fieldPosition="0"/>
    </format>
    <format dxfId="2840">
      <pivotArea outline="0" collapsedLevelsAreSubtotals="1" fieldPosition="0"/>
    </format>
    <format dxfId="2839">
      <pivotArea dataOnly="0" labelOnly="1" outline="0" axis="axisValues" fieldPosition="0"/>
    </format>
    <format dxfId="2838">
      <pivotArea type="all" dataOnly="0" outline="0" fieldPosition="0"/>
    </format>
    <format dxfId="2837">
      <pivotArea outline="0" collapsedLevelsAreSubtotals="1" fieldPosition="0"/>
    </format>
    <format dxfId="2836">
      <pivotArea dataOnly="0" labelOnly="1" outline="0" axis="axisValues" fieldPosition="0"/>
    </format>
    <format dxfId="2835">
      <pivotArea type="all" dataOnly="0" outline="0" fieldPosition="0"/>
    </format>
    <format dxfId="2834">
      <pivotArea outline="0" collapsedLevelsAreSubtotals="1" fieldPosition="0"/>
    </format>
    <format dxfId="2833">
      <pivotArea dataOnly="0" labelOnly="1" outline="0" axis="axisValues" fieldPosition="0"/>
    </format>
    <format dxfId="2832">
      <pivotArea type="all" dataOnly="0" outline="0" fieldPosition="0"/>
    </format>
    <format dxfId="2831">
      <pivotArea outline="0" collapsedLevelsAreSubtotals="1" fieldPosition="0"/>
    </format>
    <format dxfId="2830">
      <pivotArea dataOnly="0" labelOnly="1" outline="0" axis="axisValues" fieldPosition="0"/>
    </format>
    <format dxfId="2829">
      <pivotArea type="all" dataOnly="0" outline="0" fieldPosition="0"/>
    </format>
    <format dxfId="2828">
      <pivotArea outline="0" collapsedLevelsAreSubtotals="1" fieldPosition="0"/>
    </format>
    <format dxfId="2827">
      <pivotArea dataOnly="0" labelOnly="1" outline="0" axis="axisValues" fieldPosition="0"/>
    </format>
    <format dxfId="2826">
      <pivotArea type="all" dataOnly="0" outline="0" fieldPosition="0"/>
    </format>
    <format dxfId="2825">
      <pivotArea outline="0" collapsedLevelsAreSubtotals="1" fieldPosition="0"/>
    </format>
    <format dxfId="2824">
      <pivotArea dataOnly="0" labelOnly="1" outline="0" axis="axisValues" fieldPosition="0"/>
    </format>
    <format dxfId="2823">
      <pivotArea type="all" dataOnly="0" outline="0" fieldPosition="0"/>
    </format>
    <format dxfId="2822">
      <pivotArea outline="0" collapsedLevelsAreSubtotals="1" fieldPosition="0"/>
    </format>
    <format dxfId="2821">
      <pivotArea type="all" dataOnly="0" outline="0" fieldPosition="0"/>
    </format>
    <format dxfId="2820">
      <pivotArea outline="0" collapsedLevelsAreSubtotals="1" fieldPosition="0"/>
    </format>
    <format dxfId="2819">
      <pivotArea outline="0" collapsedLevelsAreSubtotals="1" fieldPosition="0"/>
    </format>
    <format dxfId="2818">
      <pivotArea type="all" dataOnly="0" outline="0" fieldPosition="0"/>
    </format>
    <format dxfId="2817">
      <pivotArea type="all" dataOnly="0" outline="0" fieldPosition="0"/>
    </format>
    <format dxfId="2816">
      <pivotArea outline="0" collapsedLevelsAreSubtotals="1" fieldPosition="0"/>
    </format>
    <format dxfId="281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9" Type="http://schemas.openxmlformats.org/officeDocument/2006/relationships/pivotTable" Target="../pivotTables/pivotTable39.xml"/><Relationship Id="rId21" Type="http://schemas.openxmlformats.org/officeDocument/2006/relationships/pivotTable" Target="../pivotTables/pivotTable21.xml"/><Relationship Id="rId34" Type="http://schemas.openxmlformats.org/officeDocument/2006/relationships/pivotTable" Target="../pivotTables/pivotTable34.xml"/><Relationship Id="rId42" Type="http://schemas.openxmlformats.org/officeDocument/2006/relationships/pivotTable" Target="../pivotTables/pivotTable42.xml"/><Relationship Id="rId47" Type="http://schemas.openxmlformats.org/officeDocument/2006/relationships/pivotTable" Target="../pivotTables/pivotTable47.xml"/><Relationship Id="rId50" Type="http://schemas.openxmlformats.org/officeDocument/2006/relationships/pivotTable" Target="../pivotTables/pivotTable50.xml"/><Relationship Id="rId55" Type="http://schemas.openxmlformats.org/officeDocument/2006/relationships/pivotTable" Target="../pivotTables/pivotTable55.xml"/><Relationship Id="rId63" Type="http://schemas.openxmlformats.org/officeDocument/2006/relationships/pivotTable" Target="../pivotTables/pivotTable63.xml"/><Relationship Id="rId68" Type="http://schemas.openxmlformats.org/officeDocument/2006/relationships/printerSettings" Target="../printerSettings/printerSettings2.bin"/><Relationship Id="rId7" Type="http://schemas.openxmlformats.org/officeDocument/2006/relationships/pivotTable" Target="../pivotTables/pivotTable7.xml"/><Relationship Id="rId2" Type="http://schemas.openxmlformats.org/officeDocument/2006/relationships/pivotTable" Target="../pivotTables/pivotTable2.xml"/><Relationship Id="rId16" Type="http://schemas.openxmlformats.org/officeDocument/2006/relationships/pivotTable" Target="../pivotTables/pivotTable16.xml"/><Relationship Id="rId29" Type="http://schemas.openxmlformats.org/officeDocument/2006/relationships/pivotTable" Target="../pivotTables/pivotTable29.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ivotTable" Target="../pivotTables/pivotTable40.xml"/><Relationship Id="rId45" Type="http://schemas.openxmlformats.org/officeDocument/2006/relationships/pivotTable" Target="../pivotTables/pivotTable45.xml"/><Relationship Id="rId53" Type="http://schemas.openxmlformats.org/officeDocument/2006/relationships/pivotTable" Target="../pivotTables/pivotTable53.xml"/><Relationship Id="rId58" Type="http://schemas.openxmlformats.org/officeDocument/2006/relationships/pivotTable" Target="../pivotTables/pivotTable58.xml"/><Relationship Id="rId66" Type="http://schemas.openxmlformats.org/officeDocument/2006/relationships/pivotTable" Target="../pivotTables/pivotTable66.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ivotTable" Target="../pivotTables/pivotTable57.xml"/><Relationship Id="rId61" Type="http://schemas.openxmlformats.org/officeDocument/2006/relationships/pivotTable" Target="../pivotTables/pivotTable61.xml"/><Relationship Id="rId10" Type="http://schemas.openxmlformats.org/officeDocument/2006/relationships/pivotTable" Target="../pivotTables/pivotTable10.xml"/><Relationship Id="rId19" Type="http://schemas.openxmlformats.org/officeDocument/2006/relationships/pivotTable" Target="../pivotTables/pivotTable19.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60" Type="http://schemas.openxmlformats.org/officeDocument/2006/relationships/pivotTable" Target="../pivotTables/pivotTable60.xml"/><Relationship Id="rId65" Type="http://schemas.openxmlformats.org/officeDocument/2006/relationships/pivotTable" Target="../pivotTables/pivotTable65.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64" Type="http://schemas.openxmlformats.org/officeDocument/2006/relationships/pivotTable" Target="../pivotTables/pivotTable64.xml"/><Relationship Id="rId8" Type="http://schemas.openxmlformats.org/officeDocument/2006/relationships/pivotTable" Target="../pivotTables/pivotTable8.xml"/><Relationship Id="rId51" Type="http://schemas.openxmlformats.org/officeDocument/2006/relationships/pivotTable" Target="../pivotTables/pivotTable51.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59" Type="http://schemas.openxmlformats.org/officeDocument/2006/relationships/pivotTable" Target="../pivotTables/pivotTable59.xml"/><Relationship Id="rId67" Type="http://schemas.openxmlformats.org/officeDocument/2006/relationships/pivotTable" Target="../pivotTables/pivotTable67.xml"/><Relationship Id="rId20" Type="http://schemas.openxmlformats.org/officeDocument/2006/relationships/pivotTable" Target="../pivotTables/pivotTable20.xml"/><Relationship Id="rId41" Type="http://schemas.openxmlformats.org/officeDocument/2006/relationships/pivotTable" Target="../pivotTables/pivotTable41.xml"/><Relationship Id="rId54" Type="http://schemas.openxmlformats.org/officeDocument/2006/relationships/pivotTable" Target="../pivotTables/pivotTable54.xml"/><Relationship Id="rId62" Type="http://schemas.openxmlformats.org/officeDocument/2006/relationships/pivotTable" Target="../pivotTables/pivotTable6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7DF1-49C3-452A-AE5F-F839BF8B7C04}">
  <sheetPr>
    <pageSetUpPr autoPageBreaks="0"/>
  </sheetPr>
  <dimension ref="A1:AB463"/>
  <sheetViews>
    <sheetView tabSelected="1" zoomScaleNormal="100" zoomScaleSheetLayoutView="100" zoomScalePageLayoutView="60" workbookViewId="0">
      <selection activeCell="B2" sqref="B2:S3"/>
    </sheetView>
  </sheetViews>
  <sheetFormatPr defaultColWidth="9.140625" defaultRowHeight="12.75" x14ac:dyDescent="0.2"/>
  <cols>
    <col min="1" max="1" width="5.7109375" style="55" customWidth="1"/>
    <col min="2" max="2" width="9.140625" style="55"/>
    <col min="3" max="5" width="9.7109375" style="55" customWidth="1"/>
    <col min="6" max="6" width="9.140625" style="55"/>
    <col min="7" max="7" width="9.42578125" style="55" customWidth="1"/>
    <col min="8" max="8" width="9.140625" style="55"/>
    <col min="9" max="9" width="9.140625" style="55" customWidth="1"/>
    <col min="10" max="12" width="9.140625" style="55"/>
    <col min="13" max="13" width="9.140625" style="55" customWidth="1"/>
    <col min="14" max="20" width="9.140625" style="55"/>
    <col min="21" max="22" width="9.140625" style="55" customWidth="1"/>
    <col min="23" max="16384" width="9.140625" style="55"/>
  </cols>
  <sheetData>
    <row r="1" spans="1:28" ht="23.25" customHeight="1" x14ac:dyDescent="0.2">
      <c r="B1" s="56"/>
      <c r="C1" s="57"/>
      <c r="D1" s="58"/>
      <c r="E1" s="58"/>
      <c r="F1" s="58"/>
      <c r="G1" s="58"/>
      <c r="H1" s="58"/>
      <c r="I1" s="58"/>
      <c r="J1" s="58"/>
      <c r="K1" s="58"/>
      <c r="L1" s="58"/>
      <c r="M1" s="58"/>
      <c r="N1" s="58"/>
      <c r="O1" s="58"/>
      <c r="P1" s="58"/>
      <c r="Q1" s="58"/>
      <c r="R1" s="58"/>
      <c r="S1" s="59"/>
    </row>
    <row r="2" spans="1:28" ht="50.1" customHeight="1" x14ac:dyDescent="0.2">
      <c r="B2" s="430" t="s">
        <v>0</v>
      </c>
      <c r="C2" s="431"/>
      <c r="D2" s="431"/>
      <c r="E2" s="431"/>
      <c r="F2" s="431"/>
      <c r="G2" s="431"/>
      <c r="H2" s="431"/>
      <c r="I2" s="431"/>
      <c r="J2" s="431"/>
      <c r="K2" s="431"/>
      <c r="L2" s="431"/>
      <c r="M2" s="431"/>
      <c r="N2" s="431"/>
      <c r="O2" s="431"/>
      <c r="P2" s="431"/>
      <c r="Q2" s="431"/>
      <c r="R2" s="431"/>
      <c r="S2" s="432"/>
    </row>
    <row r="3" spans="1:28" x14ac:dyDescent="0.2">
      <c r="B3" s="433"/>
      <c r="C3" s="434"/>
      <c r="D3" s="434"/>
      <c r="E3" s="434"/>
      <c r="F3" s="434"/>
      <c r="G3" s="434"/>
      <c r="H3" s="434"/>
      <c r="I3" s="434"/>
      <c r="J3" s="434"/>
      <c r="K3" s="434"/>
      <c r="L3" s="434"/>
      <c r="M3" s="434"/>
      <c r="N3" s="434"/>
      <c r="O3" s="434"/>
      <c r="P3" s="434"/>
      <c r="Q3" s="434"/>
      <c r="R3" s="434"/>
      <c r="S3" s="435"/>
    </row>
    <row r="4" spans="1:28" x14ac:dyDescent="0.2">
      <c r="B4" s="60"/>
      <c r="C4" s="61"/>
      <c r="D4" s="61"/>
      <c r="E4" s="62"/>
      <c r="F4" s="63"/>
      <c r="G4" s="64"/>
      <c r="H4" s="64"/>
      <c r="I4" s="64"/>
      <c r="J4" s="64"/>
      <c r="K4" s="64"/>
      <c r="L4" s="64"/>
      <c r="M4" s="63"/>
      <c r="N4" s="65"/>
      <c r="O4" s="66"/>
      <c r="P4" s="66"/>
      <c r="Q4" s="66"/>
      <c r="R4" s="66"/>
      <c r="S4" s="67"/>
    </row>
    <row r="5" spans="1:28" x14ac:dyDescent="0.2">
      <c r="B5" s="60"/>
      <c r="C5" s="46" t="s">
        <v>1</v>
      </c>
      <c r="D5" s="46" t="s">
        <v>2</v>
      </c>
      <c r="E5" s="47"/>
      <c r="F5" s="47"/>
      <c r="G5" s="47"/>
      <c r="H5" s="54"/>
      <c r="I5" s="54"/>
      <c r="J5" s="54"/>
      <c r="K5" s="54"/>
      <c r="L5" s="54"/>
      <c r="M5" s="66"/>
      <c r="N5" s="66"/>
      <c r="O5" s="66"/>
      <c r="P5" s="66"/>
      <c r="Q5" s="66"/>
      <c r="R5" s="66"/>
      <c r="S5" s="67"/>
      <c r="V5" s="66"/>
    </row>
    <row r="6" spans="1:28" ht="22.5" customHeight="1" x14ac:dyDescent="0.2">
      <c r="B6" s="60"/>
      <c r="C6" s="436" t="s">
        <v>3</v>
      </c>
      <c r="D6" s="437"/>
      <c r="E6" s="437"/>
      <c r="F6" s="438"/>
      <c r="G6" s="442" t="s">
        <v>4</v>
      </c>
      <c r="H6" s="447" t="s">
        <v>5</v>
      </c>
      <c r="I6" s="448"/>
      <c r="J6" s="449"/>
      <c r="K6" s="443" t="s">
        <v>6</v>
      </c>
      <c r="L6" s="49" t="s">
        <v>7</v>
      </c>
      <c r="M6" s="66"/>
      <c r="N6" s="66"/>
      <c r="O6" s="66"/>
      <c r="P6" s="66"/>
      <c r="Q6" s="66"/>
      <c r="R6" s="66"/>
      <c r="S6" s="67"/>
      <c r="V6" s="66"/>
    </row>
    <row r="7" spans="1:28" ht="12.75" customHeight="1" x14ac:dyDescent="0.2">
      <c r="B7" s="60"/>
      <c r="C7" s="439"/>
      <c r="D7" s="440"/>
      <c r="E7" s="440"/>
      <c r="F7" s="441"/>
      <c r="G7" s="443"/>
      <c r="H7" s="50" t="s">
        <v>8</v>
      </c>
      <c r="I7" s="50" t="s">
        <v>9</v>
      </c>
      <c r="J7" s="50" t="s">
        <v>10</v>
      </c>
      <c r="K7" s="443"/>
      <c r="L7" s="48"/>
      <c r="M7" s="66"/>
      <c r="N7" s="66"/>
      <c r="O7" s="66"/>
      <c r="P7" s="66"/>
      <c r="Q7" s="66"/>
      <c r="R7" s="66"/>
      <c r="S7" s="67"/>
      <c r="V7" s="66"/>
    </row>
    <row r="8" spans="1:28" x14ac:dyDescent="0.2">
      <c r="B8" s="60"/>
      <c r="C8" s="444" t="s">
        <v>11</v>
      </c>
      <c r="D8" s="445"/>
      <c r="E8" s="445"/>
      <c r="F8" s="446"/>
      <c r="G8" s="51">
        <v>4110</v>
      </c>
      <c r="H8" s="52">
        <v>164</v>
      </c>
      <c r="I8" s="52">
        <v>141</v>
      </c>
      <c r="J8" s="52">
        <f>GETPIVOTDATA("Net Dwellings",Pivot!$B$6)</f>
        <v>100</v>
      </c>
      <c r="K8" s="51">
        <f>SUM(H8:J8)</f>
        <v>405</v>
      </c>
      <c r="L8" s="53">
        <f>K8/G8</f>
        <v>9.8540145985401464E-2</v>
      </c>
      <c r="M8" s="69"/>
      <c r="N8" s="66"/>
      <c r="O8" s="66"/>
      <c r="P8" s="66"/>
      <c r="Q8" s="66"/>
      <c r="R8" s="66"/>
      <c r="S8" s="67"/>
      <c r="V8" s="66"/>
    </row>
    <row r="9" spans="1:28" x14ac:dyDescent="0.2">
      <c r="B9" s="60"/>
      <c r="C9" s="61"/>
      <c r="D9" s="61"/>
      <c r="E9" s="62"/>
      <c r="F9" s="63"/>
      <c r="G9" s="64"/>
      <c r="H9" s="64"/>
      <c r="I9" s="64"/>
      <c r="J9" s="64"/>
      <c r="K9" s="64"/>
      <c r="L9" s="70"/>
      <c r="M9" s="63"/>
      <c r="N9" s="65"/>
      <c r="O9" s="66"/>
      <c r="P9" s="66"/>
      <c r="Q9" s="66"/>
      <c r="R9" s="66"/>
      <c r="S9" s="67"/>
      <c r="V9" s="66"/>
    </row>
    <row r="10" spans="1:28" x14ac:dyDescent="0.2">
      <c r="B10" s="60"/>
      <c r="C10" s="61"/>
      <c r="D10" s="61"/>
      <c r="E10" s="62"/>
      <c r="F10" s="63"/>
      <c r="G10" s="64"/>
      <c r="H10" s="64"/>
      <c r="I10" s="64"/>
      <c r="J10" s="64"/>
      <c r="K10" s="64"/>
      <c r="L10" s="64"/>
      <c r="M10" s="63"/>
      <c r="N10" s="65"/>
      <c r="O10" s="66"/>
      <c r="P10" s="66"/>
      <c r="Q10" s="66"/>
      <c r="R10" s="66"/>
      <c r="S10" s="67"/>
      <c r="V10" s="66"/>
    </row>
    <row r="11" spans="1:28" x14ac:dyDescent="0.2">
      <c r="B11" s="60"/>
      <c r="C11" s="71"/>
      <c r="D11" s="72"/>
      <c r="E11" s="72"/>
      <c r="F11" s="72"/>
      <c r="G11" s="72"/>
      <c r="H11" s="72"/>
      <c r="I11" s="72"/>
      <c r="J11" s="72"/>
      <c r="K11" s="71"/>
      <c r="L11" s="71"/>
      <c r="M11" s="73"/>
      <c r="N11" s="74"/>
      <c r="O11" s="74"/>
      <c r="P11" s="74"/>
      <c r="Q11" s="74"/>
      <c r="R11" s="74"/>
      <c r="S11" s="75"/>
      <c r="V11" s="66"/>
    </row>
    <row r="12" spans="1:28" x14ac:dyDescent="0.2">
      <c r="B12" s="76"/>
      <c r="C12" s="188" t="s">
        <v>12</v>
      </c>
      <c r="D12" s="136" t="s">
        <v>13</v>
      </c>
      <c r="E12" s="189"/>
      <c r="F12" s="77"/>
      <c r="G12" s="77"/>
      <c r="H12" s="77"/>
      <c r="I12" s="77"/>
      <c r="J12" s="77"/>
      <c r="K12" s="77"/>
      <c r="L12" s="77"/>
      <c r="M12" s="77"/>
      <c r="N12" s="78"/>
      <c r="O12" s="78"/>
      <c r="P12" s="78"/>
      <c r="Q12" s="78"/>
      <c r="R12" s="78"/>
      <c r="S12" s="79"/>
    </row>
    <row r="13" spans="1:28" x14ac:dyDescent="0.2">
      <c r="A13" s="80"/>
      <c r="B13" s="81"/>
      <c r="C13" s="450"/>
      <c r="D13" s="450"/>
      <c r="E13" s="450"/>
      <c r="F13" s="450"/>
      <c r="G13" s="450"/>
      <c r="H13" s="450"/>
      <c r="I13" s="450"/>
      <c r="J13" s="450"/>
      <c r="K13" s="450"/>
      <c r="L13" s="450"/>
      <c r="M13" s="450"/>
      <c r="N13" s="218"/>
      <c r="O13" s="78"/>
      <c r="P13" s="78"/>
      <c r="Q13" s="78"/>
      <c r="R13" s="78"/>
      <c r="S13" s="79"/>
      <c r="T13" s="80"/>
      <c r="U13" s="80"/>
      <c r="V13" s="80"/>
      <c r="W13" s="80"/>
      <c r="X13" s="80"/>
      <c r="Y13" s="80"/>
      <c r="Z13" s="80"/>
      <c r="AA13" s="80"/>
      <c r="AB13" s="80"/>
    </row>
    <row r="14" spans="1:28" x14ac:dyDescent="0.2">
      <c r="A14" s="80"/>
      <c r="B14" s="81"/>
      <c r="C14" s="344" t="s">
        <v>14</v>
      </c>
      <c r="D14" s="412" t="s">
        <v>15</v>
      </c>
      <c r="E14" s="412"/>
      <c r="F14" s="412"/>
      <c r="G14" s="412"/>
      <c r="H14" s="412"/>
      <c r="I14" s="412"/>
      <c r="J14" s="412"/>
      <c r="K14" s="412"/>
      <c r="L14" s="412"/>
      <c r="M14" s="395">
        <v>4110</v>
      </c>
      <c r="N14" s="218"/>
      <c r="O14" s="78"/>
      <c r="P14" s="78"/>
      <c r="Q14" s="78"/>
      <c r="R14" s="78"/>
      <c r="S14" s="79"/>
      <c r="T14" s="80"/>
      <c r="U14" s="80"/>
      <c r="V14" s="80"/>
      <c r="W14" s="80"/>
      <c r="X14" s="80"/>
      <c r="Y14" s="80"/>
      <c r="Z14" s="80"/>
      <c r="AA14" s="80"/>
      <c r="AB14" s="80"/>
    </row>
    <row r="15" spans="1:28" x14ac:dyDescent="0.2">
      <c r="A15" s="80"/>
      <c r="B15" s="81"/>
      <c r="C15" s="344" t="s">
        <v>16</v>
      </c>
      <c r="D15" s="451" t="s">
        <v>17</v>
      </c>
      <c r="E15" s="451"/>
      <c r="F15" s="451"/>
      <c r="G15" s="451"/>
      <c r="H15" s="451"/>
      <c r="I15" s="451"/>
      <c r="J15" s="451"/>
      <c r="K15" s="451"/>
      <c r="L15" s="451"/>
      <c r="M15" s="395">
        <f>K8</f>
        <v>405</v>
      </c>
      <c r="N15" s="218"/>
      <c r="O15" s="78"/>
      <c r="P15" s="78"/>
      <c r="Q15" s="78"/>
      <c r="R15" s="78"/>
      <c r="S15" s="79"/>
      <c r="T15" s="80"/>
      <c r="U15" s="80"/>
      <c r="V15" s="80"/>
      <c r="W15" s="80"/>
      <c r="X15" s="80"/>
      <c r="Y15" s="80"/>
      <c r="Z15" s="80"/>
      <c r="AA15" s="80"/>
      <c r="AB15" s="80"/>
    </row>
    <row r="16" spans="1:28" ht="14.25" x14ac:dyDescent="0.2">
      <c r="A16" s="80"/>
      <c r="B16" s="81"/>
      <c r="C16" s="344" t="s">
        <v>18</v>
      </c>
      <c r="D16" s="452" t="s">
        <v>19</v>
      </c>
      <c r="E16" s="452"/>
      <c r="F16" s="452"/>
      <c r="G16" s="452"/>
      <c r="H16" s="452"/>
      <c r="I16" s="452"/>
      <c r="J16" s="452"/>
      <c r="K16" s="453" t="s">
        <v>20</v>
      </c>
      <c r="L16" s="453"/>
      <c r="M16" s="395">
        <f>M14-M15</f>
        <v>3705</v>
      </c>
      <c r="N16" s="218"/>
      <c r="O16" s="217"/>
      <c r="P16" s="218"/>
      <c r="Q16" s="218"/>
      <c r="R16" s="218"/>
      <c r="S16" s="219"/>
      <c r="T16" s="220"/>
      <c r="U16" s="217"/>
      <c r="V16" s="220"/>
      <c r="W16" s="220"/>
      <c r="X16" s="220"/>
      <c r="Y16" s="220"/>
      <c r="Z16" s="220"/>
      <c r="AA16" s="220"/>
      <c r="AB16" s="80"/>
    </row>
    <row r="17" spans="1:28" x14ac:dyDescent="0.2">
      <c r="A17" s="80"/>
      <c r="B17" s="81"/>
      <c r="C17" s="344" t="s">
        <v>21</v>
      </c>
      <c r="D17" s="412" t="s">
        <v>22</v>
      </c>
      <c r="E17" s="412"/>
      <c r="F17" s="412"/>
      <c r="G17" s="412"/>
      <c r="H17" s="412"/>
      <c r="I17" s="412"/>
      <c r="J17" s="412"/>
      <c r="K17" s="413" t="s">
        <v>23</v>
      </c>
      <c r="L17" s="413"/>
      <c r="M17" s="396">
        <f>M16/7</f>
        <v>529.28571428571433</v>
      </c>
      <c r="N17" s="218"/>
      <c r="O17" s="221"/>
      <c r="P17" s="218"/>
      <c r="Q17" s="218"/>
      <c r="R17" s="218"/>
      <c r="S17" s="219"/>
      <c r="T17" s="220"/>
      <c r="U17" s="222"/>
      <c r="V17" s="218"/>
      <c r="W17" s="220"/>
      <c r="X17" s="220"/>
      <c r="Y17" s="220"/>
      <c r="Z17" s="220"/>
      <c r="AA17" s="220"/>
      <c r="AB17" s="80"/>
    </row>
    <row r="18" spans="1:28" x14ac:dyDescent="0.2">
      <c r="A18" s="80"/>
      <c r="B18" s="81"/>
      <c r="C18" s="344" t="s">
        <v>24</v>
      </c>
      <c r="D18" s="412" t="s">
        <v>25</v>
      </c>
      <c r="E18" s="412"/>
      <c r="F18" s="412"/>
      <c r="G18" s="412"/>
      <c r="H18" s="412"/>
      <c r="I18" s="412"/>
      <c r="J18" s="412"/>
      <c r="K18" s="413" t="s">
        <v>26</v>
      </c>
      <c r="L18" s="413"/>
      <c r="M18" s="395">
        <f>M17*5</f>
        <v>2646.4285714285716</v>
      </c>
      <c r="N18" s="218"/>
      <c r="O18" s="221"/>
      <c r="P18" s="218"/>
      <c r="Q18" s="218"/>
      <c r="R18" s="218"/>
      <c r="S18" s="219"/>
      <c r="T18" s="220"/>
      <c r="U18" s="221"/>
      <c r="V18" s="220"/>
      <c r="W18" s="220"/>
      <c r="X18" s="220"/>
      <c r="Y18" s="220"/>
      <c r="Z18" s="220"/>
      <c r="AA18" s="220"/>
      <c r="AB18" s="80"/>
    </row>
    <row r="19" spans="1:28" x14ac:dyDescent="0.2">
      <c r="A19" s="80"/>
      <c r="B19" s="81"/>
      <c r="C19" s="344" t="s">
        <v>27</v>
      </c>
      <c r="D19" s="412" t="s">
        <v>28</v>
      </c>
      <c r="E19" s="412"/>
      <c r="F19" s="412"/>
      <c r="G19" s="412"/>
      <c r="H19" s="412"/>
      <c r="I19" s="412"/>
      <c r="J19" s="412"/>
      <c r="K19" s="413" t="s">
        <v>29</v>
      </c>
      <c r="L19" s="413"/>
      <c r="M19" s="396">
        <f>M18*0.05</f>
        <v>132.32142857142858</v>
      </c>
      <c r="N19" s="7"/>
      <c r="O19" s="223"/>
      <c r="P19" s="224"/>
      <c r="Q19" s="218"/>
      <c r="R19" s="218"/>
      <c r="S19" s="219"/>
      <c r="T19" s="220"/>
      <c r="U19" s="223"/>
      <c r="V19" s="224"/>
      <c r="W19" s="220"/>
      <c r="X19" s="220"/>
      <c r="Y19" s="220"/>
      <c r="Z19" s="220"/>
      <c r="AA19" s="220"/>
      <c r="AB19" s="80"/>
    </row>
    <row r="20" spans="1:28" ht="12.75" customHeight="1" x14ac:dyDescent="0.2">
      <c r="A20" s="80"/>
      <c r="B20" s="81"/>
      <c r="C20" s="344" t="s">
        <v>30</v>
      </c>
      <c r="D20" s="412" t="s">
        <v>31</v>
      </c>
      <c r="E20" s="412"/>
      <c r="F20" s="412"/>
      <c r="G20" s="412"/>
      <c r="H20" s="412"/>
      <c r="I20" s="412"/>
      <c r="J20" s="412"/>
      <c r="K20" s="413" t="s">
        <v>32</v>
      </c>
      <c r="L20" s="413"/>
      <c r="M20" s="395">
        <f>M18+M19</f>
        <v>2778.75</v>
      </c>
      <c r="N20" s="400"/>
      <c r="O20" s="225"/>
      <c r="P20" s="218"/>
      <c r="Q20" s="218"/>
      <c r="R20" s="218"/>
      <c r="S20" s="219"/>
      <c r="T20" s="220"/>
      <c r="U20" s="225"/>
      <c r="V20" s="218"/>
      <c r="W20" s="220"/>
      <c r="X20" s="220"/>
      <c r="Y20" s="220"/>
      <c r="Z20" s="220"/>
      <c r="AA20" s="220"/>
      <c r="AB20" s="80"/>
    </row>
    <row r="21" spans="1:28" x14ac:dyDescent="0.2">
      <c r="A21" s="80"/>
      <c r="B21" s="81"/>
      <c r="C21" s="344" t="s">
        <v>33</v>
      </c>
      <c r="D21" s="412" t="s">
        <v>34</v>
      </c>
      <c r="E21" s="412"/>
      <c r="F21" s="412"/>
      <c r="G21" s="412"/>
      <c r="H21" s="412"/>
      <c r="I21" s="412"/>
      <c r="J21" s="412"/>
      <c r="K21" s="413"/>
      <c r="L21" s="413"/>
      <c r="M21" s="395">
        <f>H53</f>
        <v>3129.6</v>
      </c>
      <c r="N21" s="7"/>
      <c r="O21" s="225"/>
      <c r="P21" s="218"/>
      <c r="Q21" s="218"/>
      <c r="R21" s="218"/>
      <c r="S21" s="219"/>
      <c r="T21" s="220"/>
      <c r="U21" s="225"/>
      <c r="V21" s="218"/>
      <c r="W21" s="220"/>
      <c r="X21" s="220"/>
      <c r="Y21" s="220"/>
      <c r="Z21" s="220"/>
      <c r="AA21" s="220"/>
      <c r="AB21" s="80"/>
    </row>
    <row r="22" spans="1:28" x14ac:dyDescent="0.2">
      <c r="A22" s="80"/>
      <c r="B22" s="81"/>
      <c r="C22" s="344" t="s">
        <v>35</v>
      </c>
      <c r="D22" s="412" t="s">
        <v>36</v>
      </c>
      <c r="E22" s="412"/>
      <c r="F22" s="412"/>
      <c r="G22" s="412"/>
      <c r="H22" s="412"/>
      <c r="I22" s="412"/>
      <c r="J22" s="412"/>
      <c r="K22" s="413" t="s">
        <v>37</v>
      </c>
      <c r="L22" s="413"/>
      <c r="M22" s="397">
        <f>M21/M18</f>
        <v>1.182574898785425</v>
      </c>
      <c r="N22" s="7"/>
      <c r="O22" s="226"/>
      <c r="P22" s="218"/>
      <c r="Q22" s="218"/>
      <c r="R22" s="218"/>
      <c r="S22" s="219"/>
      <c r="T22" s="220"/>
      <c r="U22" s="226"/>
      <c r="V22" s="218"/>
      <c r="W22" s="220"/>
      <c r="X22" s="220"/>
      <c r="Y22" s="220"/>
      <c r="Z22" s="220"/>
      <c r="AA22" s="220"/>
      <c r="AB22" s="80"/>
    </row>
    <row r="23" spans="1:28" x14ac:dyDescent="0.2">
      <c r="A23" s="80"/>
      <c r="B23" s="81"/>
      <c r="C23" s="344" t="s">
        <v>38</v>
      </c>
      <c r="D23" s="412" t="s">
        <v>39</v>
      </c>
      <c r="E23" s="412"/>
      <c r="F23" s="412"/>
      <c r="G23" s="412"/>
      <c r="H23" s="412"/>
      <c r="I23" s="412"/>
      <c r="J23" s="412"/>
      <c r="K23" s="413" t="s">
        <v>40</v>
      </c>
      <c r="L23" s="413"/>
      <c r="M23" s="398">
        <f>M21/M17</f>
        <v>5.9128744939271245</v>
      </c>
      <c r="N23" s="401"/>
      <c r="O23" s="227"/>
      <c r="P23" s="218"/>
      <c r="Q23" s="218"/>
      <c r="R23" s="218"/>
      <c r="S23" s="219"/>
      <c r="T23" s="220"/>
      <c r="U23" s="227"/>
      <c r="V23" s="220"/>
      <c r="W23" s="220"/>
      <c r="X23" s="220"/>
      <c r="Y23" s="220"/>
      <c r="Z23" s="220"/>
      <c r="AA23" s="220"/>
      <c r="AB23" s="80"/>
    </row>
    <row r="24" spans="1:28" ht="12.75" customHeight="1" x14ac:dyDescent="0.2">
      <c r="A24" s="80"/>
      <c r="B24" s="60"/>
      <c r="C24" s="82"/>
      <c r="D24" s="454"/>
      <c r="E24" s="454"/>
      <c r="F24" s="454"/>
      <c r="G24" s="454"/>
      <c r="H24" s="454"/>
      <c r="I24" s="454"/>
      <c r="J24" s="454"/>
      <c r="K24" s="455"/>
      <c r="L24" s="455"/>
      <c r="M24" s="83"/>
      <c r="N24" s="84"/>
      <c r="O24" s="54"/>
      <c r="P24" s="54"/>
      <c r="Q24" s="54"/>
      <c r="R24" s="54"/>
      <c r="S24" s="228"/>
      <c r="T24" s="220"/>
      <c r="U24" s="220"/>
      <c r="V24" s="220"/>
      <c r="W24" s="220"/>
      <c r="X24" s="220"/>
      <c r="Y24" s="220"/>
      <c r="Z24" s="220"/>
      <c r="AA24" s="220"/>
      <c r="AB24" s="80"/>
    </row>
    <row r="25" spans="1:28" ht="12.75" customHeight="1" x14ac:dyDescent="0.2">
      <c r="A25" s="80"/>
      <c r="B25" s="60"/>
      <c r="C25" s="82"/>
      <c r="D25" s="341"/>
      <c r="E25" s="341"/>
      <c r="F25" s="341"/>
      <c r="G25" s="341"/>
      <c r="H25" s="341"/>
      <c r="I25" s="341"/>
      <c r="J25" s="341"/>
      <c r="K25" s="82"/>
      <c r="L25" s="82"/>
      <c r="M25" s="83"/>
      <c r="N25" s="84"/>
      <c r="O25" s="54"/>
      <c r="P25" s="54"/>
      <c r="Q25" s="54"/>
      <c r="R25" s="54"/>
      <c r="S25" s="228"/>
      <c r="T25" s="220"/>
      <c r="U25" s="220"/>
      <c r="V25" s="220"/>
      <c r="W25" s="220"/>
      <c r="X25" s="220"/>
      <c r="Y25" s="220"/>
      <c r="Z25" s="220"/>
      <c r="AA25" s="220"/>
      <c r="AB25" s="80"/>
    </row>
    <row r="26" spans="1:28" ht="12.75" customHeight="1" x14ac:dyDescent="0.2">
      <c r="A26" s="80"/>
      <c r="B26" s="60"/>
      <c r="C26" s="188" t="s">
        <v>41</v>
      </c>
      <c r="D26" s="136" t="s">
        <v>42</v>
      </c>
      <c r="E26" s="189"/>
      <c r="F26" s="77"/>
      <c r="G26" s="77"/>
      <c r="H26" s="77"/>
      <c r="I26" s="77"/>
      <c r="J26" s="77"/>
      <c r="K26" s="77"/>
      <c r="L26" s="77"/>
      <c r="M26" s="77"/>
      <c r="N26" s="84"/>
      <c r="O26" s="54"/>
      <c r="P26" s="54"/>
      <c r="Q26" s="54"/>
      <c r="R26" s="54"/>
      <c r="S26" s="228"/>
      <c r="T26" s="220"/>
      <c r="U26" s="220"/>
      <c r="V26" s="220"/>
      <c r="W26" s="220"/>
      <c r="X26" s="220"/>
      <c r="Y26" s="220"/>
      <c r="Z26" s="220"/>
      <c r="AA26" s="220"/>
      <c r="AB26" s="80"/>
    </row>
    <row r="27" spans="1:28" ht="12.75" customHeight="1" x14ac:dyDescent="0.2">
      <c r="A27" s="80"/>
      <c r="B27" s="60"/>
      <c r="C27" s="450"/>
      <c r="D27" s="450"/>
      <c r="E27" s="450"/>
      <c r="F27" s="450"/>
      <c r="G27" s="450"/>
      <c r="H27" s="450"/>
      <c r="I27" s="450"/>
      <c r="J27" s="450"/>
      <c r="K27" s="450"/>
      <c r="L27" s="450"/>
      <c r="M27" s="450"/>
      <c r="N27" s="84"/>
      <c r="O27" s="54"/>
      <c r="P27" s="54"/>
      <c r="Q27" s="54"/>
      <c r="R27" s="54"/>
      <c r="S27" s="228"/>
      <c r="T27" s="220"/>
      <c r="U27" s="220"/>
      <c r="V27" s="220"/>
      <c r="W27" s="220"/>
      <c r="X27" s="220"/>
      <c r="Y27" s="220"/>
      <c r="Z27" s="220"/>
      <c r="AA27" s="220"/>
      <c r="AB27" s="80"/>
    </row>
    <row r="28" spans="1:28" ht="12.75" customHeight="1" x14ac:dyDescent="0.2">
      <c r="A28" s="80"/>
      <c r="B28" s="60"/>
      <c r="C28" s="344" t="s">
        <v>14</v>
      </c>
      <c r="D28" s="412" t="s">
        <v>15</v>
      </c>
      <c r="E28" s="412"/>
      <c r="F28" s="412"/>
      <c r="G28" s="412"/>
      <c r="H28" s="412"/>
      <c r="I28" s="412"/>
      <c r="J28" s="412"/>
      <c r="K28" s="412"/>
      <c r="L28" s="412"/>
      <c r="M28" s="395">
        <v>4110</v>
      </c>
      <c r="N28" s="84"/>
      <c r="O28" s="54"/>
      <c r="P28" s="54"/>
      <c r="Q28" s="54"/>
      <c r="R28" s="54"/>
      <c r="S28" s="228"/>
      <c r="T28" s="220"/>
      <c r="U28" s="220"/>
      <c r="V28" s="220"/>
      <c r="W28" s="220"/>
      <c r="X28" s="220"/>
      <c r="Y28" s="220"/>
      <c r="Z28" s="220"/>
      <c r="AA28" s="220"/>
      <c r="AB28" s="80"/>
    </row>
    <row r="29" spans="1:28" ht="12.75" customHeight="1" x14ac:dyDescent="0.2">
      <c r="A29" s="80"/>
      <c r="B29" s="60"/>
      <c r="C29" s="344" t="s">
        <v>16</v>
      </c>
      <c r="D29" s="451" t="s">
        <v>17</v>
      </c>
      <c r="E29" s="451"/>
      <c r="F29" s="451"/>
      <c r="G29" s="451"/>
      <c r="H29" s="451"/>
      <c r="I29" s="451"/>
      <c r="J29" s="451"/>
      <c r="K29" s="451"/>
      <c r="L29" s="451"/>
      <c r="M29" s="395">
        <f>K8</f>
        <v>405</v>
      </c>
      <c r="N29" s="84"/>
      <c r="O29" s="54"/>
      <c r="P29" s="54"/>
      <c r="Q29" s="54"/>
      <c r="R29" s="54"/>
      <c r="S29" s="228"/>
      <c r="T29" s="220"/>
      <c r="U29" s="220"/>
      <c r="V29" s="220"/>
      <c r="W29" s="220"/>
      <c r="X29" s="220"/>
      <c r="Y29" s="220"/>
      <c r="Z29" s="220"/>
      <c r="AA29" s="220"/>
      <c r="AB29" s="80"/>
    </row>
    <row r="30" spans="1:28" ht="12.75" customHeight="1" x14ac:dyDescent="0.2">
      <c r="A30" s="80"/>
      <c r="B30" s="60"/>
      <c r="C30" s="344" t="s">
        <v>18</v>
      </c>
      <c r="D30" s="462" t="s">
        <v>43</v>
      </c>
      <c r="E30" s="463"/>
      <c r="F30" s="463"/>
      <c r="G30" s="463"/>
      <c r="H30" s="463"/>
      <c r="I30" s="463"/>
      <c r="J30" s="463"/>
      <c r="K30" s="463"/>
      <c r="L30" s="464"/>
      <c r="M30" s="395">
        <f>SUM(Trajectory!L18:R18)</f>
        <v>3480</v>
      </c>
      <c r="N30" s="84"/>
      <c r="O30" s="54"/>
      <c r="P30" s="54"/>
      <c r="Q30" s="54"/>
      <c r="R30" s="54"/>
      <c r="S30" s="228"/>
      <c r="T30" s="220"/>
      <c r="U30" s="220"/>
      <c r="V30" s="220"/>
      <c r="W30" s="220"/>
      <c r="X30" s="220"/>
      <c r="Y30" s="220"/>
      <c r="Z30" s="220"/>
      <c r="AA30" s="220"/>
      <c r="AB30" s="80"/>
    </row>
    <row r="31" spans="1:28" ht="12.75" customHeight="1" x14ac:dyDescent="0.2">
      <c r="A31" s="80"/>
      <c r="B31" s="60"/>
      <c r="C31" s="344" t="s">
        <v>21</v>
      </c>
      <c r="D31" s="412" t="s">
        <v>22</v>
      </c>
      <c r="E31" s="412"/>
      <c r="F31" s="412"/>
      <c r="G31" s="412"/>
      <c r="H31" s="412"/>
      <c r="I31" s="412"/>
      <c r="J31" s="412"/>
      <c r="K31" s="413" t="s">
        <v>23</v>
      </c>
      <c r="L31" s="413"/>
      <c r="M31" s="395">
        <f>M30/7</f>
        <v>497.14285714285717</v>
      </c>
      <c r="N31" s="84"/>
      <c r="O31" s="54"/>
      <c r="P31" s="54"/>
      <c r="Q31" s="54"/>
      <c r="R31" s="54"/>
      <c r="S31" s="228"/>
      <c r="T31" s="220"/>
      <c r="U31" s="220"/>
      <c r="V31" s="220"/>
      <c r="W31" s="220"/>
      <c r="X31" s="220"/>
      <c r="Y31" s="220"/>
      <c r="Z31" s="220"/>
      <c r="AA31" s="220"/>
      <c r="AB31" s="80"/>
    </row>
    <row r="32" spans="1:28" ht="12.75" customHeight="1" x14ac:dyDescent="0.2">
      <c r="A32" s="80"/>
      <c r="B32" s="60"/>
      <c r="C32" s="344" t="s">
        <v>24</v>
      </c>
      <c r="D32" s="501" t="s">
        <v>44</v>
      </c>
      <c r="E32" s="502"/>
      <c r="F32" s="502"/>
      <c r="G32" s="502"/>
      <c r="H32" s="502"/>
      <c r="I32" s="502"/>
      <c r="J32" s="502"/>
      <c r="K32" s="502"/>
      <c r="L32" s="503"/>
      <c r="M32" s="395">
        <f>SUM(Trajectory!I18:K18)-SUM(Trajectory!I12:K12)</f>
        <v>225</v>
      </c>
      <c r="N32" s="84"/>
      <c r="O32" s="54"/>
      <c r="P32" s="54"/>
      <c r="Q32" s="54"/>
      <c r="R32" s="54"/>
      <c r="S32" s="228"/>
      <c r="T32" s="220"/>
      <c r="U32" s="220"/>
      <c r="V32" s="220"/>
      <c r="W32" s="220"/>
      <c r="X32" s="220"/>
      <c r="Y32" s="220"/>
      <c r="Z32" s="220"/>
      <c r="AA32" s="220"/>
      <c r="AB32" s="80"/>
    </row>
    <row r="33" spans="1:28" ht="12.75" customHeight="1" x14ac:dyDescent="0.2">
      <c r="A33" s="80"/>
      <c r="B33" s="60"/>
      <c r="C33" s="344" t="s">
        <v>27</v>
      </c>
      <c r="D33" s="452" t="s">
        <v>45</v>
      </c>
      <c r="E33" s="452"/>
      <c r="F33" s="452"/>
      <c r="G33" s="452"/>
      <c r="H33" s="452"/>
      <c r="I33" s="452"/>
      <c r="J33" s="452"/>
      <c r="K33" s="461"/>
      <c r="L33" s="461"/>
      <c r="M33" s="395">
        <f>SUM(Trajectory!L18:P18)</f>
        <v>2140</v>
      </c>
      <c r="N33" s="84"/>
      <c r="O33" s="54"/>
      <c r="P33" s="54"/>
      <c r="Q33" s="54"/>
      <c r="R33" s="54"/>
      <c r="S33" s="228"/>
      <c r="T33" s="220"/>
      <c r="U33" s="220"/>
      <c r="V33" s="220"/>
      <c r="W33" s="220"/>
      <c r="X33" s="220"/>
      <c r="Y33" s="220"/>
      <c r="Z33" s="220"/>
      <c r="AA33" s="220"/>
      <c r="AB33" s="80"/>
    </row>
    <row r="34" spans="1:28" ht="12.75" customHeight="1" x14ac:dyDescent="0.2">
      <c r="A34" s="80"/>
      <c r="B34" s="60"/>
      <c r="C34" s="344" t="s">
        <v>30</v>
      </c>
      <c r="D34" s="412" t="s">
        <v>46</v>
      </c>
      <c r="E34" s="412"/>
      <c r="F34" s="412"/>
      <c r="G34" s="412"/>
      <c r="H34" s="412"/>
      <c r="I34" s="412"/>
      <c r="J34" s="412"/>
      <c r="K34" s="413" t="s">
        <v>47</v>
      </c>
      <c r="L34" s="413"/>
      <c r="M34" s="395">
        <f>M33+M32</f>
        <v>2365</v>
      </c>
      <c r="N34" s="84"/>
      <c r="O34" s="54"/>
      <c r="P34" s="54"/>
      <c r="Q34" s="54"/>
      <c r="R34" s="54"/>
      <c r="S34" s="228"/>
      <c r="T34" s="220"/>
      <c r="U34" s="220"/>
      <c r="V34" s="220"/>
      <c r="W34" s="220"/>
      <c r="X34" s="220"/>
      <c r="Y34" s="220"/>
      <c r="Z34" s="220"/>
      <c r="AA34" s="220"/>
      <c r="AB34" s="80"/>
    </row>
    <row r="35" spans="1:28" ht="12.75" customHeight="1" x14ac:dyDescent="0.2">
      <c r="A35" s="80"/>
      <c r="B35" s="60"/>
      <c r="C35" s="344" t="s">
        <v>33</v>
      </c>
      <c r="D35" s="412" t="s">
        <v>28</v>
      </c>
      <c r="E35" s="412"/>
      <c r="F35" s="412"/>
      <c r="G35" s="412"/>
      <c r="H35" s="412"/>
      <c r="I35" s="412"/>
      <c r="J35" s="412"/>
      <c r="K35" s="413" t="s">
        <v>48</v>
      </c>
      <c r="L35" s="413"/>
      <c r="M35" s="396">
        <f>M34*0.05</f>
        <v>118.25</v>
      </c>
      <c r="N35" s="84"/>
      <c r="O35" s="54"/>
      <c r="P35" s="54"/>
      <c r="Q35" s="54"/>
      <c r="R35" s="54"/>
      <c r="S35" s="228"/>
      <c r="T35" s="220"/>
      <c r="U35" s="220"/>
      <c r="V35" s="220"/>
      <c r="W35" s="220"/>
      <c r="X35" s="220"/>
      <c r="Y35" s="220"/>
      <c r="Z35" s="220"/>
      <c r="AA35" s="220"/>
      <c r="AB35" s="80"/>
    </row>
    <row r="36" spans="1:28" ht="12.75" customHeight="1" x14ac:dyDescent="0.2">
      <c r="A36" s="80"/>
      <c r="B36" s="60"/>
      <c r="C36" s="344" t="s">
        <v>35</v>
      </c>
      <c r="D36" s="412" t="s">
        <v>31</v>
      </c>
      <c r="E36" s="412"/>
      <c r="F36" s="412"/>
      <c r="G36" s="412"/>
      <c r="H36" s="412"/>
      <c r="I36" s="412"/>
      <c r="J36" s="412"/>
      <c r="K36" s="413" t="s">
        <v>49</v>
      </c>
      <c r="L36" s="413"/>
      <c r="M36" s="395">
        <f>M34+M35</f>
        <v>2483.25</v>
      </c>
      <c r="N36" s="84"/>
      <c r="O36" s="54"/>
      <c r="P36" s="54"/>
      <c r="Q36" s="54"/>
      <c r="R36" s="54"/>
      <c r="S36" s="228"/>
      <c r="T36" s="220"/>
      <c r="U36" s="220"/>
      <c r="V36" s="220"/>
      <c r="W36" s="220"/>
      <c r="X36" s="220"/>
      <c r="Y36" s="220"/>
      <c r="Z36" s="220"/>
      <c r="AA36" s="220"/>
      <c r="AB36" s="80"/>
    </row>
    <row r="37" spans="1:28" ht="12.75" customHeight="1" x14ac:dyDescent="0.2">
      <c r="A37" s="80"/>
      <c r="B37" s="60"/>
      <c r="C37" s="344" t="s">
        <v>38</v>
      </c>
      <c r="D37" s="412" t="s">
        <v>50</v>
      </c>
      <c r="E37" s="412"/>
      <c r="F37" s="412"/>
      <c r="G37" s="412"/>
      <c r="H37" s="412"/>
      <c r="I37" s="412"/>
      <c r="J37" s="412"/>
      <c r="K37" s="504" t="s">
        <v>51</v>
      </c>
      <c r="L37" s="505"/>
      <c r="M37" s="395">
        <f>M36/5</f>
        <v>496.65</v>
      </c>
      <c r="N37" s="84"/>
      <c r="O37" s="54"/>
      <c r="P37" s="54"/>
      <c r="Q37" s="54"/>
      <c r="R37" s="54"/>
      <c r="S37" s="228"/>
      <c r="T37" s="220"/>
      <c r="U37" s="220"/>
      <c r="V37" s="220"/>
      <c r="W37" s="220"/>
      <c r="X37" s="220"/>
      <c r="Y37" s="220"/>
      <c r="Z37" s="220"/>
      <c r="AA37" s="220"/>
      <c r="AB37" s="80"/>
    </row>
    <row r="38" spans="1:28" ht="12.75" customHeight="1" x14ac:dyDescent="0.2">
      <c r="A38" s="80"/>
      <c r="B38" s="60"/>
      <c r="C38" s="344" t="s">
        <v>52</v>
      </c>
      <c r="D38" s="412" t="s">
        <v>34</v>
      </c>
      <c r="E38" s="412"/>
      <c r="F38" s="412"/>
      <c r="G38" s="412"/>
      <c r="H38" s="412"/>
      <c r="I38" s="412"/>
      <c r="J38" s="412"/>
      <c r="K38" s="413"/>
      <c r="L38" s="413"/>
      <c r="M38" s="395">
        <f>H53</f>
        <v>3129.6</v>
      </c>
      <c r="N38" s="84"/>
      <c r="O38" s="54"/>
      <c r="P38" s="54"/>
      <c r="Q38" s="54"/>
      <c r="R38" s="54"/>
      <c r="S38" s="228"/>
      <c r="T38" s="220"/>
      <c r="U38" s="220"/>
      <c r="V38" s="220"/>
      <c r="W38" s="220"/>
      <c r="X38" s="220"/>
      <c r="Y38" s="220"/>
      <c r="Z38" s="220"/>
      <c r="AA38" s="220"/>
      <c r="AB38" s="80"/>
    </row>
    <row r="39" spans="1:28" ht="12.75" customHeight="1" x14ac:dyDescent="0.2">
      <c r="A39" s="80"/>
      <c r="B39" s="60"/>
      <c r="C39" s="344" t="s">
        <v>53</v>
      </c>
      <c r="D39" s="412" t="s">
        <v>54</v>
      </c>
      <c r="E39" s="412"/>
      <c r="F39" s="412"/>
      <c r="G39" s="412"/>
      <c r="H39" s="412"/>
      <c r="I39" s="412"/>
      <c r="J39" s="412"/>
      <c r="K39" s="413" t="s">
        <v>55</v>
      </c>
      <c r="L39" s="413"/>
      <c r="M39" s="397">
        <f>M38/M36</f>
        <v>1.2602839021443673</v>
      </c>
      <c r="N39" s="84"/>
      <c r="O39" s="54"/>
      <c r="P39" s="54"/>
      <c r="Q39" s="54"/>
      <c r="R39" s="54"/>
      <c r="S39" s="228"/>
      <c r="T39" s="220"/>
      <c r="U39" s="220"/>
      <c r="V39" s="220"/>
      <c r="W39" s="220"/>
      <c r="X39" s="220"/>
      <c r="Y39" s="220"/>
      <c r="Z39" s="220"/>
      <c r="AA39" s="220"/>
      <c r="AB39" s="80"/>
    </row>
    <row r="40" spans="1:28" ht="12.75" customHeight="1" x14ac:dyDescent="0.2">
      <c r="A40" s="80"/>
      <c r="B40" s="60"/>
      <c r="C40" s="344" t="s">
        <v>56</v>
      </c>
      <c r="D40" s="412" t="s">
        <v>57</v>
      </c>
      <c r="E40" s="412"/>
      <c r="F40" s="412"/>
      <c r="G40" s="412"/>
      <c r="H40" s="412"/>
      <c r="I40" s="412"/>
      <c r="J40" s="412"/>
      <c r="K40" s="413" t="s">
        <v>58</v>
      </c>
      <c r="L40" s="413"/>
      <c r="M40" s="398">
        <f>M38/M37</f>
        <v>6.3014195107218365</v>
      </c>
      <c r="N40" s="84"/>
      <c r="O40" s="54"/>
      <c r="P40" s="54"/>
      <c r="Q40" s="54"/>
      <c r="R40" s="54"/>
      <c r="S40" s="228"/>
      <c r="T40" s="220"/>
      <c r="U40" s="220"/>
      <c r="V40" s="220"/>
      <c r="W40" s="220"/>
      <c r="X40" s="220"/>
      <c r="Y40" s="220"/>
      <c r="Z40" s="220"/>
      <c r="AA40" s="220"/>
      <c r="AB40" s="80"/>
    </row>
    <row r="41" spans="1:28" ht="12.75" customHeight="1" x14ac:dyDescent="0.2">
      <c r="A41" s="80"/>
      <c r="B41" s="60"/>
      <c r="C41" s="187" t="s">
        <v>59</v>
      </c>
      <c r="D41" s="343"/>
      <c r="E41" s="343"/>
      <c r="F41" s="343"/>
      <c r="G41" s="343"/>
      <c r="H41" s="343"/>
      <c r="I41" s="343"/>
      <c r="J41" s="343"/>
      <c r="K41" s="342"/>
      <c r="L41" s="342"/>
      <c r="M41" s="345"/>
      <c r="N41" s="84"/>
      <c r="O41" s="54"/>
      <c r="P41" s="54"/>
      <c r="Q41" s="54"/>
      <c r="R41" s="54"/>
      <c r="S41" s="228"/>
      <c r="T41" s="220"/>
      <c r="U41" s="220"/>
      <c r="V41" s="220"/>
      <c r="W41" s="220"/>
      <c r="X41" s="220"/>
      <c r="Y41" s="220"/>
      <c r="Z41" s="220"/>
      <c r="AA41" s="220"/>
      <c r="AB41" s="80"/>
    </row>
    <row r="42" spans="1:28" ht="12.75" customHeight="1" x14ac:dyDescent="0.2">
      <c r="A42" s="80"/>
      <c r="B42" s="60"/>
      <c r="C42" s="342"/>
      <c r="D42" s="343"/>
      <c r="E42" s="343"/>
      <c r="F42" s="343"/>
      <c r="G42" s="343"/>
      <c r="H42" s="343"/>
      <c r="I42" s="343"/>
      <c r="J42" s="343"/>
      <c r="K42" s="342"/>
      <c r="L42" s="342"/>
      <c r="M42" s="345"/>
      <c r="N42" s="84"/>
      <c r="O42" s="54"/>
      <c r="P42" s="54"/>
      <c r="Q42" s="54"/>
      <c r="R42" s="54"/>
      <c r="S42" s="228"/>
      <c r="T42" s="220"/>
      <c r="U42" s="220"/>
      <c r="V42" s="220"/>
      <c r="W42" s="220"/>
      <c r="X42" s="220"/>
      <c r="Y42" s="220"/>
      <c r="Z42" s="220"/>
      <c r="AA42" s="220"/>
      <c r="AB42" s="80"/>
    </row>
    <row r="43" spans="1:28" ht="12.75" customHeight="1" x14ac:dyDescent="0.2">
      <c r="B43" s="60"/>
      <c r="C43" s="85"/>
      <c r="D43" s="86"/>
      <c r="E43" s="86"/>
      <c r="F43" s="86"/>
      <c r="G43" s="86"/>
      <c r="H43" s="86"/>
      <c r="I43" s="86"/>
      <c r="J43" s="86"/>
      <c r="K43" s="85"/>
      <c r="L43" s="85"/>
      <c r="M43" s="87"/>
      <c r="N43" s="66"/>
      <c r="O43" s="66"/>
      <c r="P43" s="66"/>
      <c r="Q43" s="66"/>
      <c r="R43" s="66"/>
      <c r="S43" s="67"/>
    </row>
    <row r="44" spans="1:28" ht="12.75" customHeight="1" x14ac:dyDescent="0.2">
      <c r="B44" s="60"/>
      <c r="C44" s="136" t="s">
        <v>60</v>
      </c>
      <c r="D44" s="136" t="s">
        <v>34</v>
      </c>
      <c r="E44" s="137"/>
      <c r="F44" s="137"/>
      <c r="G44" s="137"/>
      <c r="H44" s="137"/>
      <c r="I44" s="137"/>
      <c r="J44" s="86"/>
      <c r="K44" s="136" t="s">
        <v>61</v>
      </c>
      <c r="L44" s="136" t="s">
        <v>62</v>
      </c>
      <c r="M44" s="186"/>
      <c r="N44" s="186"/>
      <c r="O44" s="186"/>
      <c r="P44" s="186"/>
      <c r="Q44" s="187"/>
      <c r="R44" s="187"/>
      <c r="S44" s="67"/>
    </row>
    <row r="45" spans="1:28" ht="24" customHeight="1" x14ac:dyDescent="0.2">
      <c r="B45" s="88"/>
      <c r="C45" s="456" t="s">
        <v>63</v>
      </c>
      <c r="D45" s="457"/>
      <c r="E45" s="457"/>
      <c r="F45" s="457"/>
      <c r="G45" s="458"/>
      <c r="H45" s="459" t="s">
        <v>64</v>
      </c>
      <c r="I45" s="460"/>
      <c r="J45" s="66"/>
      <c r="K45" s="456" t="s">
        <v>63</v>
      </c>
      <c r="L45" s="457"/>
      <c r="M45" s="457"/>
      <c r="N45" s="457"/>
      <c r="O45" s="457"/>
      <c r="P45" s="458"/>
      <c r="Q45" s="459"/>
      <c r="R45" s="460"/>
      <c r="S45" s="67"/>
    </row>
    <row r="46" spans="1:28" ht="12.75" customHeight="1" x14ac:dyDescent="0.2">
      <c r="B46" s="88"/>
      <c r="C46" s="419" t="s">
        <v>65</v>
      </c>
      <c r="D46" s="420"/>
      <c r="E46" s="420"/>
      <c r="F46" s="420"/>
      <c r="G46" s="421"/>
      <c r="H46" s="422">
        <f>GETPIVOTDATA("Net Dwellings",Pivot!$B$15)</f>
        <v>508</v>
      </c>
      <c r="I46" s="423"/>
      <c r="J46" s="66"/>
      <c r="K46" s="424" t="s">
        <v>65</v>
      </c>
      <c r="L46" s="425"/>
      <c r="M46" s="425"/>
      <c r="N46" s="425"/>
      <c r="O46" s="425"/>
      <c r="P46" s="426"/>
      <c r="Q46" s="422">
        <f>GETPIVOTDATA("Net Dwellings",Pivot!$B$15)</f>
        <v>508</v>
      </c>
      <c r="R46" s="423"/>
      <c r="S46" s="67"/>
    </row>
    <row r="47" spans="1:28" x14ac:dyDescent="0.2">
      <c r="B47" s="88"/>
      <c r="C47" s="419" t="s">
        <v>66</v>
      </c>
      <c r="D47" s="420"/>
      <c r="E47" s="420"/>
      <c r="F47" s="420"/>
      <c r="G47" s="421"/>
      <c r="H47" s="422">
        <f>GETPIVOTDATA("Sum of 2024/25 (1)",Pivot!$H$10)+GETPIVOTDATA("Sum of 2025/26 (2)",Pivot!$H$10)+GETPIVOTDATA("Sum of 2026/27 (3)",Pivot!$H$10)+GETPIVOTDATA("Sum of 2027/28 (4)",Pivot!$H$10)+GETPIVOTDATA("Sum of 2028/29 (5)",Pivot!$H$10)</f>
        <v>331</v>
      </c>
      <c r="I47" s="423"/>
      <c r="J47" s="66"/>
      <c r="K47" s="424" t="s">
        <v>66</v>
      </c>
      <c r="L47" s="425"/>
      <c r="M47" s="425"/>
      <c r="N47" s="425"/>
      <c r="O47" s="425"/>
      <c r="P47" s="426"/>
      <c r="Q47" s="422">
        <f>GETPIVOTDATA("Net Dwellings",Pivot!$B$24)</f>
        <v>421</v>
      </c>
      <c r="R47" s="423"/>
      <c r="S47" s="67"/>
    </row>
    <row r="48" spans="1:28" ht="12.75" customHeight="1" x14ac:dyDescent="0.2">
      <c r="B48" s="88"/>
      <c r="C48" s="419" t="s">
        <v>67</v>
      </c>
      <c r="D48" s="420"/>
      <c r="E48" s="420"/>
      <c r="F48" s="420"/>
      <c r="G48" s="421"/>
      <c r="H48" s="422">
        <f>GETPIVOTDATA("Net Dwellings",Pivot!$B$33)</f>
        <v>145</v>
      </c>
      <c r="I48" s="423"/>
      <c r="J48" s="66"/>
      <c r="K48" s="424" t="s">
        <v>67</v>
      </c>
      <c r="L48" s="425"/>
      <c r="M48" s="425"/>
      <c r="N48" s="425"/>
      <c r="O48" s="425"/>
      <c r="P48" s="426"/>
      <c r="Q48" s="422">
        <f>GETPIVOTDATA("Net Dwellings",Pivot!$B$33)</f>
        <v>145</v>
      </c>
      <c r="R48" s="423"/>
      <c r="S48" s="67"/>
    </row>
    <row r="49" spans="2:19" ht="12.75" customHeight="1" x14ac:dyDescent="0.2">
      <c r="B49" s="88"/>
      <c r="C49" s="419" t="s">
        <v>68</v>
      </c>
      <c r="D49" s="420"/>
      <c r="E49" s="420"/>
      <c r="F49" s="420"/>
      <c r="G49" s="421"/>
      <c r="H49" s="422">
        <f>GETPIVOTDATA("Net Dwellings",Pivot!$B$43)</f>
        <v>39</v>
      </c>
      <c r="I49" s="423"/>
      <c r="J49" s="66"/>
      <c r="K49" s="424" t="s">
        <v>68</v>
      </c>
      <c r="L49" s="425"/>
      <c r="M49" s="425"/>
      <c r="N49" s="425"/>
      <c r="O49" s="425"/>
      <c r="P49" s="426"/>
      <c r="Q49" s="422">
        <f>GETPIVOTDATA("Net Dwellings",Pivot!$B$43)</f>
        <v>39</v>
      </c>
      <c r="R49" s="423"/>
      <c r="S49" s="67"/>
    </row>
    <row r="50" spans="2:19" ht="12.75" customHeight="1" x14ac:dyDescent="0.2">
      <c r="B50" s="88"/>
      <c r="C50" s="419" t="s">
        <v>69</v>
      </c>
      <c r="D50" s="420"/>
      <c r="E50" s="420"/>
      <c r="F50" s="420"/>
      <c r="G50" s="421"/>
      <c r="H50" s="422">
        <f>GETPIVOTDATA("Net Dwellings",Pivot!$B$53)</f>
        <v>41</v>
      </c>
      <c r="I50" s="423"/>
      <c r="J50" s="66"/>
      <c r="K50" s="424" t="s">
        <v>69</v>
      </c>
      <c r="L50" s="425"/>
      <c r="M50" s="425"/>
      <c r="N50" s="425"/>
      <c r="O50" s="425"/>
      <c r="P50" s="426"/>
      <c r="Q50" s="422">
        <f>GETPIVOTDATA("Net Dwellings",Pivot!$B$53)</f>
        <v>41</v>
      </c>
      <c r="R50" s="423"/>
      <c r="S50" s="67"/>
    </row>
    <row r="51" spans="2:19" ht="12.75" customHeight="1" x14ac:dyDescent="0.2">
      <c r="B51" s="88"/>
      <c r="C51" s="419" t="s">
        <v>70</v>
      </c>
      <c r="D51" s="420"/>
      <c r="E51" s="420"/>
      <c r="F51" s="420"/>
      <c r="G51" s="421"/>
      <c r="H51" s="422">
        <f>SUM('Non-Self-Contained'!AQ3:AQ8)</f>
        <v>62.599999999999994</v>
      </c>
      <c r="I51" s="423"/>
      <c r="J51" s="69"/>
      <c r="K51" s="424" t="s">
        <v>70</v>
      </c>
      <c r="L51" s="425"/>
      <c r="M51" s="425"/>
      <c r="N51" s="425"/>
      <c r="O51" s="425"/>
      <c r="P51" s="426"/>
      <c r="Q51" s="422">
        <f>H51</f>
        <v>62.599999999999994</v>
      </c>
      <c r="R51" s="423"/>
      <c r="S51" s="67"/>
    </row>
    <row r="52" spans="2:19" ht="12.75" customHeight="1" x14ac:dyDescent="0.2">
      <c r="B52" s="88"/>
      <c r="C52" s="419" t="s">
        <v>71</v>
      </c>
      <c r="D52" s="420"/>
      <c r="E52" s="420"/>
      <c r="F52" s="420"/>
      <c r="G52" s="421"/>
      <c r="H52" s="422">
        <f>GETPIVOTDATA("2024-2028 Total",Pivot!$E$7)</f>
        <v>2003</v>
      </c>
      <c r="I52" s="423"/>
      <c r="J52" s="69"/>
      <c r="K52" s="424" t="s">
        <v>72</v>
      </c>
      <c r="L52" s="425"/>
      <c r="M52" s="425"/>
      <c r="N52" s="425"/>
      <c r="O52" s="425"/>
      <c r="P52" s="426"/>
      <c r="Q52" s="422">
        <f>GETPIVOTDATA("2024-2034 Total",Pivot!$E$46)</f>
        <v>270</v>
      </c>
      <c r="R52" s="423"/>
      <c r="S52" s="67"/>
    </row>
    <row r="53" spans="2:19" ht="12.75" customHeight="1" x14ac:dyDescent="0.2">
      <c r="B53" s="88"/>
      <c r="C53" s="465" t="s">
        <v>73</v>
      </c>
      <c r="D53" s="466"/>
      <c r="E53" s="466"/>
      <c r="F53" s="466"/>
      <c r="G53" s="467"/>
      <c r="H53" s="468">
        <f>SUM(H46:I52)</f>
        <v>3129.6</v>
      </c>
      <c r="I53" s="469"/>
      <c r="J53" s="89"/>
      <c r="K53" s="424" t="s">
        <v>71</v>
      </c>
      <c r="L53" s="425"/>
      <c r="M53" s="425"/>
      <c r="N53" s="425"/>
      <c r="O53" s="425"/>
      <c r="P53" s="426"/>
      <c r="Q53" s="422">
        <f>GETPIVOTDATA("2024-2034 Total",Pivot!$E$24)</f>
        <v>4033</v>
      </c>
      <c r="R53" s="423"/>
      <c r="S53" s="67"/>
    </row>
    <row r="54" spans="2:19" ht="12.75" customHeight="1" x14ac:dyDescent="0.2">
      <c r="B54" s="60"/>
      <c r="C54" s="90"/>
      <c r="K54" s="465" t="s">
        <v>74</v>
      </c>
      <c r="L54" s="466"/>
      <c r="M54" s="466"/>
      <c r="N54" s="466"/>
      <c r="O54" s="466"/>
      <c r="P54" s="467"/>
      <c r="Q54" s="468">
        <f>SUM(Q46:R53)</f>
        <v>5519.6</v>
      </c>
      <c r="R54" s="469"/>
      <c r="S54" s="67"/>
    </row>
    <row r="55" spans="2:19" ht="12.75" customHeight="1" x14ac:dyDescent="0.2">
      <c r="B55" s="60"/>
      <c r="C55" s="91"/>
      <c r="D55" s="92"/>
      <c r="E55" s="92"/>
      <c r="F55" s="93"/>
      <c r="G55" s="93"/>
      <c r="H55" s="93"/>
      <c r="I55" s="93"/>
      <c r="J55" s="93"/>
      <c r="K55" s="93"/>
      <c r="L55" s="93"/>
      <c r="M55" s="93"/>
      <c r="N55" s="94"/>
      <c r="O55" s="94"/>
      <c r="P55" s="94"/>
      <c r="Q55" s="94"/>
      <c r="R55" s="94"/>
      <c r="S55" s="95"/>
    </row>
    <row r="56" spans="2:19" ht="12.75" customHeight="1" x14ac:dyDescent="0.2">
      <c r="B56" s="60"/>
      <c r="C56" s="91"/>
      <c r="D56" s="92"/>
      <c r="E56" s="92"/>
      <c r="F56" s="93"/>
      <c r="G56" s="93"/>
      <c r="H56" s="93"/>
      <c r="I56" s="93"/>
      <c r="J56" s="93"/>
      <c r="K56" s="93"/>
      <c r="L56" s="93"/>
      <c r="M56" s="93"/>
      <c r="N56" s="94"/>
      <c r="O56" s="94"/>
      <c r="P56" s="94"/>
      <c r="Q56" s="94"/>
      <c r="R56" s="94"/>
      <c r="S56" s="95"/>
    </row>
    <row r="57" spans="2:19" x14ac:dyDescent="0.2">
      <c r="B57" s="96"/>
      <c r="C57" s="97"/>
      <c r="D57" s="98"/>
      <c r="E57" s="98"/>
      <c r="F57" s="98"/>
      <c r="G57" s="98"/>
      <c r="H57" s="98"/>
      <c r="I57" s="98"/>
      <c r="J57" s="98"/>
      <c r="K57" s="98"/>
      <c r="L57" s="98"/>
      <c r="M57" s="98"/>
      <c r="N57" s="98"/>
      <c r="O57" s="98"/>
      <c r="P57" s="98"/>
      <c r="Q57" s="98"/>
      <c r="R57" s="98"/>
      <c r="S57" s="99"/>
    </row>
    <row r="58" spans="2:19" x14ac:dyDescent="0.2">
      <c r="B58" s="100"/>
      <c r="C58" s="101"/>
      <c r="D58" s="101"/>
      <c r="E58" s="101"/>
      <c r="F58" s="101"/>
      <c r="G58" s="101"/>
      <c r="H58" s="101"/>
      <c r="I58" s="101"/>
      <c r="J58" s="101"/>
      <c r="K58" s="101"/>
      <c r="L58" s="101"/>
      <c r="M58" s="101"/>
      <c r="N58" s="101"/>
      <c r="O58" s="101"/>
      <c r="P58" s="101"/>
      <c r="Q58" s="101"/>
      <c r="R58" s="101"/>
      <c r="S58" s="105"/>
    </row>
    <row r="59" spans="2:19" x14ac:dyDescent="0.2">
      <c r="B59" s="60"/>
      <c r="C59" s="136" t="s">
        <v>75</v>
      </c>
      <c r="D59" s="139" t="s">
        <v>76</v>
      </c>
      <c r="E59" s="140"/>
      <c r="F59" s="102"/>
      <c r="G59" s="102"/>
      <c r="H59" s="102"/>
      <c r="I59" s="102"/>
      <c r="J59" s="102"/>
      <c r="K59" s="102"/>
      <c r="L59" s="102"/>
      <c r="M59" s="94"/>
      <c r="N59" s="94"/>
      <c r="O59" s="94"/>
      <c r="P59" s="94"/>
      <c r="Q59" s="94"/>
      <c r="R59" s="94"/>
      <c r="S59" s="105"/>
    </row>
    <row r="60" spans="2:19" x14ac:dyDescent="0.2">
      <c r="B60" s="60"/>
      <c r="C60" s="141" t="s">
        <v>77</v>
      </c>
      <c r="D60" s="141" t="s">
        <v>78</v>
      </c>
      <c r="E60" s="141" t="s">
        <v>79</v>
      </c>
      <c r="F60" s="103"/>
      <c r="G60" s="103"/>
      <c r="H60" s="103"/>
      <c r="I60" s="103"/>
      <c r="J60" s="103"/>
      <c r="K60" s="103"/>
      <c r="L60" s="104"/>
      <c r="M60" s="104"/>
      <c r="N60" s="104"/>
      <c r="O60" s="104"/>
      <c r="P60" s="104"/>
      <c r="Q60" s="104"/>
      <c r="R60" s="104"/>
      <c r="S60" s="105"/>
    </row>
    <row r="61" spans="2:19" x14ac:dyDescent="0.2">
      <c r="B61" s="60"/>
      <c r="C61" s="142" t="s">
        <v>80</v>
      </c>
      <c r="D61" s="143">
        <v>319</v>
      </c>
      <c r="E61" s="143">
        <v>270</v>
      </c>
      <c r="F61" s="102"/>
      <c r="G61" s="102"/>
      <c r="H61" s="102"/>
      <c r="I61" s="102"/>
      <c r="J61" s="102"/>
      <c r="K61" s="102"/>
      <c r="L61" s="94"/>
      <c r="M61" s="94"/>
      <c r="N61" s="94"/>
      <c r="O61" s="94"/>
      <c r="P61" s="94"/>
      <c r="Q61" s="94"/>
      <c r="R61" s="94"/>
      <c r="S61" s="105"/>
    </row>
    <row r="62" spans="2:19" x14ac:dyDescent="0.2">
      <c r="B62" s="60"/>
      <c r="C62" s="142" t="s">
        <v>81</v>
      </c>
      <c r="D62" s="143">
        <v>246</v>
      </c>
      <c r="E62" s="143">
        <v>270</v>
      </c>
      <c r="F62" s="102"/>
      <c r="G62" s="102"/>
      <c r="H62" s="102"/>
      <c r="I62" s="102"/>
      <c r="J62" s="102"/>
      <c r="K62" s="102"/>
      <c r="L62" s="94"/>
      <c r="M62" s="94"/>
      <c r="N62" s="94"/>
      <c r="O62" s="94"/>
      <c r="P62" s="94"/>
      <c r="Q62" s="94"/>
      <c r="R62" s="94"/>
      <c r="S62" s="105"/>
    </row>
    <row r="63" spans="2:19" ht="12.75" customHeight="1" x14ac:dyDescent="0.2">
      <c r="B63" s="60"/>
      <c r="C63" s="142" t="s">
        <v>82</v>
      </c>
      <c r="D63" s="143">
        <v>582</v>
      </c>
      <c r="E63" s="143">
        <v>270</v>
      </c>
      <c r="F63" s="102"/>
      <c r="G63" s="102"/>
      <c r="H63" s="102"/>
      <c r="I63" s="102"/>
      <c r="J63" s="102"/>
      <c r="K63" s="102"/>
      <c r="L63" s="94"/>
      <c r="M63" s="94"/>
      <c r="N63" s="94"/>
      <c r="O63" s="94"/>
      <c r="P63" s="94"/>
      <c r="Q63" s="94"/>
      <c r="R63" s="94"/>
      <c r="S63" s="105"/>
    </row>
    <row r="64" spans="2:19" x14ac:dyDescent="0.2">
      <c r="B64" s="60"/>
      <c r="C64" s="142" t="s">
        <v>83</v>
      </c>
      <c r="D64" s="143">
        <v>842</v>
      </c>
      <c r="E64" s="143">
        <v>270</v>
      </c>
      <c r="F64" s="102"/>
      <c r="G64" s="102"/>
      <c r="H64" s="102"/>
      <c r="I64" s="102"/>
      <c r="J64" s="102"/>
      <c r="K64" s="102"/>
      <c r="L64" s="94"/>
      <c r="M64" s="94"/>
      <c r="N64" s="94"/>
      <c r="O64" s="94"/>
      <c r="P64" s="94"/>
      <c r="Q64" s="94"/>
      <c r="R64" s="94"/>
      <c r="S64" s="105"/>
    </row>
    <row r="65" spans="2:19" x14ac:dyDescent="0.2">
      <c r="B65" s="60"/>
      <c r="C65" s="142" t="s">
        <v>84</v>
      </c>
      <c r="D65" s="143">
        <v>230</v>
      </c>
      <c r="E65" s="143">
        <v>270</v>
      </c>
      <c r="F65" s="102"/>
      <c r="G65" s="102"/>
      <c r="H65" s="102"/>
      <c r="I65" s="102"/>
      <c r="J65" s="102"/>
      <c r="K65" s="102"/>
      <c r="L65" s="94"/>
      <c r="M65" s="94"/>
      <c r="N65" s="94"/>
      <c r="O65" s="94"/>
      <c r="P65" s="94"/>
      <c r="Q65" s="94"/>
      <c r="R65" s="94"/>
      <c r="S65" s="105"/>
    </row>
    <row r="66" spans="2:19" x14ac:dyDescent="0.2">
      <c r="B66" s="60"/>
      <c r="C66" s="142" t="s">
        <v>85</v>
      </c>
      <c r="D66" s="143">
        <v>260</v>
      </c>
      <c r="E66" s="143">
        <v>270</v>
      </c>
      <c r="F66" s="102"/>
      <c r="G66" s="102"/>
      <c r="H66" s="102"/>
      <c r="I66" s="102"/>
      <c r="J66" s="102"/>
      <c r="K66" s="102"/>
      <c r="L66" s="94"/>
      <c r="M66" s="94"/>
      <c r="N66" s="94"/>
      <c r="O66" s="94"/>
      <c r="P66" s="94"/>
      <c r="Q66" s="94"/>
      <c r="R66" s="94"/>
      <c r="S66" s="105"/>
    </row>
    <row r="67" spans="2:19" x14ac:dyDescent="0.2">
      <c r="B67" s="60"/>
      <c r="C67" s="142" t="s">
        <v>86</v>
      </c>
      <c r="D67" s="143">
        <v>436</v>
      </c>
      <c r="E67" s="143">
        <v>270</v>
      </c>
      <c r="F67" s="102"/>
      <c r="G67" s="102"/>
      <c r="H67" s="102"/>
      <c r="I67" s="102"/>
      <c r="J67" s="102"/>
      <c r="K67" s="102"/>
      <c r="L67" s="94"/>
      <c r="M67" s="94"/>
      <c r="N67" s="94"/>
      <c r="O67" s="94"/>
      <c r="P67" s="94"/>
      <c r="Q67" s="94"/>
      <c r="R67" s="94"/>
      <c r="S67" s="105"/>
    </row>
    <row r="68" spans="2:19" x14ac:dyDescent="0.2">
      <c r="B68" s="60"/>
      <c r="C68" s="142" t="s">
        <v>87</v>
      </c>
      <c r="D68" s="143">
        <v>145</v>
      </c>
      <c r="E68" s="143">
        <v>270</v>
      </c>
      <c r="F68" s="102"/>
      <c r="G68" s="102"/>
      <c r="H68" s="102"/>
      <c r="I68" s="102"/>
      <c r="J68" s="102"/>
      <c r="K68" s="102"/>
      <c r="L68" s="94"/>
      <c r="M68" s="94"/>
      <c r="N68" s="94"/>
      <c r="O68" s="94"/>
      <c r="P68" s="94"/>
      <c r="Q68" s="94"/>
      <c r="R68" s="94"/>
      <c r="S68" s="105"/>
    </row>
    <row r="69" spans="2:19" x14ac:dyDescent="0.2">
      <c r="B69" s="60"/>
      <c r="C69" s="142" t="s">
        <v>88</v>
      </c>
      <c r="D69" s="143">
        <v>399</v>
      </c>
      <c r="E69" s="143">
        <v>270</v>
      </c>
      <c r="F69" s="102"/>
      <c r="G69" s="102"/>
      <c r="H69" s="102"/>
      <c r="I69" s="102"/>
      <c r="J69" s="102"/>
      <c r="K69" s="102"/>
      <c r="L69" s="94"/>
      <c r="M69" s="94"/>
      <c r="N69" s="94"/>
      <c r="O69" s="94"/>
      <c r="P69" s="94"/>
      <c r="Q69" s="94"/>
      <c r="R69" s="94"/>
      <c r="S69" s="105"/>
    </row>
    <row r="70" spans="2:19" x14ac:dyDescent="0.2">
      <c r="B70" s="60"/>
      <c r="C70" s="142" t="s">
        <v>89</v>
      </c>
      <c r="D70" s="143">
        <v>208</v>
      </c>
      <c r="E70" s="143">
        <v>245</v>
      </c>
      <c r="F70" s="102"/>
      <c r="G70" s="102"/>
      <c r="H70" s="102"/>
      <c r="I70" s="102"/>
      <c r="J70" s="102"/>
      <c r="K70" s="102"/>
      <c r="L70" s="94"/>
      <c r="M70" s="94"/>
      <c r="N70" s="94"/>
      <c r="O70" s="94"/>
      <c r="P70" s="94"/>
      <c r="Q70" s="94"/>
      <c r="R70" s="94"/>
      <c r="S70" s="105"/>
    </row>
    <row r="71" spans="2:19" x14ac:dyDescent="0.2">
      <c r="B71" s="60"/>
      <c r="C71" s="142" t="s">
        <v>90</v>
      </c>
      <c r="D71" s="143">
        <v>695</v>
      </c>
      <c r="E71" s="143">
        <v>245</v>
      </c>
      <c r="F71" s="102"/>
      <c r="G71" s="102"/>
      <c r="H71" s="102"/>
      <c r="I71" s="102"/>
      <c r="J71" s="102"/>
      <c r="K71" s="102"/>
      <c r="L71" s="94"/>
      <c r="M71" s="94"/>
      <c r="N71" s="94"/>
      <c r="O71" s="94"/>
      <c r="P71" s="94"/>
      <c r="Q71" s="94"/>
      <c r="R71" s="94"/>
      <c r="S71" s="105"/>
    </row>
    <row r="72" spans="2:19" x14ac:dyDescent="0.2">
      <c r="B72" s="60"/>
      <c r="C72" s="142" t="s">
        <v>91</v>
      </c>
      <c r="D72" s="143">
        <v>235</v>
      </c>
      <c r="E72" s="143">
        <v>245</v>
      </c>
      <c r="F72" s="91"/>
      <c r="G72" s="102"/>
      <c r="H72" s="102"/>
      <c r="I72" s="102"/>
      <c r="J72" s="102"/>
      <c r="K72" s="102"/>
      <c r="L72" s="94"/>
      <c r="M72" s="94"/>
      <c r="N72" s="94"/>
      <c r="O72" s="94"/>
      <c r="P72" s="94"/>
      <c r="Q72" s="94"/>
      <c r="R72" s="94"/>
      <c r="S72" s="105"/>
    </row>
    <row r="73" spans="2:19" x14ac:dyDescent="0.2">
      <c r="B73" s="60"/>
      <c r="C73" s="142" t="s">
        <v>92</v>
      </c>
      <c r="D73" s="143">
        <v>304</v>
      </c>
      <c r="E73" s="143">
        <v>245</v>
      </c>
      <c r="S73" s="105"/>
    </row>
    <row r="74" spans="2:19" x14ac:dyDescent="0.2">
      <c r="B74" s="60"/>
      <c r="C74" s="142" t="s">
        <v>93</v>
      </c>
      <c r="D74" s="143">
        <v>491</v>
      </c>
      <c r="E74" s="143">
        <v>245</v>
      </c>
      <c r="S74" s="105"/>
    </row>
    <row r="75" spans="2:19" x14ac:dyDescent="0.2">
      <c r="B75" s="60"/>
      <c r="C75" s="142" t="s">
        <v>94</v>
      </c>
      <c r="D75" s="143">
        <v>460</v>
      </c>
      <c r="E75" s="143">
        <v>315</v>
      </c>
      <c r="S75" s="105"/>
    </row>
    <row r="76" spans="2:19" x14ac:dyDescent="0.2">
      <c r="B76" s="60"/>
      <c r="C76" s="142" t="s">
        <v>95</v>
      </c>
      <c r="D76" s="143">
        <v>382</v>
      </c>
      <c r="E76" s="143">
        <v>315</v>
      </c>
      <c r="S76" s="105"/>
    </row>
    <row r="77" spans="2:19" x14ac:dyDescent="0.2">
      <c r="B77" s="60"/>
      <c r="C77" s="142" t="s">
        <v>96</v>
      </c>
      <c r="D77" s="143">
        <v>419</v>
      </c>
      <c r="E77" s="143">
        <v>315</v>
      </c>
      <c r="S77" s="105"/>
    </row>
    <row r="78" spans="2:19" x14ac:dyDescent="0.2">
      <c r="B78" s="60"/>
      <c r="C78" s="142" t="s">
        <v>97</v>
      </c>
      <c r="D78" s="143">
        <v>331</v>
      </c>
      <c r="E78" s="143">
        <v>315</v>
      </c>
      <c r="S78" s="105"/>
    </row>
    <row r="79" spans="2:19" x14ac:dyDescent="0.2">
      <c r="B79" s="60"/>
      <c r="C79" s="142" t="s">
        <v>98</v>
      </c>
      <c r="D79" s="143">
        <v>206</v>
      </c>
      <c r="E79" s="143">
        <v>315</v>
      </c>
      <c r="S79" s="105"/>
    </row>
    <row r="80" spans="2:19" x14ac:dyDescent="0.2">
      <c r="B80" s="60"/>
      <c r="C80" s="142" t="s">
        <v>8</v>
      </c>
      <c r="D80" s="143">
        <v>164</v>
      </c>
      <c r="E80" s="143">
        <v>411</v>
      </c>
      <c r="S80" s="105"/>
    </row>
    <row r="81" spans="2:19" x14ac:dyDescent="0.2">
      <c r="B81" s="60"/>
      <c r="C81" s="142" t="s">
        <v>9</v>
      </c>
      <c r="D81" s="144">
        <v>141</v>
      </c>
      <c r="E81" s="143">
        <v>411</v>
      </c>
      <c r="F81" s="107"/>
      <c r="I81" s="66"/>
      <c r="J81" s="66"/>
      <c r="K81" s="66"/>
      <c r="L81" s="66"/>
      <c r="M81" s="66"/>
      <c r="N81" s="66"/>
      <c r="O81" s="66"/>
      <c r="P81" s="66"/>
      <c r="S81" s="105"/>
    </row>
    <row r="82" spans="2:19" x14ac:dyDescent="0.2">
      <c r="B82" s="60"/>
      <c r="C82" s="145" t="s">
        <v>99</v>
      </c>
      <c r="D82" s="146">
        <f>J8</f>
        <v>100</v>
      </c>
      <c r="E82" s="143">
        <v>411</v>
      </c>
      <c r="F82" s="107"/>
      <c r="I82" s="66"/>
      <c r="J82" s="66"/>
      <c r="K82" s="66"/>
      <c r="L82" s="66"/>
      <c r="M82" s="66"/>
      <c r="N82" s="66"/>
      <c r="O82" s="66"/>
      <c r="P82" s="66"/>
      <c r="S82" s="105"/>
    </row>
    <row r="83" spans="2:19" x14ac:dyDescent="0.2">
      <c r="B83" s="60"/>
      <c r="C83" s="298" t="s">
        <v>6</v>
      </c>
      <c r="D83" s="311">
        <f>SUM(D61:D82)</f>
        <v>7595</v>
      </c>
      <c r="E83" s="311">
        <f>SUM(E61:E82)</f>
        <v>6463</v>
      </c>
      <c r="I83" s="66"/>
      <c r="J83" s="66"/>
      <c r="K83" s="66"/>
      <c r="L83" s="66"/>
      <c r="M83" s="66"/>
      <c r="N83" s="66"/>
      <c r="O83" s="66"/>
      <c r="P83" s="66"/>
      <c r="S83" s="105"/>
    </row>
    <row r="84" spans="2:19" x14ac:dyDescent="0.2">
      <c r="B84" s="96"/>
      <c r="C84" s="68"/>
      <c r="D84" s="68"/>
      <c r="E84" s="68"/>
      <c r="F84" s="68"/>
      <c r="G84" s="68"/>
      <c r="H84" s="68"/>
      <c r="I84" s="68"/>
      <c r="J84" s="68"/>
      <c r="K84" s="68"/>
      <c r="L84" s="68"/>
      <c r="M84" s="68"/>
      <c r="N84" s="68"/>
      <c r="O84" s="68"/>
      <c r="P84" s="68"/>
      <c r="Q84" s="68"/>
      <c r="R84" s="108"/>
      <c r="S84" s="109"/>
    </row>
    <row r="85" spans="2:19" x14ac:dyDescent="0.2">
      <c r="B85" s="100"/>
      <c r="C85" s="58"/>
      <c r="D85" s="58"/>
      <c r="E85" s="58"/>
      <c r="F85" s="58"/>
      <c r="G85" s="58"/>
      <c r="H85" s="58"/>
      <c r="I85" s="58"/>
      <c r="J85" s="58"/>
      <c r="K85" s="58"/>
      <c r="L85" s="58"/>
      <c r="M85" s="58"/>
      <c r="N85" s="58"/>
      <c r="O85" s="58"/>
      <c r="P85" s="58"/>
      <c r="Q85" s="58"/>
      <c r="R85" s="56"/>
      <c r="S85" s="110"/>
    </row>
    <row r="86" spans="2:19" ht="20.25" x14ac:dyDescent="0.3">
      <c r="B86" s="60"/>
      <c r="C86" s="147" t="s">
        <v>78</v>
      </c>
      <c r="D86" s="54"/>
      <c r="E86" s="54"/>
      <c r="F86" s="54"/>
      <c r="G86" s="54"/>
      <c r="H86" s="54"/>
      <c r="I86" s="66"/>
      <c r="J86" s="66"/>
      <c r="K86" s="66"/>
      <c r="L86" s="66"/>
      <c r="M86" s="66"/>
      <c r="N86" s="66"/>
      <c r="O86" s="66"/>
      <c r="P86" s="66"/>
      <c r="Q86" s="66"/>
      <c r="S86" s="105"/>
    </row>
    <row r="87" spans="2:19" x14ac:dyDescent="0.2">
      <c r="B87" s="60"/>
      <c r="C87" s="148"/>
      <c r="D87" s="148"/>
      <c r="E87" s="148"/>
      <c r="F87" s="148"/>
      <c r="G87" s="148"/>
      <c r="H87" s="148"/>
      <c r="I87" s="111"/>
      <c r="J87" s="111"/>
      <c r="K87" s="111"/>
      <c r="L87" s="111"/>
      <c r="M87" s="111"/>
      <c r="N87" s="111"/>
      <c r="O87" s="111"/>
      <c r="P87" s="111"/>
      <c r="Q87" s="111"/>
      <c r="S87" s="105"/>
    </row>
    <row r="88" spans="2:19" x14ac:dyDescent="0.2">
      <c r="B88" s="60"/>
      <c r="C88" s="136" t="s">
        <v>100</v>
      </c>
      <c r="D88" s="136" t="s">
        <v>101</v>
      </c>
      <c r="E88" s="54"/>
      <c r="F88" s="54"/>
      <c r="G88" s="54"/>
      <c r="H88" s="54"/>
      <c r="I88" s="66"/>
      <c r="J88" s="66"/>
      <c r="K88" s="66"/>
      <c r="L88" s="66"/>
      <c r="M88" s="66"/>
      <c r="N88" s="66"/>
      <c r="O88" s="66"/>
      <c r="P88" s="66"/>
      <c r="Q88" s="66"/>
      <c r="S88" s="105"/>
    </row>
    <row r="89" spans="2:19" x14ac:dyDescent="0.2">
      <c r="B89" s="88"/>
      <c r="C89" s="473" t="s">
        <v>77</v>
      </c>
      <c r="D89" s="474" t="s">
        <v>102</v>
      </c>
      <c r="E89" s="475"/>
      <c r="F89" s="474" t="s">
        <v>103</v>
      </c>
      <c r="G89" s="475"/>
      <c r="H89" s="476" t="s">
        <v>104</v>
      </c>
      <c r="I89" s="66"/>
      <c r="J89" s="66"/>
      <c r="K89" s="66"/>
      <c r="L89" s="66"/>
      <c r="M89" s="66"/>
      <c r="S89" s="105"/>
    </row>
    <row r="90" spans="2:19" x14ac:dyDescent="0.2">
      <c r="B90" s="88"/>
      <c r="C90" s="473"/>
      <c r="D90" s="149" t="s">
        <v>105</v>
      </c>
      <c r="E90" s="149" t="s">
        <v>106</v>
      </c>
      <c r="F90" s="149" t="s">
        <v>105</v>
      </c>
      <c r="G90" s="149" t="s">
        <v>106</v>
      </c>
      <c r="H90" s="477"/>
      <c r="I90" s="66"/>
      <c r="J90" s="66"/>
      <c r="K90" s="66"/>
      <c r="L90" s="66"/>
      <c r="M90" s="66"/>
      <c r="S90" s="105"/>
    </row>
    <row r="91" spans="2:19" x14ac:dyDescent="0.2">
      <c r="B91" s="88"/>
      <c r="C91" s="299" t="s">
        <v>83</v>
      </c>
      <c r="D91" s="303">
        <v>611</v>
      </c>
      <c r="E91" s="304">
        <f t="shared" ref="E91:E104" si="0">D91/H91</f>
        <v>0.72565320665083133</v>
      </c>
      <c r="F91" s="303">
        <v>231</v>
      </c>
      <c r="G91" s="304">
        <f t="shared" ref="G91:G104" si="1">F91/H91</f>
        <v>0.27434679334916867</v>
      </c>
      <c r="H91" s="303">
        <v>842</v>
      </c>
      <c r="I91" s="66"/>
      <c r="J91" s="66"/>
      <c r="K91" s="66"/>
      <c r="L91" s="66"/>
      <c r="M91" s="66"/>
      <c r="S91" s="105"/>
    </row>
    <row r="92" spans="2:19" x14ac:dyDescent="0.2">
      <c r="B92" s="88"/>
      <c r="C92" s="299" t="s">
        <v>84</v>
      </c>
      <c r="D92" s="303">
        <v>192</v>
      </c>
      <c r="E92" s="304">
        <f t="shared" si="0"/>
        <v>0.83478260869565213</v>
      </c>
      <c r="F92" s="303">
        <v>38</v>
      </c>
      <c r="G92" s="304">
        <f t="shared" si="1"/>
        <v>0.16521739130434782</v>
      </c>
      <c r="H92" s="303">
        <f t="shared" ref="H92:H101" si="2">F92+D92</f>
        <v>230</v>
      </c>
      <c r="I92" s="66"/>
      <c r="J92" s="66"/>
      <c r="K92" s="66"/>
      <c r="L92" s="66"/>
      <c r="M92" s="66"/>
      <c r="S92" s="105"/>
    </row>
    <row r="93" spans="2:19" x14ac:dyDescent="0.2">
      <c r="B93" s="88"/>
      <c r="C93" s="299" t="s">
        <v>85</v>
      </c>
      <c r="D93" s="303">
        <v>257</v>
      </c>
      <c r="E93" s="304">
        <f t="shared" si="0"/>
        <v>0.9884615384615385</v>
      </c>
      <c r="F93" s="303">
        <v>3</v>
      </c>
      <c r="G93" s="304">
        <f t="shared" si="1"/>
        <v>1.1538461538461539E-2</v>
      </c>
      <c r="H93" s="303">
        <f t="shared" si="2"/>
        <v>260</v>
      </c>
      <c r="I93" s="66"/>
      <c r="J93" s="66"/>
      <c r="K93" s="66"/>
      <c r="L93" s="66"/>
      <c r="M93" s="66"/>
      <c r="S93" s="105"/>
    </row>
    <row r="94" spans="2:19" x14ac:dyDescent="0.2">
      <c r="B94" s="88"/>
      <c r="C94" s="299" t="s">
        <v>86</v>
      </c>
      <c r="D94" s="303">
        <v>338</v>
      </c>
      <c r="E94" s="304">
        <f t="shared" si="0"/>
        <v>0.77522935779816515</v>
      </c>
      <c r="F94" s="303">
        <v>98</v>
      </c>
      <c r="G94" s="304">
        <f t="shared" si="1"/>
        <v>0.22477064220183487</v>
      </c>
      <c r="H94" s="303">
        <f t="shared" si="2"/>
        <v>436</v>
      </c>
      <c r="I94" s="66"/>
      <c r="J94" s="66"/>
      <c r="K94" s="66"/>
      <c r="L94" s="66"/>
      <c r="M94" s="66"/>
      <c r="S94" s="105"/>
    </row>
    <row r="95" spans="2:19" x14ac:dyDescent="0.2">
      <c r="B95" s="88"/>
      <c r="C95" s="299" t="s">
        <v>87</v>
      </c>
      <c r="D95" s="303">
        <v>145</v>
      </c>
      <c r="E95" s="304">
        <f t="shared" si="0"/>
        <v>1</v>
      </c>
      <c r="F95" s="303">
        <v>0</v>
      </c>
      <c r="G95" s="304">
        <f t="shared" si="1"/>
        <v>0</v>
      </c>
      <c r="H95" s="303">
        <f t="shared" si="2"/>
        <v>145</v>
      </c>
      <c r="I95" s="66"/>
      <c r="J95" s="66"/>
      <c r="K95" s="66"/>
      <c r="L95" s="66"/>
      <c r="M95" s="66"/>
      <c r="S95" s="105"/>
    </row>
    <row r="96" spans="2:19" x14ac:dyDescent="0.2">
      <c r="B96" s="88"/>
      <c r="C96" s="299" t="s">
        <v>88</v>
      </c>
      <c r="D96" s="303">
        <v>273</v>
      </c>
      <c r="E96" s="304">
        <f t="shared" si="0"/>
        <v>0.68421052631578949</v>
      </c>
      <c r="F96" s="303">
        <v>126</v>
      </c>
      <c r="G96" s="304">
        <f t="shared" si="1"/>
        <v>0.31578947368421051</v>
      </c>
      <c r="H96" s="303">
        <f t="shared" si="2"/>
        <v>399</v>
      </c>
      <c r="I96" s="66"/>
      <c r="J96" s="66"/>
      <c r="K96" s="66"/>
      <c r="L96" s="66"/>
      <c r="M96" s="66"/>
      <c r="S96" s="105"/>
    </row>
    <row r="97" spans="2:28" x14ac:dyDescent="0.2">
      <c r="B97" s="88"/>
      <c r="C97" s="299" t="s">
        <v>89</v>
      </c>
      <c r="D97" s="303">
        <v>133</v>
      </c>
      <c r="E97" s="304">
        <f t="shared" si="0"/>
        <v>0.63942307692307687</v>
      </c>
      <c r="F97" s="303">
        <v>75</v>
      </c>
      <c r="G97" s="304">
        <f t="shared" si="1"/>
        <v>0.36057692307692307</v>
      </c>
      <c r="H97" s="303">
        <f t="shared" si="2"/>
        <v>208</v>
      </c>
      <c r="I97" s="66"/>
      <c r="J97" s="66"/>
      <c r="K97" s="66"/>
      <c r="L97" s="66"/>
      <c r="M97" s="66"/>
      <c r="S97" s="105"/>
    </row>
    <row r="98" spans="2:28" x14ac:dyDescent="0.2">
      <c r="B98" s="88"/>
      <c r="C98" s="299" t="s">
        <v>90</v>
      </c>
      <c r="D98" s="303">
        <v>468</v>
      </c>
      <c r="E98" s="304">
        <f t="shared" si="0"/>
        <v>0.67338129496402876</v>
      </c>
      <c r="F98" s="303">
        <v>227</v>
      </c>
      <c r="G98" s="304">
        <f t="shared" si="1"/>
        <v>0.32661870503597124</v>
      </c>
      <c r="H98" s="303">
        <f t="shared" si="2"/>
        <v>695</v>
      </c>
      <c r="I98" s="66"/>
      <c r="J98" s="66"/>
      <c r="K98" s="66"/>
      <c r="L98" s="66"/>
      <c r="M98" s="66"/>
      <c r="S98" s="105"/>
    </row>
    <row r="99" spans="2:28" x14ac:dyDescent="0.2">
      <c r="B99" s="88"/>
      <c r="C99" s="300" t="s">
        <v>91</v>
      </c>
      <c r="D99" s="303">
        <v>202</v>
      </c>
      <c r="E99" s="304">
        <f t="shared" si="0"/>
        <v>0.8595744680851064</v>
      </c>
      <c r="F99" s="303">
        <v>33</v>
      </c>
      <c r="G99" s="304">
        <f t="shared" si="1"/>
        <v>0.14042553191489363</v>
      </c>
      <c r="H99" s="303">
        <f t="shared" si="2"/>
        <v>235</v>
      </c>
      <c r="I99" s="111"/>
      <c r="J99" s="111"/>
      <c r="K99" s="111"/>
      <c r="L99" s="111"/>
      <c r="M99" s="111"/>
      <c r="S99" s="105"/>
      <c r="V99" s="61"/>
      <c r="W99" s="61"/>
      <c r="X99" s="66"/>
      <c r="Y99" s="66"/>
      <c r="Z99" s="66"/>
      <c r="AA99" s="66"/>
      <c r="AB99" s="66"/>
    </row>
    <row r="100" spans="2:28" x14ac:dyDescent="0.2">
      <c r="B100" s="88"/>
      <c r="C100" s="300" t="s">
        <v>92</v>
      </c>
      <c r="D100" s="303">
        <v>298</v>
      </c>
      <c r="E100" s="304">
        <f t="shared" si="0"/>
        <v>0.98026315789473684</v>
      </c>
      <c r="F100" s="305">
        <v>6</v>
      </c>
      <c r="G100" s="304">
        <f t="shared" si="1"/>
        <v>1.9736842105263157E-2</v>
      </c>
      <c r="H100" s="303">
        <f t="shared" si="2"/>
        <v>304</v>
      </c>
      <c r="I100" s="111"/>
      <c r="J100" s="111"/>
      <c r="K100" s="111"/>
      <c r="L100" s="111"/>
      <c r="M100" s="111"/>
      <c r="S100" s="105"/>
      <c r="V100" s="470"/>
      <c r="W100" s="471"/>
      <c r="X100" s="471"/>
      <c r="Y100" s="471"/>
      <c r="Z100" s="471"/>
      <c r="AA100" s="471"/>
      <c r="AB100" s="471"/>
    </row>
    <row r="101" spans="2:28" ht="12.75" customHeight="1" x14ac:dyDescent="0.2">
      <c r="B101" s="88"/>
      <c r="C101" s="299" t="s">
        <v>93</v>
      </c>
      <c r="D101" s="303">
        <v>392</v>
      </c>
      <c r="E101" s="304">
        <f t="shared" si="0"/>
        <v>0.79837067209775969</v>
      </c>
      <c r="F101" s="303">
        <v>99</v>
      </c>
      <c r="G101" s="304">
        <f t="shared" si="1"/>
        <v>0.20162932790224034</v>
      </c>
      <c r="H101" s="303">
        <f t="shared" si="2"/>
        <v>491</v>
      </c>
      <c r="I101" s="111"/>
      <c r="J101" s="111"/>
      <c r="K101" s="111"/>
      <c r="L101" s="111"/>
      <c r="M101" s="111"/>
      <c r="S101" s="105"/>
      <c r="V101" s="470"/>
      <c r="W101" s="112"/>
      <c r="X101" s="112"/>
      <c r="Y101" s="112"/>
      <c r="Z101" s="112"/>
      <c r="AA101" s="112"/>
      <c r="AB101" s="112"/>
    </row>
    <row r="102" spans="2:28" ht="12.75" customHeight="1" x14ac:dyDescent="0.2">
      <c r="B102" s="88"/>
      <c r="C102" s="300" t="s">
        <v>94</v>
      </c>
      <c r="D102" s="303">
        <v>398</v>
      </c>
      <c r="E102" s="304">
        <f t="shared" si="0"/>
        <v>0.86521739130434783</v>
      </c>
      <c r="F102" s="305">
        <v>62</v>
      </c>
      <c r="G102" s="304">
        <f t="shared" si="1"/>
        <v>0.13478260869565217</v>
      </c>
      <c r="H102" s="303">
        <v>460</v>
      </c>
      <c r="I102" s="111"/>
      <c r="J102" s="111"/>
      <c r="K102" s="111"/>
      <c r="L102" s="111"/>
      <c r="M102" s="111"/>
      <c r="S102" s="105"/>
      <c r="U102" s="113"/>
      <c r="V102" s="74"/>
      <c r="W102" s="114"/>
      <c r="X102" s="114"/>
      <c r="Y102" s="114"/>
      <c r="Z102" s="114"/>
      <c r="AA102" s="114"/>
      <c r="AB102" s="114"/>
    </row>
    <row r="103" spans="2:28" ht="12.75" customHeight="1" x14ac:dyDescent="0.2">
      <c r="B103" s="88"/>
      <c r="C103" s="300" t="s">
        <v>95</v>
      </c>
      <c r="D103" s="303">
        <v>341</v>
      </c>
      <c r="E103" s="304">
        <f t="shared" si="0"/>
        <v>0.89267015706806285</v>
      </c>
      <c r="F103" s="305">
        <v>41</v>
      </c>
      <c r="G103" s="304">
        <f t="shared" si="1"/>
        <v>0.10732984293193717</v>
      </c>
      <c r="H103" s="303">
        <f t="shared" ref="H103:H108" si="3">F103+D103</f>
        <v>382</v>
      </c>
      <c r="I103" s="111"/>
      <c r="J103" s="111"/>
      <c r="K103" s="111"/>
      <c r="L103" s="111"/>
      <c r="M103" s="111"/>
      <c r="S103" s="105"/>
      <c r="V103" s="74"/>
      <c r="W103" s="114"/>
      <c r="X103" s="114"/>
      <c r="Y103" s="114"/>
      <c r="Z103" s="114"/>
      <c r="AA103" s="114"/>
      <c r="AB103" s="114"/>
    </row>
    <row r="104" spans="2:28" x14ac:dyDescent="0.2">
      <c r="B104" s="88"/>
      <c r="C104" s="300" t="s">
        <v>96</v>
      </c>
      <c r="D104" s="303">
        <v>349</v>
      </c>
      <c r="E104" s="304">
        <f t="shared" si="0"/>
        <v>0.83293556085918852</v>
      </c>
      <c r="F104" s="305">
        <v>70</v>
      </c>
      <c r="G104" s="304">
        <f t="shared" si="1"/>
        <v>0.16706443914081145</v>
      </c>
      <c r="H104" s="303">
        <f t="shared" si="3"/>
        <v>419</v>
      </c>
      <c r="I104" s="111"/>
      <c r="J104" s="111"/>
      <c r="K104" s="111"/>
      <c r="L104" s="111"/>
      <c r="M104" s="111"/>
      <c r="S104" s="105"/>
      <c r="V104" s="74"/>
      <c r="W104" s="114"/>
      <c r="X104" s="114"/>
      <c r="Y104" s="114"/>
      <c r="Z104" s="114"/>
      <c r="AA104" s="114"/>
      <c r="AB104" s="114"/>
    </row>
    <row r="105" spans="2:28" x14ac:dyDescent="0.2">
      <c r="B105" s="88"/>
      <c r="C105" s="300" t="s">
        <v>97</v>
      </c>
      <c r="D105" s="303">
        <v>297</v>
      </c>
      <c r="E105" s="304">
        <f t="shared" ref="E105:E110" si="4">D105/H105</f>
        <v>0.89728096676737157</v>
      </c>
      <c r="F105" s="305">
        <v>34</v>
      </c>
      <c r="G105" s="304">
        <f t="shared" ref="G105:G110" si="5">F105/H105</f>
        <v>0.1027190332326284</v>
      </c>
      <c r="H105" s="303">
        <f t="shared" si="3"/>
        <v>331</v>
      </c>
      <c r="I105" s="111"/>
      <c r="J105" s="111"/>
      <c r="K105" s="111"/>
      <c r="L105" s="111"/>
      <c r="M105" s="111"/>
      <c r="S105" s="105"/>
      <c r="V105" s="74"/>
      <c r="W105" s="114"/>
      <c r="X105" s="114"/>
      <c r="Y105" s="114"/>
      <c r="Z105" s="114"/>
      <c r="AA105" s="114"/>
      <c r="AB105" s="114"/>
    </row>
    <row r="106" spans="2:28" x14ac:dyDescent="0.2">
      <c r="B106" s="88"/>
      <c r="C106" s="300" t="s">
        <v>98</v>
      </c>
      <c r="D106" s="303">
        <v>189</v>
      </c>
      <c r="E106" s="304">
        <f t="shared" si="4"/>
        <v>0.91747572815533984</v>
      </c>
      <c r="F106" s="305">
        <v>17</v>
      </c>
      <c r="G106" s="304">
        <f t="shared" si="5"/>
        <v>8.2524271844660199E-2</v>
      </c>
      <c r="H106" s="303">
        <f t="shared" si="3"/>
        <v>206</v>
      </c>
      <c r="I106" s="111"/>
      <c r="J106" s="111"/>
      <c r="K106" s="111"/>
      <c r="L106" s="111"/>
      <c r="M106" s="111"/>
      <c r="S106" s="105"/>
      <c r="V106" s="74"/>
      <c r="W106" s="114"/>
      <c r="X106" s="114"/>
      <c r="Y106" s="114"/>
      <c r="Z106" s="114"/>
      <c r="AA106" s="114"/>
      <c r="AB106" s="114"/>
    </row>
    <row r="107" spans="2:28" x14ac:dyDescent="0.2">
      <c r="B107" s="88"/>
      <c r="C107" s="301" t="s">
        <v>8</v>
      </c>
      <c r="D107" s="306">
        <v>142</v>
      </c>
      <c r="E107" s="307">
        <f t="shared" si="4"/>
        <v>0.86585365853658536</v>
      </c>
      <c r="F107" s="308">
        <v>22</v>
      </c>
      <c r="G107" s="307">
        <f t="shared" si="5"/>
        <v>0.13414634146341464</v>
      </c>
      <c r="H107" s="306">
        <f t="shared" si="3"/>
        <v>164</v>
      </c>
      <c r="I107" s="111"/>
      <c r="J107" s="111"/>
      <c r="K107" s="111"/>
      <c r="L107" s="111"/>
      <c r="M107" s="111"/>
      <c r="S107" s="105"/>
      <c r="V107" s="74"/>
      <c r="W107" s="114"/>
      <c r="X107" s="114"/>
      <c r="Y107" s="114"/>
      <c r="Z107" s="114"/>
      <c r="AA107" s="114"/>
      <c r="AB107" s="114"/>
    </row>
    <row r="108" spans="2:28" x14ac:dyDescent="0.2">
      <c r="B108" s="60"/>
      <c r="C108" s="302" t="s">
        <v>9</v>
      </c>
      <c r="D108" s="309">
        <v>127</v>
      </c>
      <c r="E108" s="310">
        <f t="shared" si="4"/>
        <v>0.900709219858156</v>
      </c>
      <c r="F108" s="308">
        <v>14</v>
      </c>
      <c r="G108" s="310">
        <f t="shared" si="5"/>
        <v>9.9290780141843976E-2</v>
      </c>
      <c r="H108" s="309">
        <f t="shared" si="3"/>
        <v>141</v>
      </c>
      <c r="I108" s="111"/>
      <c r="J108" s="111"/>
      <c r="K108" s="111"/>
      <c r="L108" s="111"/>
      <c r="M108" s="111"/>
      <c r="S108" s="105"/>
      <c r="V108" s="74"/>
      <c r="W108" s="114"/>
      <c r="X108" s="114"/>
      <c r="Y108" s="114"/>
      <c r="Z108" s="114"/>
      <c r="AA108" s="114"/>
      <c r="AB108" s="114"/>
    </row>
    <row r="109" spans="2:28" x14ac:dyDescent="0.2">
      <c r="B109" s="60"/>
      <c r="C109" s="302" t="s">
        <v>99</v>
      </c>
      <c r="D109" s="309">
        <f>GETPIVOTDATA("Net Dwellings",Pivot!$B$115)</f>
        <v>90</v>
      </c>
      <c r="E109" s="310">
        <f t="shared" si="4"/>
        <v>0.9</v>
      </c>
      <c r="F109" s="308">
        <f>GETPIVOTDATA("Net Dwellings",Pivot!$B$107)</f>
        <v>10</v>
      </c>
      <c r="G109" s="310">
        <f t="shared" si="5"/>
        <v>0.1</v>
      </c>
      <c r="H109" s="309">
        <f t="shared" ref="H109" si="6">F109+D109</f>
        <v>100</v>
      </c>
      <c r="I109" s="111"/>
      <c r="J109" s="111"/>
      <c r="K109" s="111"/>
      <c r="L109" s="111"/>
      <c r="M109" s="111"/>
      <c r="S109" s="105"/>
      <c r="V109" s="74"/>
      <c r="W109" s="114"/>
      <c r="X109" s="114"/>
      <c r="Y109" s="114"/>
      <c r="Z109" s="114"/>
      <c r="AA109" s="114"/>
      <c r="AB109" s="114"/>
    </row>
    <row r="110" spans="2:28" x14ac:dyDescent="0.2">
      <c r="B110" s="60"/>
      <c r="C110" s="298" t="s">
        <v>6</v>
      </c>
      <c r="D110" s="311">
        <f>SUM(D91:D109)</f>
        <v>5242</v>
      </c>
      <c r="E110" s="312">
        <f t="shared" si="4"/>
        <v>0.81296526054590568</v>
      </c>
      <c r="F110" s="311">
        <f>SUM(F91:F109)</f>
        <v>1206</v>
      </c>
      <c r="G110" s="312">
        <f t="shared" si="5"/>
        <v>0.1870347394540943</v>
      </c>
      <c r="H110" s="311">
        <f>SUM(H91:H109)</f>
        <v>6448</v>
      </c>
      <c r="I110" s="111"/>
      <c r="J110" s="111"/>
      <c r="K110" s="111"/>
      <c r="L110" s="111"/>
      <c r="M110" s="111"/>
      <c r="N110" s="111"/>
      <c r="O110" s="111"/>
      <c r="P110" s="111"/>
      <c r="Q110" s="111"/>
      <c r="S110" s="105"/>
      <c r="V110" s="74"/>
      <c r="W110" s="114"/>
      <c r="X110" s="114"/>
      <c r="Y110" s="114"/>
      <c r="Z110" s="114"/>
      <c r="AA110" s="114"/>
      <c r="AB110" s="114"/>
    </row>
    <row r="111" spans="2:28" x14ac:dyDescent="0.2">
      <c r="B111" s="60"/>
      <c r="C111" s="111"/>
      <c r="D111" s="111"/>
      <c r="E111" s="111"/>
      <c r="F111" s="111"/>
      <c r="G111" s="111"/>
      <c r="H111" s="111"/>
      <c r="I111" s="111"/>
      <c r="J111" s="111"/>
      <c r="K111" s="111"/>
      <c r="L111" s="111"/>
      <c r="M111" s="111"/>
      <c r="N111" s="111"/>
      <c r="O111" s="111"/>
      <c r="P111" s="111"/>
      <c r="Q111" s="111"/>
      <c r="S111" s="105"/>
      <c r="V111" s="74"/>
      <c r="W111" s="114"/>
      <c r="X111" s="114"/>
      <c r="Y111" s="114"/>
      <c r="Z111" s="114"/>
      <c r="AA111" s="114"/>
      <c r="AB111" s="114"/>
    </row>
    <row r="112" spans="2:28" x14ac:dyDescent="0.2">
      <c r="B112" s="60"/>
      <c r="C112" s="111"/>
      <c r="D112" s="111"/>
      <c r="E112" s="111"/>
      <c r="F112" s="111"/>
      <c r="G112" s="111"/>
      <c r="H112" s="111"/>
      <c r="I112" s="111"/>
      <c r="J112" s="111"/>
      <c r="K112" s="111"/>
      <c r="L112" s="111"/>
      <c r="M112" s="111"/>
      <c r="N112" s="111"/>
      <c r="O112" s="111"/>
      <c r="P112" s="111"/>
      <c r="Q112" s="111"/>
      <c r="S112" s="105"/>
      <c r="V112" s="74"/>
      <c r="W112" s="114"/>
      <c r="X112" s="114"/>
      <c r="Y112" s="114"/>
      <c r="Z112" s="114"/>
      <c r="AA112" s="114"/>
      <c r="AB112" s="114"/>
    </row>
    <row r="113" spans="2:28" x14ac:dyDescent="0.2">
      <c r="B113" s="60"/>
      <c r="C113" s="111"/>
      <c r="D113" s="111"/>
      <c r="E113" s="111"/>
      <c r="F113" s="111"/>
      <c r="G113" s="111"/>
      <c r="H113" s="111"/>
      <c r="I113" s="111"/>
      <c r="J113" s="111"/>
      <c r="K113" s="111"/>
      <c r="L113" s="111"/>
      <c r="M113" s="111"/>
      <c r="N113" s="111"/>
      <c r="O113" s="111"/>
      <c r="P113" s="111"/>
      <c r="Q113" s="111"/>
      <c r="S113" s="105"/>
      <c r="V113" s="74"/>
      <c r="W113" s="114"/>
      <c r="X113" s="114"/>
      <c r="Y113" s="114"/>
      <c r="Z113" s="114"/>
      <c r="AA113" s="114"/>
      <c r="AB113" s="114"/>
    </row>
    <row r="114" spans="2:28" x14ac:dyDescent="0.2">
      <c r="B114" s="60"/>
      <c r="C114" s="136" t="s">
        <v>107</v>
      </c>
      <c r="D114" s="136" t="s">
        <v>108</v>
      </c>
      <c r="E114" s="7"/>
      <c r="F114" s="7"/>
      <c r="G114" s="7"/>
      <c r="H114" s="7"/>
      <c r="I114" s="7"/>
      <c r="J114" s="148"/>
      <c r="K114" s="111"/>
      <c r="L114" s="111"/>
      <c r="M114" s="111"/>
      <c r="N114" s="111"/>
      <c r="O114" s="111"/>
      <c r="P114" s="111"/>
      <c r="Q114" s="111"/>
      <c r="S114" s="105"/>
      <c r="V114" s="74"/>
      <c r="W114" s="114"/>
      <c r="X114" s="114"/>
      <c r="Y114" s="114"/>
      <c r="Z114" s="114"/>
      <c r="AA114" s="114"/>
      <c r="AB114" s="114"/>
    </row>
    <row r="115" spans="2:28" ht="12.75" customHeight="1" x14ac:dyDescent="0.2">
      <c r="B115" s="60"/>
      <c r="C115" s="472" t="s">
        <v>109</v>
      </c>
      <c r="D115" s="472"/>
      <c r="E115" s="472" t="s">
        <v>110</v>
      </c>
      <c r="F115" s="472"/>
      <c r="G115" s="472" t="s">
        <v>111</v>
      </c>
      <c r="H115" s="472"/>
      <c r="I115" s="150" t="s">
        <v>6</v>
      </c>
      <c r="J115" s="150" t="s">
        <v>106</v>
      </c>
      <c r="K115" s="111"/>
      <c r="L115" s="111"/>
      <c r="M115" s="111"/>
      <c r="N115" s="111"/>
      <c r="O115" s="111"/>
      <c r="P115" s="111"/>
      <c r="Q115" s="111"/>
      <c r="R115" s="111"/>
      <c r="S115" s="105"/>
      <c r="V115" s="74"/>
      <c r="W115" s="114"/>
      <c r="X115" s="114"/>
      <c r="Y115" s="114"/>
      <c r="Z115" s="114"/>
      <c r="AA115" s="114"/>
      <c r="AB115" s="114"/>
    </row>
    <row r="116" spans="2:28" x14ac:dyDescent="0.2">
      <c r="B116" s="60"/>
      <c r="C116" s="427" t="s">
        <v>112</v>
      </c>
      <c r="D116" s="427"/>
      <c r="E116" s="428">
        <f>GETPIVOTDATA("Sum of 1 bed net",Pivot!$B$213,"Application Type",)</f>
        <v>40</v>
      </c>
      <c r="F116" s="428"/>
      <c r="G116" s="428">
        <f>GETPIVOTDATA("Sum of 1 bed net",Pivot!$B$213,"Application Type","PA")</f>
        <v>17</v>
      </c>
      <c r="H116" s="428"/>
      <c r="I116" s="151">
        <f>SUM(E116:H116)</f>
        <v>57</v>
      </c>
      <c r="J116" s="152">
        <f>I116/$I$120</f>
        <v>0.56999999999999995</v>
      </c>
      <c r="K116" s="111"/>
      <c r="L116" s="111"/>
      <c r="M116" s="111"/>
      <c r="N116" s="111"/>
      <c r="O116" s="111"/>
      <c r="P116" s="111"/>
      <c r="Q116" s="111"/>
      <c r="R116" s="111"/>
      <c r="S116" s="105"/>
      <c r="V116" s="74"/>
      <c r="W116" s="114"/>
      <c r="X116" s="114"/>
      <c r="Y116" s="114"/>
      <c r="Z116" s="114"/>
      <c r="AA116" s="114"/>
      <c r="AB116" s="114"/>
    </row>
    <row r="117" spans="2:28" x14ac:dyDescent="0.2">
      <c r="B117" s="60"/>
      <c r="C117" s="427" t="s">
        <v>113</v>
      </c>
      <c r="D117" s="427"/>
      <c r="E117" s="428">
        <f>GETPIVOTDATA("Sum of 2 bed net",Pivot!$B$213,"Application Type",)</f>
        <v>27</v>
      </c>
      <c r="F117" s="428"/>
      <c r="G117" s="428">
        <f>GETPIVOTDATA("Sum of 2 bed net",Pivot!$B$213,"Application Type","PA")</f>
        <v>5</v>
      </c>
      <c r="H117" s="428"/>
      <c r="I117" s="151">
        <f>SUM(E117:H117)</f>
        <v>32</v>
      </c>
      <c r="J117" s="152">
        <f>I117/$I$120</f>
        <v>0.32</v>
      </c>
      <c r="K117" s="111"/>
      <c r="L117" s="111"/>
      <c r="M117" s="111"/>
      <c r="N117" s="111"/>
      <c r="O117" s="111"/>
      <c r="P117" s="111"/>
      <c r="Q117" s="111"/>
      <c r="R117" s="111"/>
      <c r="S117" s="105"/>
      <c r="V117" s="74"/>
      <c r="W117" s="114"/>
      <c r="X117" s="114"/>
      <c r="Y117" s="114"/>
      <c r="Z117" s="114"/>
      <c r="AA117" s="114"/>
      <c r="AB117" s="114"/>
    </row>
    <row r="118" spans="2:28" x14ac:dyDescent="0.2">
      <c r="B118" s="60"/>
      <c r="C118" s="427" t="s">
        <v>114</v>
      </c>
      <c r="D118" s="427"/>
      <c r="E118" s="428">
        <f>GETPIVOTDATA("Sum of 3 bed net",Pivot!$B$213,"Application Type",)</f>
        <v>-3</v>
      </c>
      <c r="F118" s="428"/>
      <c r="G118" s="428">
        <f>GETPIVOTDATA("Sum of 3 bed net",Pivot!$B$213,"Application Type","PA")</f>
        <v>1</v>
      </c>
      <c r="H118" s="428"/>
      <c r="I118" s="151">
        <f>SUM(E118:H118)</f>
        <v>-2</v>
      </c>
      <c r="J118" s="152">
        <f>I118/$I$120</f>
        <v>-0.02</v>
      </c>
      <c r="K118" s="111"/>
      <c r="L118" s="111"/>
      <c r="M118" s="111"/>
      <c r="N118" s="111"/>
      <c r="O118" s="111"/>
      <c r="P118" s="111"/>
      <c r="Q118" s="111"/>
      <c r="R118" s="111"/>
      <c r="S118" s="105"/>
      <c r="V118" s="74"/>
      <c r="W118" s="114"/>
      <c r="X118" s="114"/>
      <c r="Y118" s="114"/>
      <c r="Z118" s="114"/>
      <c r="AA118" s="114"/>
      <c r="AB118" s="114"/>
    </row>
    <row r="119" spans="2:28" x14ac:dyDescent="0.2">
      <c r="B119" s="60"/>
      <c r="C119" s="427" t="s">
        <v>115</v>
      </c>
      <c r="D119" s="427"/>
      <c r="E119" s="428">
        <f>GETPIVOTDATA("Sum of 4 bed net",Pivot!$B$213,"Application Type",)+GETPIVOTDATA("Sum of 5 bed net",Pivot!$B$213,"Application Type",)+GETPIVOTDATA("Sum of 6 bed net",Pivot!$B$213,"Application Type",)+GETPIVOTDATA("Sum of 7 bed net",Pivot!$B$213,"Application Type",)+GETPIVOTDATA("Sum of 8 bed net",Pivot!$B$213,"Application Type",)</f>
        <v>11</v>
      </c>
      <c r="F119" s="428"/>
      <c r="G119" s="428">
        <f>GETPIVOTDATA("Sum of 4 bed net",Pivot!$B$213,"Application Type","PA")+GETPIVOTDATA("Sum of 5 bed net",Pivot!$B$213,"Application Type","PA")</f>
        <v>2</v>
      </c>
      <c r="H119" s="428"/>
      <c r="I119" s="151">
        <f>SUM(E119:H119)</f>
        <v>13</v>
      </c>
      <c r="J119" s="152">
        <f>I119/$I$120</f>
        <v>0.13</v>
      </c>
      <c r="K119" s="111"/>
      <c r="L119" s="111"/>
      <c r="M119" s="111"/>
      <c r="N119" s="111"/>
      <c r="O119" s="111"/>
      <c r="P119" s="111"/>
      <c r="Q119" s="111"/>
      <c r="R119" s="111"/>
      <c r="S119" s="105"/>
      <c r="V119" s="74"/>
      <c r="W119" s="114"/>
      <c r="X119" s="114"/>
      <c r="Y119" s="114"/>
      <c r="Z119" s="114"/>
      <c r="AA119" s="114"/>
      <c r="AB119" s="114"/>
    </row>
    <row r="120" spans="2:28" x14ac:dyDescent="0.2">
      <c r="B120" s="60"/>
      <c r="C120" s="479" t="s">
        <v>6</v>
      </c>
      <c r="D120" s="479"/>
      <c r="E120" s="480">
        <f>SUM(E116:F119)</f>
        <v>75</v>
      </c>
      <c r="F120" s="480"/>
      <c r="G120" s="480">
        <f>SUM(G116:H119)</f>
        <v>25</v>
      </c>
      <c r="H120" s="480"/>
      <c r="I120" s="153">
        <f>SUM(E120:H120)</f>
        <v>100</v>
      </c>
      <c r="J120" s="154">
        <f>SUM(J116:J119)</f>
        <v>0.99999999999999989</v>
      </c>
      <c r="K120" s="111"/>
      <c r="L120" s="111"/>
      <c r="M120" s="111"/>
      <c r="N120" s="111"/>
      <c r="O120" s="111"/>
      <c r="P120" s="111"/>
      <c r="Q120" s="111"/>
      <c r="S120" s="105"/>
      <c r="V120" s="74"/>
      <c r="W120" s="114"/>
      <c r="X120" s="114"/>
      <c r="Y120" s="114"/>
      <c r="Z120" s="114"/>
      <c r="AA120" s="114"/>
      <c r="AB120" s="114"/>
    </row>
    <row r="121" spans="2:28" x14ac:dyDescent="0.2">
      <c r="B121" s="60"/>
      <c r="C121" s="479" t="s">
        <v>116</v>
      </c>
      <c r="D121" s="479"/>
      <c r="E121" s="478">
        <f>E120/I120</f>
        <v>0.75</v>
      </c>
      <c r="F121" s="478"/>
      <c r="G121" s="478">
        <f>G120/I120</f>
        <v>0.25</v>
      </c>
      <c r="H121" s="478"/>
      <c r="I121" s="478"/>
      <c r="J121" s="478"/>
      <c r="K121" s="111"/>
      <c r="L121" s="111"/>
      <c r="M121" s="111"/>
      <c r="N121" s="111"/>
      <c r="O121" s="111"/>
      <c r="P121" s="111"/>
      <c r="Q121" s="111"/>
      <c r="S121" s="105"/>
      <c r="V121" s="106"/>
      <c r="W121" s="107"/>
      <c r="X121" s="107"/>
      <c r="Y121" s="107"/>
      <c r="Z121" s="107"/>
      <c r="AA121" s="107"/>
      <c r="AB121" s="107"/>
    </row>
    <row r="122" spans="2:28" x14ac:dyDescent="0.2">
      <c r="B122" s="60"/>
      <c r="J122" s="111"/>
      <c r="K122" s="111"/>
      <c r="L122" s="111"/>
      <c r="M122" s="111"/>
      <c r="N122" s="111"/>
      <c r="O122" s="111"/>
      <c r="P122" s="111"/>
      <c r="Q122" s="111"/>
      <c r="S122" s="105"/>
      <c r="V122" s="106"/>
      <c r="W122" s="107"/>
      <c r="X122" s="107"/>
      <c r="Y122" s="107"/>
      <c r="Z122" s="107"/>
      <c r="AA122" s="107"/>
      <c r="AB122" s="107"/>
    </row>
    <row r="123" spans="2:28" x14ac:dyDescent="0.2">
      <c r="B123" s="60"/>
      <c r="J123" s="111"/>
      <c r="K123" s="111"/>
      <c r="L123" s="111"/>
      <c r="M123" s="111"/>
      <c r="N123" s="111"/>
      <c r="O123" s="111"/>
      <c r="P123" s="111"/>
      <c r="Q123" s="111"/>
      <c r="S123" s="105"/>
    </row>
    <row r="124" spans="2:28" x14ac:dyDescent="0.2">
      <c r="B124" s="60"/>
      <c r="J124" s="111"/>
      <c r="K124" s="111"/>
      <c r="L124" s="111"/>
      <c r="M124" s="111"/>
      <c r="N124" s="111"/>
      <c r="O124" s="111"/>
      <c r="P124" s="111"/>
      <c r="Q124" s="111"/>
      <c r="S124" s="105"/>
    </row>
    <row r="125" spans="2:28" x14ac:dyDescent="0.2">
      <c r="B125" s="60"/>
      <c r="J125" s="111"/>
      <c r="K125" s="111"/>
      <c r="L125" s="111"/>
      <c r="M125" s="111"/>
      <c r="N125" s="111"/>
      <c r="O125" s="111"/>
      <c r="P125" s="111"/>
      <c r="Q125" s="111"/>
      <c r="S125" s="105"/>
    </row>
    <row r="126" spans="2:28" x14ac:dyDescent="0.2">
      <c r="B126" s="60"/>
      <c r="J126" s="111"/>
      <c r="K126" s="111"/>
      <c r="L126" s="111"/>
      <c r="M126" s="111"/>
      <c r="N126" s="111"/>
      <c r="O126" s="111"/>
      <c r="P126" s="111"/>
      <c r="Q126" s="111"/>
      <c r="S126" s="105"/>
    </row>
    <row r="127" spans="2:28" x14ac:dyDescent="0.2">
      <c r="B127" s="60"/>
      <c r="J127" s="111"/>
      <c r="K127" s="111"/>
      <c r="L127" s="111"/>
      <c r="M127" s="111"/>
      <c r="N127" s="111"/>
      <c r="O127" s="111"/>
      <c r="P127" s="111"/>
      <c r="Q127" s="111"/>
      <c r="S127" s="105"/>
    </row>
    <row r="128" spans="2:28" x14ac:dyDescent="0.2">
      <c r="B128" s="60"/>
      <c r="J128" s="111"/>
      <c r="K128" s="111"/>
      <c r="L128" s="111"/>
      <c r="M128" s="111"/>
      <c r="N128" s="111"/>
      <c r="O128" s="111"/>
      <c r="P128" s="111"/>
      <c r="Q128" s="111"/>
      <c r="S128" s="105"/>
    </row>
    <row r="129" spans="2:19" x14ac:dyDescent="0.2">
      <c r="B129" s="96"/>
      <c r="C129" s="115"/>
      <c r="D129" s="115"/>
      <c r="E129" s="115"/>
      <c r="F129" s="115"/>
      <c r="G129" s="115"/>
      <c r="H129" s="115"/>
      <c r="I129" s="115"/>
      <c r="J129" s="115"/>
      <c r="K129" s="115"/>
      <c r="L129" s="115"/>
      <c r="M129" s="115"/>
      <c r="N129" s="115"/>
      <c r="O129" s="115"/>
      <c r="P129" s="115"/>
      <c r="Q129" s="115"/>
      <c r="R129" s="108"/>
      <c r="S129" s="109"/>
    </row>
    <row r="130" spans="2:19" ht="12.75" customHeight="1" x14ac:dyDescent="0.2">
      <c r="B130" s="100"/>
      <c r="C130" s="116"/>
      <c r="D130" s="116"/>
      <c r="E130" s="116"/>
      <c r="F130" s="116"/>
      <c r="G130" s="116"/>
      <c r="H130" s="116"/>
      <c r="I130" s="116"/>
      <c r="J130" s="116"/>
      <c r="K130" s="116"/>
      <c r="L130" s="116"/>
      <c r="M130" s="116"/>
      <c r="N130" s="116"/>
      <c r="O130" s="116"/>
      <c r="P130" s="116"/>
      <c r="Q130" s="116"/>
      <c r="R130" s="56"/>
      <c r="S130" s="110"/>
    </row>
    <row r="131" spans="2:19" x14ac:dyDescent="0.2">
      <c r="B131" s="60"/>
      <c r="C131" s="136" t="s">
        <v>117</v>
      </c>
      <c r="D131" s="136" t="s">
        <v>118</v>
      </c>
      <c r="E131" s="7"/>
      <c r="F131" s="7"/>
      <c r="G131" s="7"/>
      <c r="H131" s="7"/>
      <c r="I131" s="7"/>
      <c r="J131" s="148"/>
      <c r="K131" s="148"/>
      <c r="L131" s="148"/>
      <c r="M131" s="148"/>
      <c r="N131" s="148"/>
      <c r="O131" s="111"/>
      <c r="P131" s="111"/>
      <c r="Q131" s="111"/>
      <c r="S131" s="105"/>
    </row>
    <row r="132" spans="2:19" ht="12.75" customHeight="1" x14ac:dyDescent="0.2">
      <c r="B132" s="60"/>
      <c r="C132" s="472" t="s">
        <v>109</v>
      </c>
      <c r="D132" s="472"/>
      <c r="E132" s="472" t="s">
        <v>110</v>
      </c>
      <c r="F132" s="472"/>
      <c r="G132" s="472" t="s">
        <v>111</v>
      </c>
      <c r="H132" s="472"/>
      <c r="I132" s="472" t="s">
        <v>6</v>
      </c>
      <c r="J132" s="472"/>
      <c r="K132" s="472" t="s">
        <v>119</v>
      </c>
      <c r="L132" s="472"/>
      <c r="M132" s="472" t="s">
        <v>120</v>
      </c>
      <c r="N132" s="472"/>
      <c r="O132" s="111"/>
      <c r="P132" s="111"/>
      <c r="Q132" s="111"/>
      <c r="R132" s="111"/>
      <c r="S132" s="105"/>
    </row>
    <row r="133" spans="2:19" x14ac:dyDescent="0.2">
      <c r="B133" s="60"/>
      <c r="C133" s="427" t="s">
        <v>94</v>
      </c>
      <c r="D133" s="427"/>
      <c r="E133" s="481">
        <v>304</v>
      </c>
      <c r="F133" s="481"/>
      <c r="G133" s="481">
        <v>156</v>
      </c>
      <c r="H133" s="481"/>
      <c r="I133" s="481">
        <f t="shared" ref="I133:I138" si="7">SUM(E133:H133)</f>
        <v>460</v>
      </c>
      <c r="J133" s="481"/>
      <c r="K133" s="482">
        <f t="shared" ref="K133:K138" si="8">E133/I133</f>
        <v>0.66086956521739126</v>
      </c>
      <c r="L133" s="482"/>
      <c r="M133" s="482">
        <f t="shared" ref="M133:M139" si="9">G133/I133</f>
        <v>0.33913043478260868</v>
      </c>
      <c r="N133" s="482"/>
      <c r="O133" s="111"/>
      <c r="P133" s="111"/>
      <c r="Q133" s="111"/>
      <c r="R133" s="111"/>
      <c r="S133" s="105"/>
    </row>
    <row r="134" spans="2:19" x14ac:dyDescent="0.2">
      <c r="B134" s="60"/>
      <c r="C134" s="427" t="s">
        <v>95</v>
      </c>
      <c r="D134" s="427"/>
      <c r="E134" s="481">
        <v>294</v>
      </c>
      <c r="F134" s="481"/>
      <c r="G134" s="481">
        <v>88</v>
      </c>
      <c r="H134" s="481"/>
      <c r="I134" s="481">
        <f t="shared" si="7"/>
        <v>382</v>
      </c>
      <c r="J134" s="481"/>
      <c r="K134" s="482">
        <f t="shared" si="8"/>
        <v>0.76963350785340312</v>
      </c>
      <c r="L134" s="482"/>
      <c r="M134" s="482">
        <f t="shared" si="9"/>
        <v>0.23036649214659685</v>
      </c>
      <c r="N134" s="482"/>
      <c r="O134" s="111"/>
      <c r="P134" s="111"/>
      <c r="Q134" s="111"/>
      <c r="R134" s="111"/>
      <c r="S134" s="105"/>
    </row>
    <row r="135" spans="2:19" x14ac:dyDescent="0.2">
      <c r="B135" s="60"/>
      <c r="C135" s="427" t="s">
        <v>96</v>
      </c>
      <c r="D135" s="427"/>
      <c r="E135" s="481">
        <v>360</v>
      </c>
      <c r="F135" s="481"/>
      <c r="G135" s="481">
        <v>59</v>
      </c>
      <c r="H135" s="481"/>
      <c r="I135" s="481">
        <f t="shared" si="7"/>
        <v>419</v>
      </c>
      <c r="J135" s="481"/>
      <c r="K135" s="482">
        <f t="shared" si="8"/>
        <v>0.85918854415274459</v>
      </c>
      <c r="L135" s="482"/>
      <c r="M135" s="482">
        <f t="shared" si="9"/>
        <v>0.14081145584725538</v>
      </c>
      <c r="N135" s="482"/>
      <c r="O135" s="111"/>
      <c r="P135" s="111"/>
      <c r="Q135" s="111"/>
      <c r="R135" s="111"/>
      <c r="S135" s="105"/>
    </row>
    <row r="136" spans="2:19" x14ac:dyDescent="0.2">
      <c r="B136" s="60"/>
      <c r="C136" s="427" t="s">
        <v>97</v>
      </c>
      <c r="D136" s="427"/>
      <c r="E136" s="481">
        <v>285</v>
      </c>
      <c r="F136" s="481"/>
      <c r="G136" s="481">
        <v>46</v>
      </c>
      <c r="H136" s="481"/>
      <c r="I136" s="481">
        <f t="shared" si="7"/>
        <v>331</v>
      </c>
      <c r="J136" s="481"/>
      <c r="K136" s="482">
        <f t="shared" si="8"/>
        <v>0.86102719033232633</v>
      </c>
      <c r="L136" s="482"/>
      <c r="M136" s="482">
        <f t="shared" si="9"/>
        <v>0.13897280966767372</v>
      </c>
      <c r="N136" s="482"/>
      <c r="O136" s="111"/>
      <c r="P136" s="111"/>
      <c r="Q136" s="111"/>
      <c r="R136" s="111"/>
      <c r="S136" s="105"/>
    </row>
    <row r="137" spans="2:19" x14ac:dyDescent="0.2">
      <c r="B137" s="60"/>
      <c r="C137" s="427" t="s">
        <v>98</v>
      </c>
      <c r="D137" s="427"/>
      <c r="E137" s="481">
        <v>180</v>
      </c>
      <c r="F137" s="481"/>
      <c r="G137" s="481">
        <v>26</v>
      </c>
      <c r="H137" s="481"/>
      <c r="I137" s="481">
        <f t="shared" si="7"/>
        <v>206</v>
      </c>
      <c r="J137" s="481"/>
      <c r="K137" s="482">
        <f t="shared" si="8"/>
        <v>0.87378640776699024</v>
      </c>
      <c r="L137" s="482"/>
      <c r="M137" s="482">
        <f t="shared" si="9"/>
        <v>0.12621359223300971</v>
      </c>
      <c r="N137" s="482"/>
      <c r="O137" s="111"/>
      <c r="P137" s="111"/>
      <c r="Q137" s="111"/>
      <c r="S137" s="105"/>
    </row>
    <row r="138" spans="2:19" x14ac:dyDescent="0.2">
      <c r="B138" s="60"/>
      <c r="C138" s="427" t="s">
        <v>8</v>
      </c>
      <c r="D138" s="427"/>
      <c r="E138" s="481">
        <v>125</v>
      </c>
      <c r="F138" s="481"/>
      <c r="G138" s="481">
        <v>39</v>
      </c>
      <c r="H138" s="481"/>
      <c r="I138" s="481">
        <f t="shared" si="7"/>
        <v>164</v>
      </c>
      <c r="J138" s="481"/>
      <c r="K138" s="482">
        <f t="shared" si="8"/>
        <v>0.76219512195121952</v>
      </c>
      <c r="L138" s="482"/>
      <c r="M138" s="482">
        <f t="shared" si="9"/>
        <v>0.23780487804878048</v>
      </c>
      <c r="N138" s="482"/>
      <c r="O138" s="111"/>
      <c r="P138" s="111"/>
      <c r="Q138" s="111"/>
      <c r="S138" s="105"/>
    </row>
    <row r="139" spans="2:19" x14ac:dyDescent="0.2">
      <c r="B139" s="60"/>
      <c r="C139" s="427" t="s">
        <v>9</v>
      </c>
      <c r="D139" s="427"/>
      <c r="E139" s="484">
        <v>103</v>
      </c>
      <c r="F139" s="484"/>
      <c r="G139" s="484">
        <v>38</v>
      </c>
      <c r="H139" s="484"/>
      <c r="I139" s="481">
        <f t="shared" ref="I139" si="10">SUM(E139:H139)</f>
        <v>141</v>
      </c>
      <c r="J139" s="481"/>
      <c r="K139" s="482">
        <f>E139/I139</f>
        <v>0.73049645390070927</v>
      </c>
      <c r="L139" s="482"/>
      <c r="M139" s="482">
        <f t="shared" si="9"/>
        <v>0.26950354609929078</v>
      </c>
      <c r="N139" s="482"/>
      <c r="O139" s="111"/>
      <c r="P139" s="111"/>
      <c r="Q139" s="111"/>
      <c r="S139" s="105"/>
    </row>
    <row r="140" spans="2:19" x14ac:dyDescent="0.2">
      <c r="B140" s="60"/>
      <c r="C140" s="485" t="s">
        <v>99</v>
      </c>
      <c r="D140" s="485"/>
      <c r="E140" s="486">
        <f>E120</f>
        <v>75</v>
      </c>
      <c r="F140" s="486"/>
      <c r="G140" s="486">
        <f>G120</f>
        <v>25</v>
      </c>
      <c r="H140" s="486"/>
      <c r="I140" s="486">
        <f>SUM(E140:H140)</f>
        <v>100</v>
      </c>
      <c r="J140" s="486"/>
      <c r="K140" s="482">
        <f>E140/I140</f>
        <v>0.75</v>
      </c>
      <c r="L140" s="482"/>
      <c r="M140" s="482">
        <f t="shared" ref="M140" si="11">G140/I140</f>
        <v>0.25</v>
      </c>
      <c r="N140" s="482"/>
      <c r="O140" s="111"/>
      <c r="P140" s="111"/>
      <c r="Q140" s="111"/>
      <c r="S140" s="105"/>
    </row>
    <row r="141" spans="2:19" x14ac:dyDescent="0.2">
      <c r="B141" s="60"/>
      <c r="C141" s="479" t="s">
        <v>6</v>
      </c>
      <c r="D141" s="479"/>
      <c r="E141" s="483">
        <f>SUM(E133:F140)</f>
        <v>1726</v>
      </c>
      <c r="F141" s="483"/>
      <c r="G141" s="483">
        <f>SUM(G133:H140)</f>
        <v>477</v>
      </c>
      <c r="H141" s="483"/>
      <c r="I141" s="483">
        <f>SUM(I133:J140)</f>
        <v>2203</v>
      </c>
      <c r="J141" s="483"/>
      <c r="K141" s="478"/>
      <c r="L141" s="478"/>
      <c r="M141" s="478"/>
      <c r="N141" s="478"/>
      <c r="O141" s="111"/>
      <c r="P141" s="111"/>
      <c r="Q141" s="111"/>
      <c r="S141" s="105"/>
    </row>
    <row r="142" spans="2:19" x14ac:dyDescent="0.2">
      <c r="B142" s="60"/>
      <c r="C142" s="479" t="s">
        <v>116</v>
      </c>
      <c r="D142" s="479"/>
      <c r="E142" s="478">
        <f>E141/I141</f>
        <v>0.78347707671357236</v>
      </c>
      <c r="F142" s="478"/>
      <c r="G142" s="478">
        <f>G141/I141</f>
        <v>0.21652292328642761</v>
      </c>
      <c r="H142" s="478"/>
      <c r="I142" s="478"/>
      <c r="J142" s="478"/>
      <c r="K142" s="478"/>
      <c r="L142" s="478"/>
      <c r="M142" s="478"/>
      <c r="N142" s="478"/>
      <c r="O142" s="111"/>
      <c r="P142" s="111"/>
      <c r="Q142" s="111"/>
      <c r="S142" s="105"/>
    </row>
    <row r="143" spans="2:19" x14ac:dyDescent="0.2">
      <c r="B143" s="60"/>
      <c r="J143" s="111"/>
      <c r="K143" s="111"/>
      <c r="L143" s="111"/>
      <c r="M143" s="111"/>
      <c r="N143" s="111"/>
      <c r="O143" s="111"/>
      <c r="P143" s="111"/>
      <c r="Q143" s="111"/>
      <c r="S143" s="105"/>
    </row>
    <row r="144" spans="2:19" x14ac:dyDescent="0.2">
      <c r="B144" s="60"/>
      <c r="J144" s="111"/>
      <c r="K144" s="111"/>
      <c r="L144" s="111"/>
      <c r="M144" s="111"/>
      <c r="N144" s="111"/>
      <c r="O144" s="111"/>
      <c r="P144" s="111"/>
      <c r="Q144" s="111"/>
      <c r="S144" s="105"/>
    </row>
    <row r="145" spans="2:19" x14ac:dyDescent="0.2">
      <c r="B145" s="60"/>
      <c r="C145" s="136" t="s">
        <v>121</v>
      </c>
      <c r="D145" s="136" t="s">
        <v>122</v>
      </c>
      <c r="E145" s="159"/>
      <c r="F145" s="159"/>
      <c r="G145" s="159"/>
      <c r="H145" s="159"/>
      <c r="I145" s="111"/>
      <c r="S145" s="105"/>
    </row>
    <row r="146" spans="2:19" x14ac:dyDescent="0.2">
      <c r="B146" s="60"/>
      <c r="C146" s="160" t="s">
        <v>77</v>
      </c>
      <c r="D146" s="160" t="s">
        <v>123</v>
      </c>
      <c r="E146" s="160" t="s">
        <v>124</v>
      </c>
      <c r="F146" s="160" t="s">
        <v>6</v>
      </c>
      <c r="G146" s="160" t="s">
        <v>125</v>
      </c>
      <c r="H146" s="160" t="s">
        <v>126</v>
      </c>
      <c r="I146" s="111"/>
      <c r="S146" s="105"/>
    </row>
    <row r="147" spans="2:19" x14ac:dyDescent="0.2">
      <c r="B147" s="60"/>
      <c r="C147" s="161" t="s">
        <v>91</v>
      </c>
      <c r="D147" s="162">
        <v>63</v>
      </c>
      <c r="E147" s="162">
        <v>172</v>
      </c>
      <c r="F147" s="162">
        <f t="shared" ref="F147:F152" si="12">SUM(D147:E147)</f>
        <v>235</v>
      </c>
      <c r="G147" s="163">
        <f>D147/F147</f>
        <v>0.26808510638297872</v>
      </c>
      <c r="H147" s="163">
        <f>E147/F147</f>
        <v>0.73191489361702122</v>
      </c>
      <c r="I147" s="111"/>
      <c r="S147" s="105"/>
    </row>
    <row r="148" spans="2:19" x14ac:dyDescent="0.2">
      <c r="B148" s="60"/>
      <c r="C148" s="161" t="s">
        <v>92</v>
      </c>
      <c r="D148" s="162">
        <v>238</v>
      </c>
      <c r="E148" s="162">
        <v>66</v>
      </c>
      <c r="F148" s="162">
        <f t="shared" si="12"/>
        <v>304</v>
      </c>
      <c r="G148" s="163">
        <f>D148/F148</f>
        <v>0.78289473684210531</v>
      </c>
      <c r="H148" s="163">
        <f>E148/F148</f>
        <v>0.21710526315789475</v>
      </c>
      <c r="I148" s="111"/>
      <c r="S148" s="105"/>
    </row>
    <row r="149" spans="2:19" x14ac:dyDescent="0.2">
      <c r="B149" s="60"/>
      <c r="C149" s="161" t="s">
        <v>93</v>
      </c>
      <c r="D149" s="162">
        <v>304</v>
      </c>
      <c r="E149" s="162">
        <v>187</v>
      </c>
      <c r="F149" s="162">
        <f t="shared" si="12"/>
        <v>491</v>
      </c>
      <c r="G149" s="163">
        <f>D149/F149</f>
        <v>0.61914460285132378</v>
      </c>
      <c r="H149" s="163">
        <f>E149/F149</f>
        <v>0.38085539714867617</v>
      </c>
      <c r="I149" s="111"/>
      <c r="S149" s="105"/>
    </row>
    <row r="150" spans="2:19" x14ac:dyDescent="0.2">
      <c r="B150" s="60"/>
      <c r="C150" s="161" t="s">
        <v>94</v>
      </c>
      <c r="D150" s="162">
        <v>242</v>
      </c>
      <c r="E150" s="162">
        <v>218</v>
      </c>
      <c r="F150" s="162">
        <f t="shared" si="12"/>
        <v>460</v>
      </c>
      <c r="G150" s="163">
        <f>D150/F150</f>
        <v>0.52608695652173909</v>
      </c>
      <c r="H150" s="163">
        <f>E150/F150</f>
        <v>0.47391304347826085</v>
      </c>
      <c r="I150" s="111"/>
      <c r="S150" s="105"/>
    </row>
    <row r="151" spans="2:19" x14ac:dyDescent="0.2">
      <c r="B151" s="60"/>
      <c r="C151" s="161" t="s">
        <v>95</v>
      </c>
      <c r="D151" s="162">
        <v>165</v>
      </c>
      <c r="E151" s="162">
        <v>217</v>
      </c>
      <c r="F151" s="162">
        <f t="shared" si="12"/>
        <v>382</v>
      </c>
      <c r="G151" s="163">
        <f t="shared" ref="G151:G152" si="13">D151/F151</f>
        <v>0.43193717277486909</v>
      </c>
      <c r="H151" s="163">
        <f t="shared" ref="H151:H152" si="14">E151/F151</f>
        <v>0.56806282722513091</v>
      </c>
      <c r="I151" s="111"/>
      <c r="S151" s="105"/>
    </row>
    <row r="152" spans="2:19" x14ac:dyDescent="0.2">
      <c r="B152" s="60"/>
      <c r="C152" s="161" t="s">
        <v>96</v>
      </c>
      <c r="D152" s="162">
        <v>125</v>
      </c>
      <c r="E152" s="162">
        <v>294</v>
      </c>
      <c r="F152" s="162">
        <f t="shared" si="12"/>
        <v>419</v>
      </c>
      <c r="G152" s="163">
        <f t="shared" si="13"/>
        <v>0.29832935560859186</v>
      </c>
      <c r="H152" s="163">
        <f t="shared" si="14"/>
        <v>0.70167064439140814</v>
      </c>
      <c r="I152" s="111"/>
      <c r="S152" s="105"/>
    </row>
    <row r="153" spans="2:19" x14ac:dyDescent="0.2">
      <c r="B153" s="60"/>
      <c r="C153" s="161" t="s">
        <v>97</v>
      </c>
      <c r="D153" s="162">
        <v>98</v>
      </c>
      <c r="E153" s="162">
        <v>233</v>
      </c>
      <c r="F153" s="162">
        <v>331</v>
      </c>
      <c r="G153" s="163">
        <v>0.29607250755287007</v>
      </c>
      <c r="H153" s="163">
        <v>0.70392749244712993</v>
      </c>
      <c r="I153" s="111"/>
      <c r="S153" s="105"/>
    </row>
    <row r="154" spans="2:19" x14ac:dyDescent="0.2">
      <c r="B154" s="60"/>
      <c r="C154" s="161" t="s">
        <v>98</v>
      </c>
      <c r="D154" s="162">
        <v>107</v>
      </c>
      <c r="E154" s="162">
        <v>99</v>
      </c>
      <c r="F154" s="162">
        <v>206</v>
      </c>
      <c r="G154" s="163">
        <v>0.51941747572815533</v>
      </c>
      <c r="H154" s="163">
        <v>0.48058252427184467</v>
      </c>
      <c r="I154" s="111"/>
      <c r="S154" s="105"/>
    </row>
    <row r="155" spans="2:19" x14ac:dyDescent="0.2">
      <c r="B155" s="60"/>
      <c r="C155" s="161" t="s">
        <v>8</v>
      </c>
      <c r="D155" s="162">
        <v>63</v>
      </c>
      <c r="E155" s="162">
        <v>101</v>
      </c>
      <c r="F155" s="162">
        <v>164</v>
      </c>
      <c r="G155" s="163">
        <f>D155/F155</f>
        <v>0.38414634146341464</v>
      </c>
      <c r="H155" s="163">
        <f>E155/F155</f>
        <v>0.61585365853658536</v>
      </c>
      <c r="I155" s="111"/>
      <c r="S155" s="105"/>
    </row>
    <row r="156" spans="2:19" x14ac:dyDescent="0.2">
      <c r="B156" s="60"/>
      <c r="C156" s="161" t="s">
        <v>9</v>
      </c>
      <c r="D156" s="165">
        <v>121</v>
      </c>
      <c r="E156" s="165">
        <v>20</v>
      </c>
      <c r="F156" s="165">
        <f>SUM(D156:E156)</f>
        <v>141</v>
      </c>
      <c r="G156" s="166">
        <f>D156/F156</f>
        <v>0.85815602836879434</v>
      </c>
      <c r="H156" s="166">
        <f>E156/F156</f>
        <v>0.14184397163120568</v>
      </c>
      <c r="I156" s="111"/>
      <c r="S156" s="105"/>
    </row>
    <row r="157" spans="2:19" x14ac:dyDescent="0.2">
      <c r="B157" s="60"/>
      <c r="C157" s="164" t="s">
        <v>99</v>
      </c>
      <c r="D157" s="165">
        <f>GETPIVOTDATA("Net Dwellings",Pivot!$B$240,"Large Site",)</f>
        <v>77</v>
      </c>
      <c r="E157" s="165">
        <f>GETPIVOTDATA("Net Dwellings",Pivot!$B$240,"Large Site","Y")</f>
        <v>23</v>
      </c>
      <c r="F157" s="165">
        <f>SUM(D157:E157)</f>
        <v>100</v>
      </c>
      <c r="G157" s="166">
        <f>D157/F157</f>
        <v>0.77</v>
      </c>
      <c r="H157" s="166">
        <f>E157/F157</f>
        <v>0.23</v>
      </c>
      <c r="I157" s="111"/>
      <c r="S157" s="105"/>
    </row>
    <row r="158" spans="2:19" x14ac:dyDescent="0.2">
      <c r="B158" s="60"/>
      <c r="C158" s="160" t="s">
        <v>127</v>
      </c>
      <c r="D158" s="167">
        <f>SUM(D147:D157)</f>
        <v>1603</v>
      </c>
      <c r="E158" s="167">
        <f>SUM(E147:E157)</f>
        <v>1630</v>
      </c>
      <c r="F158" s="167">
        <f>SUM(F147:F157)</f>
        <v>3233</v>
      </c>
      <c r="G158" s="168"/>
      <c r="H158" s="168"/>
      <c r="I158" s="111"/>
      <c r="S158" s="105"/>
    </row>
    <row r="159" spans="2:19" x14ac:dyDescent="0.2">
      <c r="B159" s="60"/>
      <c r="C159" s="160" t="s">
        <v>128</v>
      </c>
      <c r="D159" s="167">
        <f>AVERAGE(D147:D157)</f>
        <v>145.72727272727272</v>
      </c>
      <c r="E159" s="167">
        <f>AVERAGE(E147:E157)</f>
        <v>148.18181818181819</v>
      </c>
      <c r="F159" s="167">
        <f>AVERAGE(F147:F157)</f>
        <v>293.90909090909093</v>
      </c>
      <c r="G159" s="168">
        <f>D158/F158</f>
        <v>0.49582431178472008</v>
      </c>
      <c r="H159" s="168">
        <f>E158/F158</f>
        <v>0.50417568821527992</v>
      </c>
      <c r="I159" s="111"/>
      <c r="S159" s="105"/>
    </row>
    <row r="160" spans="2:19" x14ac:dyDescent="0.2">
      <c r="B160" s="60"/>
      <c r="D160" s="111"/>
      <c r="E160" s="111"/>
      <c r="F160" s="111"/>
      <c r="G160" s="111"/>
      <c r="H160" s="111"/>
      <c r="I160" s="111"/>
      <c r="S160" s="105"/>
    </row>
    <row r="161" spans="2:19" x14ac:dyDescent="0.2">
      <c r="B161" s="60"/>
      <c r="E161" s="117"/>
      <c r="S161" s="105"/>
    </row>
    <row r="162" spans="2:19" x14ac:dyDescent="0.2">
      <c r="B162" s="60"/>
      <c r="S162" s="105"/>
    </row>
    <row r="163" spans="2:19" x14ac:dyDescent="0.2">
      <c r="B163" s="60"/>
      <c r="C163" s="136" t="s">
        <v>129</v>
      </c>
      <c r="D163" s="136" t="s">
        <v>130</v>
      </c>
      <c r="S163" s="105"/>
    </row>
    <row r="164" spans="2:19" x14ac:dyDescent="0.2">
      <c r="B164" s="60"/>
      <c r="C164" s="150" t="s">
        <v>77</v>
      </c>
      <c r="D164" s="150" t="s">
        <v>106</v>
      </c>
      <c r="S164" s="105"/>
    </row>
    <row r="165" spans="2:19" x14ac:dyDescent="0.2">
      <c r="B165" s="60"/>
      <c r="C165" s="155" t="s">
        <v>81</v>
      </c>
      <c r="D165" s="152">
        <v>0.5</v>
      </c>
      <c r="L165" s="111"/>
      <c r="M165" s="111"/>
      <c r="N165" s="111"/>
      <c r="O165" s="111"/>
      <c r="P165" s="111"/>
      <c r="Q165" s="111"/>
      <c r="S165" s="105"/>
    </row>
    <row r="166" spans="2:19" x14ac:dyDescent="0.2">
      <c r="B166" s="60"/>
      <c r="C166" s="155" t="s">
        <v>82</v>
      </c>
      <c r="D166" s="152">
        <v>0.72</v>
      </c>
      <c r="L166" s="111"/>
      <c r="M166" s="111"/>
      <c r="N166" s="111"/>
      <c r="O166" s="111"/>
      <c r="P166" s="111"/>
      <c r="Q166" s="111"/>
      <c r="S166" s="105"/>
    </row>
    <row r="167" spans="2:19" x14ac:dyDescent="0.2">
      <c r="B167" s="60"/>
      <c r="C167" s="155" t="s">
        <v>83</v>
      </c>
      <c r="D167" s="152">
        <v>0.83</v>
      </c>
      <c r="J167" s="111"/>
      <c r="K167" s="111"/>
      <c r="L167" s="111"/>
      <c r="M167" s="111"/>
      <c r="N167" s="111"/>
      <c r="O167" s="111"/>
      <c r="P167" s="111"/>
      <c r="Q167" s="111"/>
      <c r="S167" s="105"/>
    </row>
    <row r="168" spans="2:19" x14ac:dyDescent="0.2">
      <c r="B168" s="60"/>
      <c r="C168" s="155" t="s">
        <v>84</v>
      </c>
      <c r="D168" s="152">
        <v>0.41</v>
      </c>
      <c r="J168" s="111"/>
      <c r="K168" s="111"/>
      <c r="L168" s="111"/>
      <c r="M168" s="111"/>
      <c r="N168" s="111"/>
      <c r="O168" s="111"/>
      <c r="P168" s="111"/>
      <c r="Q168" s="111"/>
      <c r="S168" s="105"/>
    </row>
    <row r="169" spans="2:19" x14ac:dyDescent="0.2">
      <c r="B169" s="60"/>
      <c r="C169" s="155" t="s">
        <v>85</v>
      </c>
      <c r="D169" s="152">
        <v>0.27</v>
      </c>
      <c r="J169" s="111"/>
      <c r="K169" s="111"/>
      <c r="L169" s="111"/>
      <c r="M169" s="111"/>
      <c r="N169" s="111"/>
      <c r="O169" s="111"/>
      <c r="Q169" s="111"/>
      <c r="S169" s="105"/>
    </row>
    <row r="170" spans="2:19" x14ac:dyDescent="0.2">
      <c r="B170" s="60"/>
      <c r="C170" s="155" t="s">
        <v>86</v>
      </c>
      <c r="D170" s="152">
        <v>0.61</v>
      </c>
      <c r="J170" s="111"/>
      <c r="K170" s="111"/>
      <c r="Q170" s="111"/>
      <c r="S170" s="105"/>
    </row>
    <row r="171" spans="2:19" x14ac:dyDescent="0.2">
      <c r="B171" s="60"/>
      <c r="C171" s="155" t="s">
        <v>87</v>
      </c>
      <c r="D171" s="152">
        <v>7.0000000000000007E-2</v>
      </c>
      <c r="Q171" s="111"/>
      <c r="S171" s="105"/>
    </row>
    <row r="172" spans="2:19" x14ac:dyDescent="0.2">
      <c r="B172" s="60"/>
      <c r="C172" s="155" t="s">
        <v>88</v>
      </c>
      <c r="D172" s="152">
        <v>0.67</v>
      </c>
      <c r="Q172" s="111"/>
      <c r="S172" s="105"/>
    </row>
    <row r="173" spans="2:19" x14ac:dyDescent="0.2">
      <c r="B173" s="60"/>
      <c r="C173" s="155" t="s">
        <v>89</v>
      </c>
      <c r="D173" s="152">
        <v>0.3</v>
      </c>
      <c r="Q173" s="111"/>
      <c r="S173" s="105"/>
    </row>
    <row r="174" spans="2:19" x14ac:dyDescent="0.2">
      <c r="B174" s="60"/>
      <c r="C174" s="155" t="s">
        <v>90</v>
      </c>
      <c r="D174" s="152">
        <v>0.79</v>
      </c>
      <c r="Q174" s="111"/>
      <c r="S174" s="105"/>
    </row>
    <row r="175" spans="2:19" x14ac:dyDescent="0.2">
      <c r="B175" s="60"/>
      <c r="C175" s="155" t="s">
        <v>91</v>
      </c>
      <c r="D175" s="152">
        <v>0.73</v>
      </c>
      <c r="Q175" s="111"/>
      <c r="S175" s="105"/>
    </row>
    <row r="176" spans="2:19" x14ac:dyDescent="0.2">
      <c r="B176" s="60"/>
      <c r="C176" s="155" t="s">
        <v>92</v>
      </c>
      <c r="D176" s="152">
        <v>0.22</v>
      </c>
      <c r="Q176" s="111"/>
      <c r="S176" s="105"/>
    </row>
    <row r="177" spans="2:19" x14ac:dyDescent="0.2">
      <c r="B177" s="60"/>
      <c r="C177" s="155" t="s">
        <v>93</v>
      </c>
      <c r="D177" s="152">
        <v>0.38</v>
      </c>
      <c r="Q177" s="111"/>
      <c r="S177" s="105"/>
    </row>
    <row r="178" spans="2:19" x14ac:dyDescent="0.2">
      <c r="B178" s="60"/>
      <c r="C178" s="155" t="s">
        <v>94</v>
      </c>
      <c r="D178" s="152">
        <v>0.47</v>
      </c>
      <c r="Q178" s="111"/>
      <c r="S178" s="105"/>
    </row>
    <row r="179" spans="2:19" x14ac:dyDescent="0.2">
      <c r="B179" s="60"/>
      <c r="C179" s="155" t="s">
        <v>95</v>
      </c>
      <c r="D179" s="152">
        <v>0.56999999999999995</v>
      </c>
      <c r="Q179" s="111"/>
      <c r="S179" s="105"/>
    </row>
    <row r="180" spans="2:19" x14ac:dyDescent="0.2">
      <c r="B180" s="60"/>
      <c r="C180" s="155" t="s">
        <v>96</v>
      </c>
      <c r="D180" s="152">
        <f t="shared" ref="D180:D185" si="15">H152</f>
        <v>0.70167064439140814</v>
      </c>
      <c r="Q180" s="111"/>
      <c r="S180" s="105"/>
    </row>
    <row r="181" spans="2:19" x14ac:dyDescent="0.2">
      <c r="B181" s="60"/>
      <c r="C181" s="155" t="s">
        <v>97</v>
      </c>
      <c r="D181" s="152">
        <f t="shared" si="15"/>
        <v>0.70392749244712993</v>
      </c>
      <c r="Q181" s="111"/>
      <c r="S181" s="105"/>
    </row>
    <row r="182" spans="2:19" x14ac:dyDescent="0.2">
      <c r="B182" s="60"/>
      <c r="C182" s="155" t="s">
        <v>98</v>
      </c>
      <c r="D182" s="152">
        <f t="shared" si="15"/>
        <v>0.48058252427184467</v>
      </c>
      <c r="Q182" s="111"/>
      <c r="S182" s="105"/>
    </row>
    <row r="183" spans="2:19" x14ac:dyDescent="0.2">
      <c r="B183" s="60"/>
      <c r="C183" s="155" t="s">
        <v>8</v>
      </c>
      <c r="D183" s="152">
        <f t="shared" si="15"/>
        <v>0.61585365853658536</v>
      </c>
      <c r="Q183" s="111"/>
      <c r="S183" s="105"/>
    </row>
    <row r="184" spans="2:19" x14ac:dyDescent="0.2">
      <c r="B184" s="60"/>
      <c r="C184" s="155" t="s">
        <v>9</v>
      </c>
      <c r="D184" s="156">
        <f t="shared" si="15"/>
        <v>0.14184397163120568</v>
      </c>
      <c r="Q184" s="111"/>
      <c r="S184" s="105"/>
    </row>
    <row r="185" spans="2:19" x14ac:dyDescent="0.2">
      <c r="B185" s="60"/>
      <c r="C185" s="157" t="s">
        <v>99</v>
      </c>
      <c r="D185" s="158">
        <f t="shared" si="15"/>
        <v>0.23</v>
      </c>
      <c r="Q185" s="111"/>
      <c r="S185" s="105"/>
    </row>
    <row r="186" spans="2:19" x14ac:dyDescent="0.2">
      <c r="B186" s="96"/>
      <c r="C186" s="108"/>
      <c r="D186" s="108"/>
      <c r="E186" s="108"/>
      <c r="F186" s="108"/>
      <c r="G186" s="108"/>
      <c r="H186" s="108"/>
      <c r="I186" s="108"/>
      <c r="J186" s="108"/>
      <c r="K186" s="108"/>
      <c r="L186" s="108"/>
      <c r="M186" s="108"/>
      <c r="N186" s="108"/>
      <c r="O186" s="108"/>
      <c r="P186" s="108"/>
      <c r="Q186" s="115"/>
      <c r="R186" s="108"/>
      <c r="S186" s="109"/>
    </row>
    <row r="187" spans="2:19" x14ac:dyDescent="0.2">
      <c r="B187" s="100"/>
      <c r="C187" s="56"/>
      <c r="D187" s="56"/>
      <c r="E187" s="56"/>
      <c r="F187" s="56"/>
      <c r="G187" s="56"/>
      <c r="H187" s="56"/>
      <c r="I187" s="56"/>
      <c r="J187" s="56"/>
      <c r="K187" s="56"/>
      <c r="L187" s="56"/>
      <c r="M187" s="56"/>
      <c r="N187" s="56"/>
      <c r="O187" s="56"/>
      <c r="P187" s="56"/>
      <c r="Q187" s="56"/>
      <c r="R187" s="56"/>
      <c r="S187" s="110"/>
    </row>
    <row r="188" spans="2:19" s="7" customFormat="1" x14ac:dyDescent="0.2">
      <c r="B188" s="324"/>
      <c r="S188" s="325"/>
    </row>
    <row r="189" spans="2:19" s="7" customFormat="1" ht="20.25" x14ac:dyDescent="0.3">
      <c r="B189" s="324"/>
      <c r="C189" s="147" t="s">
        <v>131</v>
      </c>
      <c r="D189" s="54"/>
      <c r="E189" s="54"/>
      <c r="F189" s="54"/>
      <c r="G189" s="54"/>
      <c r="H189" s="54"/>
      <c r="I189" s="54"/>
      <c r="J189" s="54"/>
      <c r="K189" s="54"/>
      <c r="L189" s="54"/>
      <c r="M189" s="54"/>
      <c r="N189" s="54"/>
      <c r="O189" s="54"/>
      <c r="P189" s="54"/>
      <c r="Q189" s="54"/>
      <c r="S189" s="325"/>
    </row>
    <row r="190" spans="2:19" s="7" customFormat="1" ht="20.25" x14ac:dyDescent="0.3">
      <c r="B190" s="324"/>
      <c r="C190" s="147"/>
      <c r="D190" s="54"/>
      <c r="E190" s="54"/>
      <c r="F190" s="54"/>
      <c r="G190" s="54"/>
      <c r="H190" s="54"/>
      <c r="I190" s="54"/>
      <c r="J190" s="54"/>
      <c r="K190" s="54"/>
      <c r="L190" s="54"/>
      <c r="M190" s="54"/>
      <c r="N190" s="54"/>
      <c r="O190" s="54"/>
      <c r="P190" s="54"/>
      <c r="Q190" s="54"/>
      <c r="S190" s="325"/>
    </row>
    <row r="191" spans="2:19" s="7" customFormat="1" ht="15" x14ac:dyDescent="0.25">
      <c r="B191" s="324"/>
      <c r="C191" s="176" t="s">
        <v>132</v>
      </c>
      <c r="D191" s="54"/>
      <c r="E191" s="54"/>
      <c r="F191" s="54"/>
      <c r="G191" s="54"/>
      <c r="H191" s="54"/>
      <c r="I191" s="176" t="s">
        <v>133</v>
      </c>
      <c r="J191" s="148"/>
      <c r="K191" s="148"/>
      <c r="O191" s="148"/>
      <c r="P191" s="54"/>
      <c r="Q191" s="54"/>
      <c r="S191" s="325"/>
    </row>
    <row r="192" spans="2:19" s="7" customFormat="1" x14ac:dyDescent="0.2">
      <c r="B192" s="324"/>
      <c r="C192" s="136" t="s">
        <v>134</v>
      </c>
      <c r="D192" s="136" t="s">
        <v>135</v>
      </c>
      <c r="E192" s="54"/>
      <c r="F192" s="54"/>
      <c r="G192" s="54"/>
      <c r="H192" s="54"/>
      <c r="I192" s="136" t="s">
        <v>136</v>
      </c>
      <c r="J192" s="136" t="s">
        <v>137</v>
      </c>
      <c r="K192" s="54"/>
      <c r="O192" s="54"/>
      <c r="P192" s="54"/>
      <c r="Q192" s="54"/>
      <c r="S192" s="325"/>
    </row>
    <row r="193" spans="2:19" s="7" customFormat="1" x14ac:dyDescent="0.2">
      <c r="B193" s="326"/>
      <c r="C193" s="407" t="s">
        <v>138</v>
      </c>
      <c r="D193" s="408"/>
      <c r="E193" s="173" t="s">
        <v>99</v>
      </c>
      <c r="F193" s="54"/>
      <c r="G193" s="54"/>
      <c r="H193" s="54"/>
      <c r="I193" s="408" t="s">
        <v>139</v>
      </c>
      <c r="J193" s="408"/>
      <c r="K193" s="173" t="s">
        <v>99</v>
      </c>
      <c r="O193" s="54"/>
      <c r="P193" s="54"/>
      <c r="Q193" s="54"/>
      <c r="R193" s="54"/>
      <c r="S193" s="325"/>
    </row>
    <row r="194" spans="2:19" s="7" customFormat="1" x14ac:dyDescent="0.2">
      <c r="B194" s="326"/>
      <c r="C194" s="405" t="s">
        <v>140</v>
      </c>
      <c r="D194" s="406"/>
      <c r="E194" s="327">
        <f>GETPIVOTDATA("Net Dwellings",Pivot!$B$226,"Town_Centre","East Sheen")</f>
        <v>2</v>
      </c>
      <c r="F194" s="54"/>
      <c r="G194" s="54"/>
      <c r="H194" s="54"/>
      <c r="I194" s="406" t="s">
        <v>132</v>
      </c>
      <c r="J194" s="406"/>
      <c r="K194" s="328">
        <f>E199</f>
        <v>13</v>
      </c>
      <c r="O194" s="54"/>
      <c r="P194" s="54"/>
      <c r="Q194" s="54"/>
      <c r="R194" s="54"/>
      <c r="S194" s="325"/>
    </row>
    <row r="195" spans="2:19" s="7" customFormat="1" x14ac:dyDescent="0.2">
      <c r="B195" s="326"/>
      <c r="C195" s="405" t="s">
        <v>141</v>
      </c>
      <c r="D195" s="406"/>
      <c r="E195" s="327">
        <f>GETPIVOTDATA("Net Dwellings",Pivot!$B$226,"Town_Centre","Richmond")</f>
        <v>5</v>
      </c>
      <c r="F195" s="54"/>
      <c r="G195" s="54"/>
      <c r="H195" s="54"/>
      <c r="I195" s="406" t="s">
        <v>142</v>
      </c>
      <c r="J195" s="406"/>
      <c r="K195" s="328">
        <f>GETPIVOTDATA("Net Dwellings",Pivot!$H$227,"Thames_Policy_Area","Thames Policy Area")</f>
        <v>-1</v>
      </c>
      <c r="O195" s="54"/>
      <c r="P195" s="54"/>
      <c r="Q195" s="54"/>
      <c r="R195" s="54"/>
      <c r="S195" s="325"/>
    </row>
    <row r="196" spans="2:19" s="7" customFormat="1" x14ac:dyDescent="0.2">
      <c r="B196" s="326"/>
      <c r="C196" s="405" t="s">
        <v>143</v>
      </c>
      <c r="D196" s="406"/>
      <c r="E196" s="327">
        <f>GETPIVOTDATA("Net Dwellings",Pivot!$B$226,"Town_Centre","Teddington")</f>
        <v>3</v>
      </c>
      <c r="F196" s="54"/>
      <c r="G196" s="54"/>
      <c r="H196" s="54"/>
      <c r="I196" s="406" t="s">
        <v>144</v>
      </c>
      <c r="J196" s="406"/>
      <c r="K196" s="328">
        <f>GETPIVOTDATA("Net Dwellings",Pivot!$E$240,"Mixed Use Area","Y")</f>
        <v>26</v>
      </c>
      <c r="O196" s="54"/>
      <c r="P196" s="54"/>
      <c r="Q196" s="54"/>
      <c r="R196" s="54"/>
      <c r="S196" s="325"/>
    </row>
    <row r="197" spans="2:19" s="7" customFormat="1" x14ac:dyDescent="0.2">
      <c r="B197" s="326"/>
      <c r="C197" s="405" t="s">
        <v>145</v>
      </c>
      <c r="D197" s="406"/>
      <c r="E197" s="327">
        <f>GETPIVOTDATA("Net Dwellings",Pivot!$B$226,"Town_Centre","Twickenham")</f>
        <v>3</v>
      </c>
      <c r="F197" s="54"/>
      <c r="G197" s="54"/>
      <c r="H197" s="54"/>
      <c r="I197" s="409" t="s">
        <v>146</v>
      </c>
      <c r="J197" s="405"/>
      <c r="K197" s="328"/>
      <c r="O197" s="54"/>
      <c r="P197" s="54"/>
      <c r="Q197" s="54"/>
      <c r="R197" s="54"/>
      <c r="S197" s="325"/>
    </row>
    <row r="198" spans="2:19" s="7" customFormat="1" x14ac:dyDescent="0.2">
      <c r="B198" s="326"/>
      <c r="C198" s="405" t="s">
        <v>147</v>
      </c>
      <c r="D198" s="406"/>
      <c r="E198" s="327"/>
      <c r="F198" s="54"/>
      <c r="G198" s="54"/>
      <c r="H198" s="54"/>
      <c r="I198" s="406" t="s">
        <v>148</v>
      </c>
      <c r="J198" s="406"/>
      <c r="K198" s="328">
        <f>GETPIVOTDATA("Net Dwellings",Pivot!$K$227,"Met_Open_Land","MOL - Radnor Gardens")</f>
        <v>-1</v>
      </c>
      <c r="O198" s="54"/>
      <c r="P198" s="54"/>
      <c r="Q198" s="54"/>
      <c r="R198" s="54"/>
      <c r="S198" s="325"/>
    </row>
    <row r="199" spans="2:19" s="7" customFormat="1" x14ac:dyDescent="0.2">
      <c r="B199" s="326"/>
      <c r="C199" s="407" t="s">
        <v>149</v>
      </c>
      <c r="D199" s="408"/>
      <c r="E199" s="171">
        <f>SUM(E194:E198)</f>
        <v>13</v>
      </c>
      <c r="F199" s="54"/>
      <c r="G199" s="54"/>
      <c r="H199" s="54"/>
      <c r="I199" s="406" t="s">
        <v>150</v>
      </c>
      <c r="J199" s="406"/>
      <c r="K199" s="328">
        <f>GETPIVOTDATA("Net Dwellings",Pivot!$H$240,"Garden Land","Y")</f>
        <v>10</v>
      </c>
      <c r="O199" s="54"/>
      <c r="P199" s="54"/>
      <c r="Q199" s="54"/>
      <c r="R199" s="54"/>
      <c r="S199" s="325"/>
    </row>
    <row r="200" spans="2:19" s="7" customFormat="1" x14ac:dyDescent="0.2">
      <c r="B200" s="324"/>
      <c r="C200" s="54"/>
      <c r="D200" s="54"/>
      <c r="E200" s="54"/>
      <c r="F200" s="54"/>
      <c r="G200" s="54"/>
      <c r="H200" s="54"/>
      <c r="I200" s="406" t="s">
        <v>151</v>
      </c>
      <c r="J200" s="406"/>
      <c r="K200" s="328">
        <f>GETPIVOTDATA("Net Dwellings",Pivot!$E$227,"Conservation_Area","Y")</f>
        <v>23</v>
      </c>
      <c r="O200" s="54"/>
      <c r="P200" s="54"/>
      <c r="S200" s="325"/>
    </row>
    <row r="201" spans="2:19" x14ac:dyDescent="0.2">
      <c r="B201" s="60"/>
      <c r="S201" s="105"/>
    </row>
    <row r="202" spans="2:19" ht="15" x14ac:dyDescent="0.25">
      <c r="B202" s="60"/>
      <c r="C202" s="176" t="s">
        <v>152</v>
      </c>
      <c r="D202" s="54"/>
      <c r="E202" s="148"/>
      <c r="F202" s="177"/>
      <c r="G202" s="177"/>
      <c r="H202" s="177"/>
      <c r="I202" s="119"/>
      <c r="J202" s="119"/>
      <c r="K202" s="119"/>
      <c r="L202" s="66"/>
      <c r="M202" s="66"/>
      <c r="N202" s="66"/>
      <c r="O202" s="66"/>
      <c r="P202" s="66"/>
      <c r="Q202" s="66"/>
      <c r="S202" s="105"/>
    </row>
    <row r="203" spans="2:19" x14ac:dyDescent="0.2">
      <c r="B203" s="60"/>
      <c r="C203" s="136" t="s">
        <v>153</v>
      </c>
      <c r="D203" s="136" t="s">
        <v>154</v>
      </c>
      <c r="E203" s="148"/>
      <c r="F203" s="177"/>
      <c r="G203" s="177"/>
      <c r="H203" s="177"/>
      <c r="I203" s="119"/>
      <c r="J203" s="119"/>
      <c r="K203" s="119"/>
      <c r="L203" s="66"/>
      <c r="M203" s="66"/>
      <c r="N203" s="66"/>
      <c r="O203" s="66"/>
      <c r="P203" s="66"/>
      <c r="Q203" s="66"/>
      <c r="S203" s="105"/>
    </row>
    <row r="204" spans="2:19" ht="33.75" x14ac:dyDescent="0.2">
      <c r="B204" s="88"/>
      <c r="C204" s="506" t="s">
        <v>155</v>
      </c>
      <c r="D204" s="507"/>
      <c r="E204" s="507"/>
      <c r="F204" s="178" t="s">
        <v>156</v>
      </c>
      <c r="G204" s="179" t="s">
        <v>157</v>
      </c>
      <c r="H204" s="178" t="s">
        <v>78</v>
      </c>
      <c r="I204" s="119"/>
      <c r="J204" s="119"/>
      <c r="K204" s="119"/>
      <c r="L204" s="119"/>
      <c r="M204" s="66"/>
      <c r="N204" s="66"/>
      <c r="O204" s="66"/>
      <c r="P204" s="66"/>
      <c r="Q204" s="66"/>
      <c r="R204" s="66"/>
      <c r="S204" s="105"/>
    </row>
    <row r="205" spans="2:19" x14ac:dyDescent="0.2">
      <c r="B205" s="88"/>
      <c r="C205" s="487" t="s">
        <v>158</v>
      </c>
      <c r="D205" s="488"/>
      <c r="E205" s="489"/>
      <c r="F205" s="313">
        <f>GETPIVOTDATA("Net Dwellings",Pivot!$B$252,"Ward_Name",C205)</f>
        <v>1</v>
      </c>
      <c r="G205" s="314">
        <f>GETPIVOTDATA("Net Dwellings",Pivot!$E$252,"Ward_Name",C205)</f>
        <v>2</v>
      </c>
      <c r="H205" s="313">
        <f>GETPIVOTDATA("Net Dwellings",Pivot!$H$252,"Ward_Name",C205)</f>
        <v>-2</v>
      </c>
      <c r="I205" s="119"/>
      <c r="J205" s="119"/>
      <c r="K205" s="119"/>
      <c r="L205" s="119"/>
      <c r="M205" s="66"/>
      <c r="N205" s="66"/>
      <c r="O205" s="66"/>
      <c r="P205" s="66"/>
      <c r="Q205" s="66"/>
      <c r="R205" s="66"/>
      <c r="S205" s="105"/>
    </row>
    <row r="206" spans="2:19" x14ac:dyDescent="0.2">
      <c r="B206" s="88"/>
      <c r="C206" s="487" t="s">
        <v>140</v>
      </c>
      <c r="D206" s="488"/>
      <c r="E206" s="489"/>
      <c r="F206" s="313">
        <f>GETPIVOTDATA("Net Dwellings",Pivot!$B$252,"Ward_Name",C206)</f>
        <v>12</v>
      </c>
      <c r="G206" s="314">
        <f>GETPIVOTDATA("Net Dwellings",Pivot!$E$252,"Ward_Name",C206)</f>
        <v>3</v>
      </c>
      <c r="H206" s="313">
        <f>GETPIVOTDATA("Net Dwellings",Pivot!$H$252,"Ward_Name",C206)</f>
        <v>7</v>
      </c>
      <c r="I206" s="119"/>
      <c r="J206" s="119"/>
      <c r="K206" s="119"/>
      <c r="L206" s="119"/>
      <c r="M206" s="66"/>
      <c r="N206" s="66"/>
      <c r="O206" s="66"/>
      <c r="P206" s="66"/>
      <c r="Q206" s="66"/>
      <c r="R206" s="66"/>
      <c r="S206" s="105"/>
    </row>
    <row r="207" spans="2:19" x14ac:dyDescent="0.2">
      <c r="B207" s="88"/>
      <c r="C207" s="487" t="s">
        <v>159</v>
      </c>
      <c r="D207" s="488"/>
      <c r="E207" s="489"/>
      <c r="F207" s="313">
        <f>GETPIVOTDATA("Net Dwellings",Pivot!$B$252,"Ward_Name",C207)</f>
        <v>31</v>
      </c>
      <c r="G207" s="314">
        <f>GETPIVOTDATA("Net Dwellings",Pivot!$E$252,"Ward_Name",C207)</f>
        <v>56</v>
      </c>
      <c r="H207" s="313">
        <f>GETPIVOTDATA("Net Dwellings",Pivot!$H$252,"Ward_Name",C207)</f>
        <v>15</v>
      </c>
      <c r="I207" s="119"/>
      <c r="J207" s="119"/>
      <c r="K207" s="119"/>
      <c r="L207" s="119"/>
      <c r="M207" s="66"/>
      <c r="N207" s="66"/>
      <c r="O207" s="66"/>
      <c r="P207" s="66"/>
      <c r="Q207" s="66"/>
      <c r="R207" s="66"/>
      <c r="S207" s="105"/>
    </row>
    <row r="208" spans="2:19" x14ac:dyDescent="0.2">
      <c r="B208" s="88"/>
      <c r="C208" s="487" t="s">
        <v>160</v>
      </c>
      <c r="D208" s="488"/>
      <c r="E208" s="489"/>
      <c r="F208" s="313">
        <f>GETPIVOTDATA("Net Dwellings",Pivot!$B$252,"Ward_Name",C208)</f>
        <v>263</v>
      </c>
      <c r="G208" s="314">
        <f>GETPIVOTDATA("Net Dwellings",Pivot!$E$252,"Ward_Name",C208)</f>
        <v>1</v>
      </c>
      <c r="H208" s="313">
        <f>GETPIVOTDATA("Net Dwellings",Pivot!$H$252,"Ward_Name",C208)</f>
        <v>2</v>
      </c>
      <c r="I208" s="119"/>
      <c r="J208" s="119"/>
      <c r="K208" s="119"/>
      <c r="L208" s="119"/>
      <c r="M208" s="66"/>
      <c r="N208" s="66"/>
      <c r="O208" s="66"/>
      <c r="P208" s="66"/>
      <c r="Q208" s="66"/>
      <c r="R208" s="66"/>
      <c r="S208" s="105"/>
    </row>
    <row r="209" spans="2:19" x14ac:dyDescent="0.2">
      <c r="B209" s="88"/>
      <c r="C209" s="487" t="s">
        <v>161</v>
      </c>
      <c r="D209" s="488"/>
      <c r="E209" s="489"/>
      <c r="F209" s="313">
        <f>GETPIVOTDATA("Net Dwellings",Pivot!$B$252,"Ward_Name",C209)</f>
        <v>11</v>
      </c>
      <c r="G209" s="314">
        <f>GETPIVOTDATA("Net Dwellings",Pivot!$E$252,"Ward_Name",C209)</f>
        <v>10</v>
      </c>
      <c r="H209" s="313">
        <f>GETPIVOTDATA("Net Dwellings",Pivot!$H$252,"Ward_Name",C209)</f>
        <v>4</v>
      </c>
      <c r="I209" s="119"/>
      <c r="J209" s="119"/>
      <c r="K209" s="119"/>
      <c r="L209" s="119"/>
      <c r="M209" s="66"/>
      <c r="N209" s="66"/>
      <c r="O209" s="66"/>
      <c r="P209" s="66"/>
      <c r="Q209" s="66"/>
      <c r="R209" s="66"/>
      <c r="S209" s="105"/>
    </row>
    <row r="210" spans="2:19" x14ac:dyDescent="0.2">
      <c r="B210" s="88"/>
      <c r="C210" s="487" t="s">
        <v>162</v>
      </c>
      <c r="D210" s="488"/>
      <c r="E210" s="489"/>
      <c r="F210" s="313">
        <f>GETPIVOTDATA("Net Dwellings",Pivot!$B$252,"Ward_Name",C210)</f>
        <v>1</v>
      </c>
      <c r="G210" s="314">
        <f>GETPIVOTDATA("Net Dwellings",Pivot!$E$252,"Ward_Name",C210)</f>
        <v>4</v>
      </c>
      <c r="H210" s="313">
        <f>GETPIVOTDATA("Net Dwellings",Pivot!$H$252,"Ward_Name",C210)</f>
        <v>10</v>
      </c>
      <c r="I210" s="119"/>
      <c r="J210" s="119"/>
      <c r="K210" s="119"/>
      <c r="L210" s="119"/>
      <c r="M210" s="66"/>
      <c r="N210" s="66"/>
      <c r="O210" s="66"/>
      <c r="P210" s="66"/>
      <c r="Q210" s="66"/>
      <c r="R210" s="66"/>
      <c r="S210" s="105"/>
    </row>
    <row r="211" spans="2:19" x14ac:dyDescent="0.2">
      <c r="B211" s="88"/>
      <c r="C211" s="487" t="s">
        <v>163</v>
      </c>
      <c r="D211" s="488"/>
      <c r="E211" s="489"/>
      <c r="F211" s="313">
        <f>GETPIVOTDATA("Net Dwellings",Pivot!$B$252,"Ward_Name",C211)</f>
        <v>19</v>
      </c>
      <c r="G211" s="314">
        <f>GETPIVOTDATA("Net Dwellings",Pivot!$E$252,"Ward_Name",C211)</f>
        <v>41</v>
      </c>
      <c r="H211" s="313">
        <f>GETPIVOTDATA("Net Dwellings",Pivot!$H$252,"Ward_Name",C211)</f>
        <v>2</v>
      </c>
      <c r="I211" s="119"/>
      <c r="J211" s="119"/>
      <c r="K211" s="119"/>
      <c r="L211" s="119"/>
      <c r="M211" s="66"/>
      <c r="N211" s="66"/>
      <c r="O211" s="66"/>
      <c r="P211" s="66"/>
      <c r="Q211" s="66"/>
      <c r="R211" s="66"/>
      <c r="S211" s="105"/>
    </row>
    <row r="212" spans="2:19" x14ac:dyDescent="0.2">
      <c r="B212" s="88"/>
      <c r="C212" s="487" t="s">
        <v>164</v>
      </c>
      <c r="D212" s="488"/>
      <c r="E212" s="489"/>
      <c r="F212" s="313">
        <f>GETPIVOTDATA("Net Dwellings",Pivot!$B$252,"Ward_Name",C212)</f>
        <v>5</v>
      </c>
      <c r="G212" s="314">
        <f>GETPIVOTDATA("Net Dwellings",Pivot!$E$252,"Ward_Name",C212)</f>
        <v>5</v>
      </c>
      <c r="H212" s="313">
        <f>GETPIVOTDATA("Net Dwellings",Pivot!$H$252,"Ward_Name",C212)</f>
        <v>16</v>
      </c>
      <c r="I212" s="119"/>
      <c r="J212" s="119"/>
      <c r="K212" s="119"/>
      <c r="L212" s="119"/>
      <c r="M212" s="66"/>
      <c r="N212" s="66"/>
      <c r="O212" s="66"/>
      <c r="P212" s="66"/>
      <c r="Q212" s="66"/>
      <c r="R212" s="66"/>
      <c r="S212" s="105"/>
    </row>
    <row r="213" spans="2:19" x14ac:dyDescent="0.2">
      <c r="B213" s="88"/>
      <c r="C213" s="487" t="s">
        <v>165</v>
      </c>
      <c r="D213" s="488"/>
      <c r="E213" s="489"/>
      <c r="F213" s="313">
        <f>GETPIVOTDATA("Net Dwellings",Pivot!$B$252,"Ward_Name",C213)</f>
        <v>4</v>
      </c>
      <c r="G213" s="314">
        <f>GETPIVOTDATA("Net Dwellings",Pivot!$E$252,"Ward_Name",C213)</f>
        <v>88</v>
      </c>
      <c r="H213" s="313">
        <f>GETPIVOTDATA("Net Dwellings",Pivot!$H$252,"Ward_Name",C213)</f>
        <v>4</v>
      </c>
      <c r="I213" s="119"/>
      <c r="J213" s="119"/>
      <c r="K213" s="119"/>
      <c r="L213" s="119"/>
      <c r="M213" s="66"/>
      <c r="N213" s="66"/>
      <c r="O213" s="66"/>
      <c r="P213" s="66"/>
      <c r="Q213" s="66"/>
      <c r="R213" s="66"/>
      <c r="S213" s="105"/>
    </row>
    <row r="214" spans="2:19" x14ac:dyDescent="0.2">
      <c r="B214" s="88"/>
      <c r="C214" s="487" t="s">
        <v>166</v>
      </c>
      <c r="D214" s="488"/>
      <c r="E214" s="489"/>
      <c r="F214" s="313">
        <f>GETPIVOTDATA("Net Dwellings",Pivot!$B$252,"Ward_Name",C214)</f>
        <v>9</v>
      </c>
      <c r="G214" s="314">
        <f>GETPIVOTDATA("Net Dwellings",Pivot!$E$252,"Ward_Name",C214)</f>
        <v>18</v>
      </c>
      <c r="H214" s="313">
        <f>GETPIVOTDATA("Net Dwellings",Pivot!$H$252,"Ward_Name",C214)</f>
        <v>1</v>
      </c>
      <c r="I214" s="119"/>
      <c r="J214" s="119"/>
      <c r="K214" s="119"/>
      <c r="L214" s="119"/>
      <c r="M214" s="66"/>
      <c r="N214" s="66"/>
      <c r="O214" s="66"/>
      <c r="P214" s="66"/>
      <c r="Q214" s="66"/>
      <c r="R214" s="66"/>
      <c r="S214" s="105"/>
    </row>
    <row r="215" spans="2:19" x14ac:dyDescent="0.2">
      <c r="B215" s="88"/>
      <c r="C215" s="487" t="s">
        <v>167</v>
      </c>
      <c r="D215" s="488"/>
      <c r="E215" s="489"/>
      <c r="F215" s="313">
        <f>GETPIVOTDATA("Net Dwellings",Pivot!$B$252,"Ward_Name",C215)</f>
        <v>1</v>
      </c>
      <c r="G215" s="314">
        <f>GETPIVOTDATA("Net Dwellings",Pivot!$E$252,"Ward_Name",C215)</f>
        <v>97</v>
      </c>
      <c r="H215" s="313">
        <f>GETPIVOTDATA("Net Dwellings",Pivot!$H$252,"Ward_Name",C215)</f>
        <v>11</v>
      </c>
      <c r="I215" s="119"/>
      <c r="J215" s="119"/>
      <c r="K215" s="119"/>
      <c r="L215" s="119"/>
      <c r="M215" s="66"/>
      <c r="N215" s="66"/>
      <c r="O215" s="66"/>
      <c r="P215" s="66"/>
      <c r="Q215" s="66"/>
      <c r="R215" s="66"/>
      <c r="S215" s="105"/>
    </row>
    <row r="216" spans="2:19" x14ac:dyDescent="0.2">
      <c r="B216" s="88"/>
      <c r="C216" s="487" t="s">
        <v>168</v>
      </c>
      <c r="D216" s="488"/>
      <c r="E216" s="489"/>
      <c r="F216" s="313">
        <f>GETPIVOTDATA("Net Dwellings",Pivot!$B$252,"Ward_Name",C216)</f>
        <v>24</v>
      </c>
      <c r="G216" s="314">
        <f>GETPIVOTDATA("Net Dwellings",Pivot!$E$252,"Ward_Name",C216)</f>
        <v>32</v>
      </c>
      <c r="H216" s="313">
        <f>GETPIVOTDATA("Net Dwellings",Pivot!$H$252,"Ward_Name",C216)</f>
        <v>9</v>
      </c>
      <c r="I216" s="119"/>
      <c r="J216" s="119"/>
      <c r="K216" s="119"/>
      <c r="L216" s="119"/>
      <c r="M216" s="66"/>
      <c r="N216" s="66"/>
      <c r="O216" s="66"/>
      <c r="P216" s="66"/>
      <c r="Q216" s="66"/>
      <c r="R216" s="66"/>
      <c r="S216" s="105"/>
    </row>
    <row r="217" spans="2:19" x14ac:dyDescent="0.2">
      <c r="B217" s="88"/>
      <c r="C217" s="487" t="s">
        <v>169</v>
      </c>
      <c r="D217" s="488"/>
      <c r="E217" s="489"/>
      <c r="F217" s="313">
        <f>GETPIVOTDATA("Net Dwellings",Pivot!$B$252,"Ward_Name",C217)</f>
        <v>19</v>
      </c>
      <c r="G217" s="314">
        <f>GETPIVOTDATA("Net Dwellings",Pivot!$E$252,"Ward_Name",C217)</f>
        <v>26</v>
      </c>
      <c r="H217" s="313">
        <f>GETPIVOTDATA("Net Dwellings",Pivot!$H$252,"Ward_Name",C217)</f>
        <v>2</v>
      </c>
      <c r="I217" s="119"/>
      <c r="J217" s="119"/>
      <c r="K217" s="119"/>
      <c r="L217" s="119"/>
      <c r="M217" s="66"/>
      <c r="N217" s="66"/>
      <c r="O217" s="66"/>
      <c r="P217" s="66"/>
      <c r="Q217" s="66"/>
      <c r="R217" s="66"/>
      <c r="S217" s="105"/>
    </row>
    <row r="218" spans="2:19" x14ac:dyDescent="0.2">
      <c r="B218" s="88"/>
      <c r="C218" s="487" t="s">
        <v>170</v>
      </c>
      <c r="D218" s="488"/>
      <c r="E218" s="489"/>
      <c r="F218" s="313">
        <f>GETPIVOTDATA("Net Dwellings",Pivot!$B$252,"Ward_Name",C218)</f>
        <v>9</v>
      </c>
      <c r="G218" s="314">
        <f>GETPIVOTDATA("Net Dwellings",Pivot!$E$252,"Ward_Name",C218)</f>
        <v>213</v>
      </c>
      <c r="H218" s="313">
        <f>GETPIVOTDATA("Net Dwellings",Pivot!$H$252,"Ward_Name",C218)</f>
        <v>19</v>
      </c>
      <c r="I218" s="119"/>
      <c r="J218" s="119"/>
      <c r="K218" s="119"/>
      <c r="L218" s="119"/>
      <c r="M218" s="66"/>
      <c r="N218" s="66"/>
      <c r="O218" s="66"/>
      <c r="P218" s="66"/>
      <c r="Q218" s="66"/>
      <c r="R218" s="66"/>
      <c r="S218" s="105"/>
    </row>
    <row r="219" spans="2:19" x14ac:dyDescent="0.2">
      <c r="B219" s="88"/>
      <c r="C219" s="487" t="s">
        <v>143</v>
      </c>
      <c r="D219" s="488"/>
      <c r="E219" s="489"/>
      <c r="F219" s="313">
        <f>GETPIVOTDATA("Net Dwellings",Pivot!$B$252,"Ward_Name",C219)</f>
        <v>39</v>
      </c>
      <c r="G219" s="314">
        <f>GETPIVOTDATA("Net Dwellings",Pivot!$E$252,"Ward_Name",C219)</f>
        <v>13</v>
      </c>
      <c r="H219" s="313">
        <f>GETPIVOTDATA("Net Dwellings",Pivot!$H$252,"Ward_Name",C219)</f>
        <v>1</v>
      </c>
      <c r="I219" s="119"/>
      <c r="J219" s="119"/>
      <c r="K219" s="119"/>
      <c r="L219" s="119"/>
      <c r="M219" s="66"/>
      <c r="N219" s="66"/>
      <c r="O219" s="66"/>
      <c r="P219" s="66"/>
      <c r="Q219" s="66"/>
      <c r="R219" s="66"/>
      <c r="S219" s="105"/>
    </row>
    <row r="220" spans="2:19" x14ac:dyDescent="0.2">
      <c r="B220" s="88"/>
      <c r="C220" s="487" t="s">
        <v>171</v>
      </c>
      <c r="D220" s="488"/>
      <c r="E220" s="489"/>
      <c r="F220" s="313">
        <f>GETPIVOTDATA("Net Dwellings",Pivot!$B$252,"Ward_Name",C220)</f>
        <v>61</v>
      </c>
      <c r="G220" s="314">
        <f>GETPIVOTDATA("Net Dwellings",Pivot!$E$252,"Ward_Name",C220)</f>
        <v>58</v>
      </c>
      <c r="H220" s="313">
        <f>GETPIVOTDATA("Net Dwellings",Pivot!$H$252,"Ward_Name",C220)</f>
        <v>5</v>
      </c>
      <c r="I220" s="119"/>
      <c r="J220" s="119"/>
      <c r="K220" s="119"/>
      <c r="L220" s="119"/>
      <c r="M220" s="66"/>
      <c r="N220" s="66"/>
      <c r="O220" s="66"/>
      <c r="P220" s="66"/>
      <c r="Q220" s="66"/>
      <c r="R220" s="66"/>
      <c r="S220" s="105"/>
    </row>
    <row r="221" spans="2:19" x14ac:dyDescent="0.2">
      <c r="B221" s="88"/>
      <c r="C221" s="487" t="s">
        <v>172</v>
      </c>
      <c r="D221" s="488"/>
      <c r="E221" s="489"/>
      <c r="F221" s="313">
        <f>GETPIVOTDATA("Net Dwellings",Pivot!$B$252,"Ward_Name",C221)</f>
        <v>-2</v>
      </c>
      <c r="G221" s="314">
        <f>GETPIVOTDATA("Net Dwellings",Pivot!$E$252,"Ward_Name",C221)</f>
        <v>2</v>
      </c>
      <c r="H221" s="313">
        <v>0</v>
      </c>
      <c r="I221" s="119"/>
      <c r="J221" s="119"/>
      <c r="K221" s="119"/>
      <c r="L221" s="119"/>
      <c r="M221" s="66"/>
      <c r="N221" s="66"/>
      <c r="O221" s="66"/>
      <c r="P221" s="66"/>
      <c r="Q221" s="66"/>
      <c r="R221" s="66"/>
      <c r="S221" s="105"/>
    </row>
    <row r="222" spans="2:19" x14ac:dyDescent="0.2">
      <c r="B222" s="88"/>
      <c r="C222" s="487" t="s">
        <v>147</v>
      </c>
      <c r="D222" s="488"/>
      <c r="E222" s="489"/>
      <c r="F222" s="313">
        <f>GETPIVOTDATA("Net Dwellings",Pivot!$B$252,"Ward_Name",C222)</f>
        <v>4</v>
      </c>
      <c r="G222" s="314">
        <f>GETPIVOTDATA("Net Dwellings",Pivot!$E$252,"Ward_Name",C222)</f>
        <v>15</v>
      </c>
      <c r="H222" s="313">
        <f>GETPIVOTDATA("Net Dwellings",Pivot!$H$252,"Ward_Name",C222)</f>
        <v>-6</v>
      </c>
      <c r="I222" s="119"/>
      <c r="J222" s="119"/>
      <c r="K222" s="119"/>
      <c r="L222" s="119"/>
      <c r="M222" s="66"/>
      <c r="N222" s="66"/>
      <c r="O222" s="66"/>
      <c r="P222" s="66"/>
      <c r="Q222" s="66"/>
      <c r="R222" s="66"/>
      <c r="S222" s="105"/>
    </row>
    <row r="223" spans="2:19" x14ac:dyDescent="0.2">
      <c r="B223" s="88"/>
      <c r="C223" s="493" t="s">
        <v>6</v>
      </c>
      <c r="D223" s="494"/>
      <c r="E223" s="494"/>
      <c r="F223" s="315">
        <f>SUM(F205:F222)</f>
        <v>511</v>
      </c>
      <c r="G223" s="315">
        <f>SUM(G205:G222)</f>
        <v>684</v>
      </c>
      <c r="H223" s="316">
        <f>SUM(H205:H222)</f>
        <v>100</v>
      </c>
      <c r="I223" s="119"/>
      <c r="J223" s="119"/>
      <c r="K223" s="119"/>
      <c r="L223" s="119"/>
      <c r="M223" s="66"/>
      <c r="N223" s="66"/>
      <c r="O223" s="66"/>
      <c r="P223" s="66"/>
      <c r="Q223" s="66"/>
      <c r="R223" s="66"/>
      <c r="S223" s="105"/>
    </row>
    <row r="224" spans="2:19" x14ac:dyDescent="0.2">
      <c r="B224" s="60"/>
      <c r="C224" s="120"/>
      <c r="D224" s="120"/>
      <c r="E224" s="120"/>
      <c r="F224" s="107"/>
      <c r="G224" s="107"/>
      <c r="H224" s="118"/>
      <c r="I224" s="119"/>
      <c r="J224" s="119"/>
      <c r="K224" s="119"/>
      <c r="L224" s="119"/>
      <c r="M224" s="66"/>
      <c r="N224" s="66"/>
      <c r="O224" s="66"/>
      <c r="P224" s="66"/>
      <c r="Q224" s="66"/>
      <c r="R224" s="66"/>
      <c r="S224" s="105"/>
    </row>
    <row r="225" spans="2:19" x14ac:dyDescent="0.2">
      <c r="B225" s="60"/>
      <c r="C225" s="120"/>
      <c r="D225" s="120"/>
      <c r="E225" s="120"/>
      <c r="F225" s="107"/>
      <c r="G225" s="107"/>
      <c r="H225" s="118"/>
      <c r="I225" s="119"/>
      <c r="J225" s="119"/>
      <c r="K225" s="119"/>
      <c r="L225" s="119"/>
      <c r="M225" s="66"/>
      <c r="N225" s="66"/>
      <c r="O225" s="66"/>
      <c r="P225" s="66"/>
      <c r="Q225" s="66"/>
      <c r="R225" s="66"/>
      <c r="S225" s="105"/>
    </row>
    <row r="226" spans="2:19" x14ac:dyDescent="0.2">
      <c r="B226" s="96"/>
      <c r="C226" s="121"/>
      <c r="D226" s="121"/>
      <c r="E226" s="121"/>
      <c r="F226" s="122"/>
      <c r="G226" s="122"/>
      <c r="H226" s="123"/>
      <c r="I226" s="124"/>
      <c r="J226" s="124"/>
      <c r="K226" s="124"/>
      <c r="L226" s="124"/>
      <c r="M226" s="68"/>
      <c r="N226" s="68"/>
      <c r="O226" s="68"/>
      <c r="P226" s="68"/>
      <c r="Q226" s="68"/>
      <c r="R226" s="68"/>
      <c r="S226" s="109"/>
    </row>
    <row r="227" spans="2:19" x14ac:dyDescent="0.2">
      <c r="B227" s="100"/>
      <c r="C227" s="125"/>
      <c r="D227" s="126"/>
      <c r="E227" s="127"/>
      <c r="F227" s="127"/>
      <c r="G227" s="127"/>
      <c r="H227" s="127"/>
      <c r="I227" s="127"/>
      <c r="J227" s="127"/>
      <c r="K227" s="127"/>
      <c r="L227" s="127"/>
      <c r="M227" s="127"/>
      <c r="N227" s="58"/>
      <c r="O227" s="58"/>
      <c r="P227" s="58"/>
      <c r="Q227" s="58"/>
      <c r="R227" s="56"/>
      <c r="S227" s="110"/>
    </row>
    <row r="228" spans="2:19" x14ac:dyDescent="0.2">
      <c r="B228" s="60"/>
      <c r="C228" s="120"/>
      <c r="D228" s="66"/>
      <c r="E228" s="111"/>
      <c r="F228" s="119"/>
      <c r="G228" s="119"/>
      <c r="H228" s="119"/>
      <c r="I228" s="119"/>
      <c r="J228" s="119"/>
      <c r="K228" s="119"/>
      <c r="L228" s="66"/>
      <c r="M228" s="66"/>
      <c r="N228" s="66"/>
      <c r="O228" s="66"/>
      <c r="P228" s="66"/>
      <c r="Q228" s="66"/>
      <c r="S228" s="105"/>
    </row>
    <row r="229" spans="2:19" x14ac:dyDescent="0.2">
      <c r="B229" s="60"/>
      <c r="C229" s="136" t="s">
        <v>173</v>
      </c>
      <c r="D229" s="136" t="s">
        <v>174</v>
      </c>
      <c r="E229" s="148"/>
      <c r="F229" s="177"/>
      <c r="G229" s="177"/>
      <c r="H229" s="177"/>
      <c r="I229" s="119"/>
      <c r="J229" s="119"/>
      <c r="K229" s="119"/>
      <c r="L229" s="66"/>
      <c r="M229" s="66"/>
      <c r="N229" s="66"/>
      <c r="O229" s="66"/>
      <c r="P229" s="66"/>
      <c r="Q229" s="66"/>
      <c r="S229" s="105"/>
    </row>
    <row r="230" spans="2:19" x14ac:dyDescent="0.2">
      <c r="B230" s="88"/>
      <c r="C230" s="407" t="s">
        <v>155</v>
      </c>
      <c r="D230" s="408"/>
      <c r="E230" s="408"/>
      <c r="F230" s="175" t="s">
        <v>175</v>
      </c>
      <c r="G230" s="175" t="s">
        <v>176</v>
      </c>
      <c r="H230" s="175" t="s">
        <v>177</v>
      </c>
      <c r="I230" s="119"/>
      <c r="J230" s="119"/>
      <c r="K230" s="119"/>
      <c r="L230" s="66"/>
      <c r="M230" s="66"/>
      <c r="N230" s="66"/>
      <c r="O230" s="66"/>
      <c r="P230" s="66"/>
      <c r="Q230" s="66"/>
      <c r="S230" s="105"/>
    </row>
    <row r="231" spans="2:19" x14ac:dyDescent="0.2">
      <c r="B231" s="88"/>
      <c r="C231" s="489" t="s">
        <v>158</v>
      </c>
      <c r="D231" s="492"/>
      <c r="E231" s="492"/>
      <c r="F231" s="314">
        <f>GETPIVOTDATA("Sum of Units Proposed",Pivot!$B$280,"Ward_Name",C231)</f>
        <v>3</v>
      </c>
      <c r="G231" s="313">
        <f>GETPIVOTDATA("Sum of Units Existing",Pivot!$B$280,"Ward_Name",C231)</f>
        <v>5</v>
      </c>
      <c r="H231" s="313">
        <f>GETPIVOTDATA("Sum of Net Dwellings",Pivot!$B$280,"Ward_Name",C231)</f>
        <v>-2</v>
      </c>
      <c r="I231" s="119"/>
      <c r="J231" s="119"/>
      <c r="K231" s="119"/>
      <c r="L231" s="66"/>
      <c r="M231" s="66"/>
      <c r="N231" s="66"/>
      <c r="O231" s="66"/>
      <c r="P231" s="66"/>
      <c r="Q231" s="66"/>
      <c r="S231" s="105"/>
    </row>
    <row r="232" spans="2:19" x14ac:dyDescent="0.2">
      <c r="B232" s="88"/>
      <c r="C232" s="489" t="s">
        <v>140</v>
      </c>
      <c r="D232" s="492"/>
      <c r="E232" s="492"/>
      <c r="F232" s="314">
        <f>GETPIVOTDATA("Sum of Units Proposed",Pivot!$B$280,"Ward_Name",C232)</f>
        <v>14</v>
      </c>
      <c r="G232" s="313">
        <f>GETPIVOTDATA("Sum of Units Existing",Pivot!$B$280,"Ward_Name",C232)</f>
        <v>7</v>
      </c>
      <c r="H232" s="313">
        <f>GETPIVOTDATA("Sum of Net Dwellings",Pivot!$B$280,"Ward_Name",C232)</f>
        <v>7</v>
      </c>
      <c r="I232" s="119"/>
      <c r="J232" s="119"/>
      <c r="K232" s="119"/>
      <c r="L232" s="66"/>
      <c r="M232" s="66"/>
      <c r="N232" s="66"/>
      <c r="O232" s="66"/>
      <c r="P232" s="66"/>
      <c r="Q232" s="66"/>
      <c r="S232" s="105"/>
    </row>
    <row r="233" spans="2:19" x14ac:dyDescent="0.2">
      <c r="B233" s="88"/>
      <c r="C233" s="489" t="s">
        <v>159</v>
      </c>
      <c r="D233" s="492"/>
      <c r="E233" s="492"/>
      <c r="F233" s="314">
        <f>GETPIVOTDATA("Sum of Units Proposed",Pivot!$B$280,"Ward_Name",C233)</f>
        <v>16</v>
      </c>
      <c r="G233" s="313">
        <f>GETPIVOTDATA("Sum of Units Existing",Pivot!$B$280,"Ward_Name",C233)</f>
        <v>1</v>
      </c>
      <c r="H233" s="313">
        <f>GETPIVOTDATA("Sum of Net Dwellings",Pivot!$B$280,"Ward_Name",C233)</f>
        <v>15</v>
      </c>
      <c r="I233" s="119"/>
      <c r="J233" s="119"/>
      <c r="K233" s="119"/>
      <c r="L233" s="66"/>
      <c r="M233" s="66"/>
      <c r="N233" s="66"/>
      <c r="O233" s="66"/>
      <c r="P233" s="66"/>
      <c r="Q233" s="66"/>
      <c r="S233" s="105"/>
    </row>
    <row r="234" spans="2:19" x14ac:dyDescent="0.2">
      <c r="B234" s="88"/>
      <c r="C234" s="488" t="s">
        <v>160</v>
      </c>
      <c r="D234" s="488"/>
      <c r="E234" s="489"/>
      <c r="F234" s="314">
        <f>GETPIVOTDATA("Sum of Units Proposed",Pivot!$B$280,"Ward_Name",C234)</f>
        <v>2</v>
      </c>
      <c r="G234" s="313">
        <f>GETPIVOTDATA("Sum of Units Existing",Pivot!$B$280,"Ward_Name",C234)</f>
        <v>0</v>
      </c>
      <c r="H234" s="313">
        <f>GETPIVOTDATA("Sum of Net Dwellings",Pivot!$B$280,"Ward_Name",C234)</f>
        <v>2</v>
      </c>
      <c r="I234" s="119"/>
      <c r="J234" s="119"/>
      <c r="K234" s="119"/>
      <c r="L234" s="66"/>
      <c r="M234" s="66"/>
      <c r="N234" s="66"/>
      <c r="O234" s="66"/>
      <c r="P234" s="66"/>
      <c r="Q234" s="66"/>
      <c r="S234" s="105"/>
    </row>
    <row r="235" spans="2:19" x14ac:dyDescent="0.2">
      <c r="B235" s="88"/>
      <c r="C235" s="489" t="s">
        <v>161</v>
      </c>
      <c r="D235" s="492"/>
      <c r="E235" s="492"/>
      <c r="F235" s="314">
        <f>GETPIVOTDATA("Sum of Units Proposed",Pivot!$B$280,"Ward_Name",C235)</f>
        <v>6</v>
      </c>
      <c r="G235" s="313">
        <f>GETPIVOTDATA("Sum of Units Existing",Pivot!$B$280,"Ward_Name",C235)</f>
        <v>2</v>
      </c>
      <c r="H235" s="313">
        <f>GETPIVOTDATA("Sum of Net Dwellings",Pivot!$B$280,"Ward_Name",C235)</f>
        <v>4</v>
      </c>
      <c r="I235" s="119"/>
      <c r="J235" s="119"/>
      <c r="K235" s="119"/>
      <c r="L235" s="66"/>
      <c r="M235" s="66"/>
      <c r="N235" s="66"/>
      <c r="O235" s="66"/>
      <c r="P235" s="66"/>
      <c r="Q235" s="66"/>
      <c r="S235" s="105"/>
    </row>
    <row r="236" spans="2:19" x14ac:dyDescent="0.2">
      <c r="B236" s="88"/>
      <c r="C236" s="489" t="s">
        <v>162</v>
      </c>
      <c r="D236" s="492"/>
      <c r="E236" s="492"/>
      <c r="F236" s="314">
        <f>GETPIVOTDATA("Sum of Units Proposed",Pivot!$B$280,"Ward_Name",C236)</f>
        <v>12</v>
      </c>
      <c r="G236" s="313">
        <f>GETPIVOTDATA("Sum of Units Existing",Pivot!$B$280,"Ward_Name",C236)</f>
        <v>2</v>
      </c>
      <c r="H236" s="313">
        <f>GETPIVOTDATA("Sum of Net Dwellings",Pivot!$B$280,"Ward_Name",C236)</f>
        <v>10</v>
      </c>
      <c r="I236" s="119"/>
      <c r="J236" s="119"/>
      <c r="K236" s="119"/>
      <c r="L236" s="66"/>
      <c r="M236" s="66"/>
      <c r="N236" s="66"/>
      <c r="O236" s="66"/>
      <c r="P236" s="66"/>
      <c r="Q236" s="66"/>
      <c r="S236" s="105"/>
    </row>
    <row r="237" spans="2:19" x14ac:dyDescent="0.2">
      <c r="B237" s="88"/>
      <c r="C237" s="489" t="s">
        <v>163</v>
      </c>
      <c r="D237" s="492"/>
      <c r="E237" s="492"/>
      <c r="F237" s="314">
        <f>GETPIVOTDATA("Sum of Units Proposed",Pivot!$B$280,"Ward_Name",C237)</f>
        <v>3</v>
      </c>
      <c r="G237" s="313">
        <f>GETPIVOTDATA("Sum of Units Existing",Pivot!$B$280,"Ward_Name",C237)</f>
        <v>1</v>
      </c>
      <c r="H237" s="313">
        <f>GETPIVOTDATA("Sum of Net Dwellings",Pivot!$B$280,"Ward_Name",C237)</f>
        <v>2</v>
      </c>
      <c r="I237" s="119"/>
      <c r="J237" s="119"/>
      <c r="K237" s="119"/>
      <c r="L237" s="66"/>
      <c r="M237" s="66"/>
      <c r="N237" s="66"/>
      <c r="O237" s="66"/>
      <c r="P237" s="66"/>
      <c r="Q237" s="66"/>
      <c r="S237" s="105"/>
    </row>
    <row r="238" spans="2:19" x14ac:dyDescent="0.2">
      <c r="B238" s="88"/>
      <c r="C238" s="489" t="s">
        <v>164</v>
      </c>
      <c r="D238" s="492"/>
      <c r="E238" s="492"/>
      <c r="F238" s="314">
        <f>GETPIVOTDATA("Sum of Units Proposed",Pivot!$B$280,"Ward_Name",C238)</f>
        <v>17</v>
      </c>
      <c r="G238" s="313">
        <f>GETPIVOTDATA("Sum of Units Existing",Pivot!$B$280,"Ward_Name",C238)</f>
        <v>1</v>
      </c>
      <c r="H238" s="313">
        <f>GETPIVOTDATA("Sum of Net Dwellings",Pivot!$B$280,"Ward_Name",C238)</f>
        <v>16</v>
      </c>
      <c r="I238" s="119"/>
      <c r="J238" s="119"/>
      <c r="K238" s="119"/>
      <c r="L238" s="66"/>
      <c r="M238" s="66"/>
      <c r="N238" s="66"/>
      <c r="O238" s="66"/>
      <c r="P238" s="66"/>
      <c r="Q238" s="66"/>
      <c r="S238" s="105"/>
    </row>
    <row r="239" spans="2:19" x14ac:dyDescent="0.2">
      <c r="B239" s="88"/>
      <c r="C239" s="489" t="s">
        <v>165</v>
      </c>
      <c r="D239" s="492"/>
      <c r="E239" s="492"/>
      <c r="F239" s="314">
        <f>GETPIVOTDATA("Sum of Units Proposed",Pivot!$B$280,"Ward_Name",C239)</f>
        <v>5</v>
      </c>
      <c r="G239" s="313">
        <f>GETPIVOTDATA("Sum of Units Existing",Pivot!$B$280,"Ward_Name",C239)</f>
        <v>1</v>
      </c>
      <c r="H239" s="313">
        <f>GETPIVOTDATA("Sum of Net Dwellings",Pivot!$B$280,"Ward_Name",C239)</f>
        <v>4</v>
      </c>
      <c r="I239" s="119"/>
      <c r="J239" s="119"/>
      <c r="K239" s="119"/>
      <c r="L239" s="66"/>
      <c r="M239" s="66"/>
      <c r="N239" s="66"/>
      <c r="O239" s="66"/>
      <c r="P239" s="66"/>
      <c r="Q239" s="66"/>
      <c r="S239" s="105"/>
    </row>
    <row r="240" spans="2:19" x14ac:dyDescent="0.2">
      <c r="B240" s="88"/>
      <c r="C240" s="489" t="s">
        <v>166</v>
      </c>
      <c r="D240" s="492"/>
      <c r="E240" s="492"/>
      <c r="F240" s="314">
        <f>GETPIVOTDATA("Sum of Units Proposed",Pivot!$B$280,"Ward_Name",C240)</f>
        <v>2</v>
      </c>
      <c r="G240" s="313">
        <f>GETPIVOTDATA("Sum of Units Existing",Pivot!$B$280,"Ward_Name",C240)</f>
        <v>1</v>
      </c>
      <c r="H240" s="313">
        <f>GETPIVOTDATA("Sum of Net Dwellings",Pivot!$B$280,"Ward_Name",C240)</f>
        <v>1</v>
      </c>
      <c r="I240" s="119"/>
      <c r="J240" s="119"/>
      <c r="K240" s="119"/>
      <c r="L240" s="66"/>
      <c r="M240" s="66"/>
      <c r="N240" s="66"/>
      <c r="O240" s="66"/>
      <c r="P240" s="66"/>
      <c r="Q240" s="66"/>
      <c r="S240" s="105"/>
    </row>
    <row r="241" spans="2:19" x14ac:dyDescent="0.2">
      <c r="B241" s="88"/>
      <c r="C241" s="489" t="s">
        <v>167</v>
      </c>
      <c r="D241" s="492"/>
      <c r="E241" s="492"/>
      <c r="F241" s="314">
        <f>GETPIVOTDATA("Sum of Units Proposed",Pivot!$B$280,"Ward_Name",C241)</f>
        <v>15</v>
      </c>
      <c r="G241" s="313">
        <f>GETPIVOTDATA("Sum of Units Existing",Pivot!$B$280,"Ward_Name",C241)</f>
        <v>4</v>
      </c>
      <c r="H241" s="313">
        <f>GETPIVOTDATA("Sum of Net Dwellings",Pivot!$B$280,"Ward_Name",C241)</f>
        <v>11</v>
      </c>
      <c r="I241" s="119"/>
      <c r="J241" s="119"/>
      <c r="K241" s="119"/>
      <c r="L241" s="66"/>
      <c r="M241" s="66"/>
      <c r="N241" s="66"/>
      <c r="O241" s="66"/>
      <c r="P241" s="66"/>
      <c r="Q241" s="66"/>
      <c r="S241" s="105"/>
    </row>
    <row r="242" spans="2:19" x14ac:dyDescent="0.2">
      <c r="B242" s="88"/>
      <c r="C242" s="489" t="s">
        <v>168</v>
      </c>
      <c r="D242" s="492"/>
      <c r="E242" s="492"/>
      <c r="F242" s="314">
        <f>GETPIVOTDATA("Sum of Units Proposed",Pivot!$B$280,"Ward_Name",C242)</f>
        <v>12</v>
      </c>
      <c r="G242" s="313">
        <f>GETPIVOTDATA("Sum of Units Existing",Pivot!$B$280,"Ward_Name",C242)</f>
        <v>3</v>
      </c>
      <c r="H242" s="313">
        <f>GETPIVOTDATA("Sum of Net Dwellings",Pivot!$B$280,"Ward_Name",C242)</f>
        <v>9</v>
      </c>
      <c r="I242" s="119"/>
      <c r="J242" s="119"/>
      <c r="K242" s="119"/>
      <c r="L242" s="66"/>
      <c r="M242" s="66"/>
      <c r="N242" s="66"/>
      <c r="O242" s="66"/>
      <c r="P242" s="66"/>
      <c r="Q242" s="66"/>
      <c r="S242" s="105"/>
    </row>
    <row r="243" spans="2:19" x14ac:dyDescent="0.2">
      <c r="B243" s="88"/>
      <c r="C243" s="489" t="s">
        <v>169</v>
      </c>
      <c r="D243" s="492"/>
      <c r="E243" s="492"/>
      <c r="F243" s="314">
        <f>GETPIVOTDATA("Sum of Units Proposed",Pivot!$B$280,"Ward_Name",C243)</f>
        <v>4</v>
      </c>
      <c r="G243" s="313">
        <f>GETPIVOTDATA("Sum of Units Existing",Pivot!$B$280,"Ward_Name",C243)</f>
        <v>2</v>
      </c>
      <c r="H243" s="313">
        <f>GETPIVOTDATA("Sum of Net Dwellings",Pivot!$B$280,"Ward_Name",C243)</f>
        <v>2</v>
      </c>
      <c r="I243" s="119"/>
      <c r="J243" s="119"/>
      <c r="K243" s="119"/>
      <c r="L243" s="66"/>
      <c r="M243" s="66"/>
      <c r="N243" s="66"/>
      <c r="O243" s="66"/>
      <c r="P243" s="66"/>
      <c r="Q243" s="66"/>
      <c r="S243" s="105"/>
    </row>
    <row r="244" spans="2:19" x14ac:dyDescent="0.2">
      <c r="B244" s="88"/>
      <c r="C244" s="489" t="s">
        <v>170</v>
      </c>
      <c r="D244" s="492"/>
      <c r="E244" s="492"/>
      <c r="F244" s="314">
        <f>GETPIVOTDATA("Sum of Units Proposed",Pivot!$B$280,"Ward_Name",C244)</f>
        <v>22</v>
      </c>
      <c r="G244" s="313">
        <f>GETPIVOTDATA("Sum of Units Existing",Pivot!$B$280,"Ward_Name",C244)</f>
        <v>3</v>
      </c>
      <c r="H244" s="313">
        <f>GETPIVOTDATA("Sum of Net Dwellings",Pivot!$B$280,"Ward_Name",C244)</f>
        <v>19</v>
      </c>
      <c r="I244" s="119"/>
      <c r="J244" s="119"/>
      <c r="K244" s="119"/>
      <c r="L244" s="66"/>
      <c r="M244" s="66"/>
      <c r="N244" s="66"/>
      <c r="O244" s="66"/>
      <c r="P244" s="66"/>
      <c r="Q244" s="66"/>
      <c r="S244" s="105"/>
    </row>
    <row r="245" spans="2:19" x14ac:dyDescent="0.2">
      <c r="B245" s="88"/>
      <c r="C245" s="489" t="s">
        <v>143</v>
      </c>
      <c r="D245" s="492"/>
      <c r="E245" s="492"/>
      <c r="F245" s="314">
        <f>GETPIVOTDATA("Sum of Units Proposed",Pivot!$B$280,"Ward_Name",C245)</f>
        <v>4</v>
      </c>
      <c r="G245" s="313">
        <f>GETPIVOTDATA("Sum of Units Existing",Pivot!$B$280,"Ward_Name",C245)</f>
        <v>3</v>
      </c>
      <c r="H245" s="313">
        <f>GETPIVOTDATA("Sum of Net Dwellings",Pivot!$B$280,"Ward_Name",C245)</f>
        <v>1</v>
      </c>
      <c r="I245" s="119"/>
      <c r="J245" s="119"/>
      <c r="K245" s="119"/>
      <c r="L245" s="66"/>
      <c r="M245" s="66"/>
      <c r="N245" s="66"/>
      <c r="O245" s="66"/>
      <c r="P245" s="66"/>
      <c r="Q245" s="66"/>
      <c r="S245" s="105"/>
    </row>
    <row r="246" spans="2:19" x14ac:dyDescent="0.2">
      <c r="B246" s="88"/>
      <c r="C246" s="489" t="s">
        <v>171</v>
      </c>
      <c r="D246" s="492"/>
      <c r="E246" s="492"/>
      <c r="F246" s="314">
        <f>GETPIVOTDATA("Sum of Units Proposed",Pivot!$B$280,"Ward_Name",C246)</f>
        <v>8</v>
      </c>
      <c r="G246" s="313">
        <f>GETPIVOTDATA("Sum of Units Existing",Pivot!$B$280,"Ward_Name",C246)</f>
        <v>3</v>
      </c>
      <c r="H246" s="313">
        <f>GETPIVOTDATA("Sum of Net Dwellings",Pivot!$B$280,"Ward_Name",C246)</f>
        <v>5</v>
      </c>
      <c r="I246" s="119"/>
      <c r="J246" s="119"/>
      <c r="K246" s="119"/>
      <c r="L246" s="66"/>
      <c r="M246" s="66"/>
      <c r="N246" s="66"/>
      <c r="O246" s="66"/>
      <c r="P246" s="66"/>
      <c r="Q246" s="66"/>
      <c r="S246" s="105"/>
    </row>
    <row r="247" spans="2:19" x14ac:dyDescent="0.2">
      <c r="B247" s="88"/>
      <c r="C247" s="489" t="s">
        <v>172</v>
      </c>
      <c r="D247" s="492"/>
      <c r="E247" s="492"/>
      <c r="F247" s="314">
        <v>0</v>
      </c>
      <c r="G247" s="313">
        <v>0</v>
      </c>
      <c r="H247" s="313">
        <v>0</v>
      </c>
      <c r="I247" s="119"/>
      <c r="J247" s="119"/>
      <c r="K247" s="119"/>
      <c r="L247" s="66"/>
      <c r="M247" s="66"/>
      <c r="N247" s="66"/>
      <c r="O247" s="66"/>
      <c r="P247" s="66"/>
      <c r="Q247" s="66"/>
      <c r="S247" s="105"/>
    </row>
    <row r="248" spans="2:19" x14ac:dyDescent="0.2">
      <c r="B248" s="88"/>
      <c r="C248" s="489" t="s">
        <v>147</v>
      </c>
      <c r="D248" s="492"/>
      <c r="E248" s="492"/>
      <c r="F248" s="314">
        <f>GETPIVOTDATA("Sum of Units Proposed",Pivot!$B$280,"Ward_Name",C248)</f>
        <v>24</v>
      </c>
      <c r="G248" s="313">
        <f>GETPIVOTDATA("Sum of Units Existing",Pivot!$B$280,"Ward_Name",C248)</f>
        <v>30</v>
      </c>
      <c r="H248" s="313">
        <f>GETPIVOTDATA("Sum of Net Dwellings",Pivot!$B$280,"Ward_Name",C248)</f>
        <v>-6</v>
      </c>
      <c r="I248" s="119"/>
      <c r="J248" s="119"/>
      <c r="K248" s="119"/>
      <c r="L248" s="66"/>
      <c r="M248" s="66"/>
      <c r="N248" s="66"/>
      <c r="O248" s="66"/>
      <c r="P248" s="66"/>
      <c r="Q248" s="66"/>
      <c r="S248" s="105"/>
    </row>
    <row r="249" spans="2:19" x14ac:dyDescent="0.2">
      <c r="B249" s="88"/>
      <c r="C249" s="493" t="s">
        <v>6</v>
      </c>
      <c r="D249" s="494"/>
      <c r="E249" s="494"/>
      <c r="F249" s="315">
        <f>SUM(F231:F248)</f>
        <v>169</v>
      </c>
      <c r="G249" s="315">
        <f>SUM(G231:G248)</f>
        <v>69</v>
      </c>
      <c r="H249" s="315">
        <f>SUM(H231:H248)</f>
        <v>100</v>
      </c>
      <c r="I249" s="119"/>
      <c r="J249" s="119"/>
      <c r="K249" s="119"/>
      <c r="L249" s="66"/>
      <c r="M249" s="66"/>
      <c r="N249" s="66"/>
      <c r="O249" s="66"/>
      <c r="P249" s="66"/>
      <c r="Q249" s="66"/>
      <c r="S249" s="105"/>
    </row>
    <row r="250" spans="2:19" x14ac:dyDescent="0.2">
      <c r="B250" s="60"/>
      <c r="C250" s="120"/>
      <c r="D250" s="120"/>
      <c r="E250" s="120"/>
      <c r="F250" s="107"/>
      <c r="G250" s="107"/>
      <c r="H250" s="107"/>
      <c r="I250" s="119"/>
      <c r="J250" s="119"/>
      <c r="K250" s="119"/>
      <c r="L250" s="66"/>
      <c r="M250" s="66"/>
      <c r="N250" s="66"/>
      <c r="O250" s="66"/>
      <c r="P250" s="66"/>
      <c r="Q250" s="66"/>
      <c r="S250" s="105"/>
    </row>
    <row r="251" spans="2:19" x14ac:dyDescent="0.2">
      <c r="B251" s="60"/>
      <c r="C251" s="120"/>
      <c r="D251" s="120"/>
      <c r="E251" s="120"/>
      <c r="F251" s="107"/>
      <c r="G251" s="107"/>
      <c r="H251" s="107"/>
      <c r="I251" s="119"/>
      <c r="J251" s="119"/>
      <c r="K251" s="119"/>
      <c r="L251" s="66"/>
      <c r="M251" s="66"/>
      <c r="N251" s="66"/>
      <c r="O251" s="66"/>
      <c r="P251" s="66"/>
      <c r="Q251" s="66"/>
      <c r="S251" s="105"/>
    </row>
    <row r="252" spans="2:19" x14ac:dyDescent="0.2">
      <c r="B252" s="60"/>
      <c r="C252" s="136"/>
      <c r="D252" s="136"/>
      <c r="E252" s="120"/>
      <c r="F252" s="107"/>
      <c r="G252" s="107"/>
      <c r="H252" s="107"/>
      <c r="I252" s="119"/>
      <c r="J252" s="119"/>
      <c r="K252" s="119"/>
      <c r="L252" s="66"/>
      <c r="M252" s="66"/>
      <c r="N252" s="66"/>
      <c r="O252" s="66"/>
      <c r="P252" s="66"/>
      <c r="Q252" s="66"/>
      <c r="S252" s="105"/>
    </row>
    <row r="253" spans="2:19" ht="12.75" customHeight="1" x14ac:dyDescent="0.2">
      <c r="B253" s="60"/>
      <c r="C253" s="136" t="s">
        <v>178</v>
      </c>
      <c r="D253" s="136" t="s">
        <v>179</v>
      </c>
      <c r="E253" s="321"/>
      <c r="F253" s="321"/>
      <c r="G253" s="321"/>
      <c r="H253" s="321"/>
      <c r="I253" s="318"/>
      <c r="J253" s="318"/>
      <c r="K253" s="318"/>
      <c r="L253" s="318"/>
      <c r="S253" s="105"/>
    </row>
    <row r="254" spans="2:19" x14ac:dyDescent="0.2">
      <c r="B254" s="60"/>
      <c r="C254" s="429" t="s">
        <v>180</v>
      </c>
      <c r="D254" s="429"/>
      <c r="E254" s="429"/>
      <c r="F254" s="319" t="s">
        <v>175</v>
      </c>
      <c r="G254" s="319" t="s">
        <v>176</v>
      </c>
      <c r="H254" s="320" t="s">
        <v>177</v>
      </c>
      <c r="S254" s="105"/>
    </row>
    <row r="255" spans="2:19" x14ac:dyDescent="0.2">
      <c r="B255" s="60"/>
      <c r="C255" s="410" t="s">
        <v>181</v>
      </c>
      <c r="D255" s="410"/>
      <c r="E255" s="410"/>
      <c r="F255" s="183">
        <f>GETPIVOTDATA("Sum of Units Proposed",Pivot!$G$280,"Area Name",C255)</f>
        <v>19</v>
      </c>
      <c r="G255" s="183">
        <f>GETPIVOTDATA("Sum of Units Existing",Pivot!$G$280,"Area Name",C255)</f>
        <v>13</v>
      </c>
      <c r="H255" s="183">
        <f>GETPIVOTDATA("Sum of Net Dwellings",Pivot!$G$280,"Area Name",C255)</f>
        <v>6</v>
      </c>
      <c r="S255" s="105"/>
    </row>
    <row r="256" spans="2:19" x14ac:dyDescent="0.2">
      <c r="B256" s="60"/>
      <c r="C256" s="410" t="s">
        <v>182</v>
      </c>
      <c r="D256" s="410" t="s">
        <v>182</v>
      </c>
      <c r="E256" s="410" t="s">
        <v>182</v>
      </c>
      <c r="F256" s="183">
        <f>GETPIVOTDATA("Sum of Units Proposed",Pivot!$G$280,"Area Name",C256)</f>
        <v>2</v>
      </c>
      <c r="G256" s="183">
        <f>GETPIVOTDATA("Sum of Units Existing",Pivot!$G$280,"Area Name",C256)</f>
        <v>0</v>
      </c>
      <c r="H256" s="183">
        <f>GETPIVOTDATA("Sum of Net Dwellings",Pivot!$G$280,"Area Name",C256)</f>
        <v>2</v>
      </c>
      <c r="S256" s="105"/>
    </row>
    <row r="257" spans="2:19" x14ac:dyDescent="0.2">
      <c r="B257" s="60"/>
      <c r="C257" s="410" t="s">
        <v>141</v>
      </c>
      <c r="D257" s="410" t="s">
        <v>141</v>
      </c>
      <c r="E257" s="410" t="s">
        <v>141</v>
      </c>
      <c r="F257" s="183">
        <f>GETPIVOTDATA("Sum of Units Proposed",Pivot!$G$280,"Area Name",C257)</f>
        <v>32</v>
      </c>
      <c r="G257" s="183">
        <f>GETPIVOTDATA("Sum of Units Existing",Pivot!$G$280,"Area Name",C257)</f>
        <v>8</v>
      </c>
      <c r="H257" s="183">
        <f>GETPIVOTDATA("Sum of Net Dwellings",Pivot!$G$280,"Area Name",C257)</f>
        <v>24</v>
      </c>
      <c r="S257" s="105"/>
    </row>
    <row r="258" spans="2:19" x14ac:dyDescent="0.2">
      <c r="B258" s="60"/>
      <c r="C258" s="410" t="s">
        <v>183</v>
      </c>
      <c r="D258" s="410" t="s">
        <v>183</v>
      </c>
      <c r="E258" s="410" t="s">
        <v>183</v>
      </c>
      <c r="F258" s="183">
        <f>GETPIVOTDATA("Sum of Units Proposed",Pivot!$G$280,"Area Name",C258)</f>
        <v>41</v>
      </c>
      <c r="G258" s="183">
        <f>GETPIVOTDATA("Sum of Units Existing",Pivot!$G$280,"Area Name",C258)</f>
        <v>9</v>
      </c>
      <c r="H258" s="183">
        <f>GETPIVOTDATA("Sum of Net Dwellings",Pivot!$G$280,"Area Name",C258)</f>
        <v>32</v>
      </c>
      <c r="S258" s="105"/>
    </row>
    <row r="259" spans="2:19" x14ac:dyDescent="0.2">
      <c r="B259" s="60"/>
      <c r="C259" s="410" t="s">
        <v>145</v>
      </c>
      <c r="D259" s="410" t="s">
        <v>145</v>
      </c>
      <c r="E259" s="410" t="s">
        <v>145</v>
      </c>
      <c r="F259" s="183">
        <f>GETPIVOTDATA("Sum of Units Proposed",Pivot!$G$280,"Area Name",C259)</f>
        <v>34</v>
      </c>
      <c r="G259" s="183">
        <f>GETPIVOTDATA("Sum of Units Existing",Pivot!$G$280,"Area Name",C259)</f>
        <v>8</v>
      </c>
      <c r="H259" s="183">
        <f>GETPIVOTDATA("Sum of Net Dwellings",Pivot!$G$280,"Area Name",C259)</f>
        <v>26</v>
      </c>
      <c r="S259" s="105"/>
    </row>
    <row r="260" spans="2:19" x14ac:dyDescent="0.2">
      <c r="B260" s="60"/>
      <c r="C260" s="410" t="s">
        <v>147</v>
      </c>
      <c r="D260" s="410" t="s">
        <v>147</v>
      </c>
      <c r="E260" s="410" t="s">
        <v>147</v>
      </c>
      <c r="F260" s="183">
        <f>GETPIVOTDATA("Sum of Units Proposed",Pivot!$G$280,"Area Name",C260)</f>
        <v>41</v>
      </c>
      <c r="G260" s="183">
        <f>GETPIVOTDATA("Sum of Units Existing",Pivot!$G$280,"Area Name",C260)</f>
        <v>31</v>
      </c>
      <c r="H260" s="183">
        <f>GETPIVOTDATA("Sum of Net Dwellings",Pivot!$G$280,"Area Name",C260)</f>
        <v>10</v>
      </c>
      <c r="S260" s="105"/>
    </row>
    <row r="261" spans="2:19" x14ac:dyDescent="0.2">
      <c r="B261" s="60"/>
      <c r="C261" s="418" t="s">
        <v>6</v>
      </c>
      <c r="D261" s="418"/>
      <c r="E261" s="418"/>
      <c r="F261" s="185">
        <f>SUM(F255:F260)</f>
        <v>169</v>
      </c>
      <c r="G261" s="185">
        <f t="shared" ref="G261:H261" si="16">SUM(G255:G260)</f>
        <v>69</v>
      </c>
      <c r="H261" s="185">
        <f t="shared" si="16"/>
        <v>100</v>
      </c>
      <c r="S261" s="105"/>
    </row>
    <row r="262" spans="2:19" x14ac:dyDescent="0.2">
      <c r="B262" s="60"/>
      <c r="C262" s="187" t="s">
        <v>184</v>
      </c>
      <c r="S262" s="105"/>
    </row>
    <row r="263" spans="2:19" x14ac:dyDescent="0.2">
      <c r="B263" s="60"/>
      <c r="S263" s="105"/>
    </row>
    <row r="264" spans="2:19" x14ac:dyDescent="0.2">
      <c r="B264" s="60"/>
      <c r="C264" s="120"/>
      <c r="D264" s="120"/>
      <c r="E264" s="120"/>
      <c r="F264" s="107"/>
      <c r="G264" s="107"/>
      <c r="H264" s="107"/>
      <c r="I264" s="119"/>
      <c r="J264" s="119"/>
      <c r="K264" s="119"/>
      <c r="L264" s="66"/>
      <c r="M264" s="66"/>
      <c r="N264" s="66"/>
      <c r="O264" s="66"/>
      <c r="P264" s="66"/>
      <c r="Q264" s="66"/>
      <c r="S264" s="105"/>
    </row>
    <row r="265" spans="2:19" x14ac:dyDescent="0.2">
      <c r="B265" s="60"/>
      <c r="C265" s="120"/>
      <c r="D265" s="120"/>
      <c r="E265" s="120"/>
      <c r="F265" s="107"/>
      <c r="G265" s="107"/>
      <c r="H265" s="107"/>
      <c r="I265" s="119"/>
      <c r="J265" s="119"/>
      <c r="K265" s="119"/>
      <c r="L265" s="66"/>
      <c r="M265" s="66"/>
      <c r="N265" s="66"/>
      <c r="O265" s="66"/>
      <c r="P265" s="66"/>
      <c r="Q265" s="66"/>
      <c r="S265" s="105"/>
    </row>
    <row r="266" spans="2:19" x14ac:dyDescent="0.2">
      <c r="B266" s="60"/>
      <c r="C266" s="120"/>
      <c r="D266" s="120"/>
      <c r="E266" s="120"/>
      <c r="F266" s="107"/>
      <c r="G266" s="107"/>
      <c r="H266" s="107"/>
      <c r="I266" s="119"/>
      <c r="J266" s="119"/>
      <c r="K266" s="119"/>
      <c r="L266" s="66"/>
      <c r="M266" s="66"/>
      <c r="N266" s="66"/>
      <c r="O266" s="66"/>
      <c r="P266" s="66"/>
      <c r="Q266" s="66"/>
      <c r="S266" s="105"/>
    </row>
    <row r="267" spans="2:19" x14ac:dyDescent="0.2">
      <c r="B267" s="60"/>
      <c r="C267" s="120"/>
      <c r="D267" s="120"/>
      <c r="E267" s="120"/>
      <c r="F267" s="107"/>
      <c r="G267" s="107"/>
      <c r="H267" s="107"/>
      <c r="I267" s="119"/>
      <c r="J267" s="119"/>
      <c r="K267" s="119"/>
      <c r="L267" s="66"/>
      <c r="M267" s="66"/>
      <c r="N267" s="66"/>
      <c r="O267" s="66"/>
      <c r="P267" s="66"/>
      <c r="Q267" s="66"/>
      <c r="S267" s="105"/>
    </row>
    <row r="268" spans="2:19" x14ac:dyDescent="0.2">
      <c r="B268" s="60"/>
      <c r="C268" s="136"/>
      <c r="D268" s="136"/>
      <c r="E268" s="120"/>
      <c r="F268" s="107"/>
      <c r="G268" s="107"/>
      <c r="H268" s="107"/>
      <c r="I268" s="119"/>
      <c r="J268" s="119"/>
      <c r="K268" s="119"/>
      <c r="L268" s="66"/>
      <c r="M268" s="66"/>
      <c r="N268" s="66"/>
      <c r="O268" s="66"/>
      <c r="P268" s="66"/>
      <c r="Q268" s="66"/>
      <c r="S268" s="105"/>
    </row>
    <row r="269" spans="2:19" ht="12.75" customHeight="1" x14ac:dyDescent="0.2">
      <c r="B269" s="60"/>
      <c r="C269" s="136" t="s">
        <v>185</v>
      </c>
      <c r="D269" s="136" t="s">
        <v>186</v>
      </c>
      <c r="E269" s="321"/>
      <c r="F269" s="321"/>
      <c r="G269" s="321"/>
      <c r="H269" s="321"/>
      <c r="I269" s="318"/>
      <c r="J269" s="318"/>
      <c r="K269" s="318"/>
      <c r="L269" s="318"/>
      <c r="S269" s="105"/>
    </row>
    <row r="270" spans="2:19" x14ac:dyDescent="0.2">
      <c r="B270" s="60"/>
      <c r="C270" s="429" t="s">
        <v>187</v>
      </c>
      <c r="D270" s="429"/>
      <c r="E270" s="429"/>
      <c r="F270" s="319" t="s">
        <v>175</v>
      </c>
      <c r="G270" s="319" t="s">
        <v>176</v>
      </c>
      <c r="H270" s="320" t="s">
        <v>177</v>
      </c>
      <c r="S270" s="105"/>
    </row>
    <row r="271" spans="2:19" x14ac:dyDescent="0.2">
      <c r="B271" s="60"/>
      <c r="C271" s="410" t="s">
        <v>158</v>
      </c>
      <c r="D271" s="410"/>
      <c r="E271" s="410"/>
      <c r="F271" s="183">
        <f>GETPIVOTDATA("Sum of Units Proposed",Pivot!$L$280,"Place_Based_Strategies",C271)</f>
        <v>4</v>
      </c>
      <c r="G271" s="183">
        <f>GETPIVOTDATA("Sum of Units Existing",Pivot!$L$280,"Place_Based_Strategies",C271)</f>
        <v>5</v>
      </c>
      <c r="H271" s="183">
        <f>GETPIVOTDATA("Sum of Net Dwellings",Pivot!$L$280,"Place_Based_Strategies",C271)</f>
        <v>-1</v>
      </c>
      <c r="S271" s="105"/>
    </row>
    <row r="272" spans="2:19" x14ac:dyDescent="0.2">
      <c r="B272" s="60"/>
      <c r="C272" s="410" t="s">
        <v>188</v>
      </c>
      <c r="D272" s="410"/>
      <c r="E272" s="410"/>
      <c r="F272" s="183">
        <f>GETPIVOTDATA("Sum of Units Proposed",Pivot!$L$280,"Place_Based_Strategies",C272)</f>
        <v>2</v>
      </c>
      <c r="G272" s="183">
        <f>GETPIVOTDATA("Sum of Units Existing",Pivot!$L$280,"Place_Based_Strategies",C272)</f>
        <v>0</v>
      </c>
      <c r="H272" s="183">
        <f>GETPIVOTDATA("Sum of Net Dwellings",Pivot!$L$280,"Place_Based_Strategies",C272)</f>
        <v>2</v>
      </c>
      <c r="S272" s="105"/>
    </row>
    <row r="273" spans="2:19" x14ac:dyDescent="0.2">
      <c r="B273" s="60"/>
      <c r="C273" s="410" t="s">
        <v>189</v>
      </c>
      <c r="D273" s="410"/>
      <c r="E273" s="410"/>
      <c r="F273" s="183">
        <f>GETPIVOTDATA("Sum of Units Proposed",Pivot!$L$280,"Place_Based_Strategies",C273)</f>
        <v>18</v>
      </c>
      <c r="G273" s="183">
        <f>GETPIVOTDATA("Sum of Units Existing",Pivot!$L$280,"Place_Based_Strategies",C273)</f>
        <v>4</v>
      </c>
      <c r="H273" s="183">
        <f>GETPIVOTDATA("Sum of Net Dwellings",Pivot!$L$280,"Place_Based_Strategies",C273)</f>
        <v>14</v>
      </c>
      <c r="S273" s="105"/>
    </row>
    <row r="274" spans="2:19" x14ac:dyDescent="0.2">
      <c r="B274" s="60"/>
      <c r="C274" s="410" t="s">
        <v>165</v>
      </c>
      <c r="D274" s="410"/>
      <c r="E274" s="410"/>
      <c r="F274" s="183">
        <f>GETPIVOTDATA("Sum of Units Proposed",Pivot!$L$280,"Place_Based_Strategies",C274)</f>
        <v>5</v>
      </c>
      <c r="G274" s="183">
        <f>GETPIVOTDATA("Sum of Units Existing",Pivot!$L$280,"Place_Based_Strategies",C274)</f>
        <v>1</v>
      </c>
      <c r="H274" s="183">
        <f>GETPIVOTDATA("Sum of Net Dwellings",Pivot!$L$280,"Place_Based_Strategies",C274)</f>
        <v>4</v>
      </c>
      <c r="S274" s="105"/>
    </row>
    <row r="275" spans="2:19" x14ac:dyDescent="0.2">
      <c r="B275" s="60"/>
      <c r="C275" s="410" t="s">
        <v>190</v>
      </c>
      <c r="D275" s="410"/>
      <c r="E275" s="410"/>
      <c r="F275" s="183">
        <f>GETPIVOTDATA("Sum of Units Proposed",Pivot!$L$280,"Place_Based_Strategies",C275)</f>
        <v>19</v>
      </c>
      <c r="G275" s="183">
        <f>GETPIVOTDATA("Sum of Units Existing",Pivot!$L$280,"Place_Based_Strategies",C275)</f>
        <v>10</v>
      </c>
      <c r="H275" s="183">
        <f>GETPIVOTDATA("Sum of Net Dwellings",Pivot!$L$280,"Place_Based_Strategies",C275)</f>
        <v>9</v>
      </c>
      <c r="S275" s="105"/>
    </row>
    <row r="276" spans="2:19" x14ac:dyDescent="0.2">
      <c r="B276" s="60"/>
      <c r="C276" s="410" t="s">
        <v>191</v>
      </c>
      <c r="D276" s="410"/>
      <c r="E276" s="410"/>
      <c r="F276" s="183">
        <f>GETPIVOTDATA("Sum of Units Proposed",Pivot!$L$280,"Place_Based_Strategies",C276)</f>
        <v>23</v>
      </c>
      <c r="G276" s="183">
        <f>GETPIVOTDATA("Sum of Units Existing",Pivot!$L$280,"Place_Based_Strategies",C276)</f>
        <v>5</v>
      </c>
      <c r="H276" s="183">
        <f>GETPIVOTDATA("Sum of Net Dwellings",Pivot!$L$280,"Place_Based_Strategies",C276)</f>
        <v>18</v>
      </c>
      <c r="S276" s="105"/>
    </row>
    <row r="277" spans="2:19" x14ac:dyDescent="0.2">
      <c r="B277" s="60"/>
      <c r="C277" s="410" t="s">
        <v>192</v>
      </c>
      <c r="D277" s="410"/>
      <c r="E277" s="410"/>
      <c r="F277" s="183">
        <f>GETPIVOTDATA("Sum of Units Proposed",Pivot!$L$280,"Place_Based_Strategies",C277)</f>
        <v>23</v>
      </c>
      <c r="G277" s="183">
        <f>GETPIVOTDATA("Sum of Units Existing",Pivot!$L$280,"Place_Based_Strategies",C277)</f>
        <v>5</v>
      </c>
      <c r="H277" s="183">
        <f>GETPIVOTDATA("Sum of Net Dwellings",Pivot!$L$280,"Place_Based_Strategies",C277)</f>
        <v>18</v>
      </c>
      <c r="S277" s="105"/>
    </row>
    <row r="278" spans="2:19" x14ac:dyDescent="0.2">
      <c r="B278" s="60"/>
      <c r="C278" s="410" t="s">
        <v>193</v>
      </c>
      <c r="D278" s="410"/>
      <c r="E278" s="410"/>
      <c r="F278" s="183">
        <f>GETPIVOTDATA("Sum of Units Proposed",Pivot!$L$280,"Place_Based_Strategies",C278)</f>
        <v>34</v>
      </c>
      <c r="G278" s="183">
        <f>GETPIVOTDATA("Sum of Units Existing",Pivot!$L$280,"Place_Based_Strategies",C278)</f>
        <v>8</v>
      </c>
      <c r="H278" s="183">
        <f>GETPIVOTDATA("Sum of Net Dwellings",Pivot!$L$280,"Place_Based_Strategies",C278)</f>
        <v>26</v>
      </c>
      <c r="S278" s="105"/>
    </row>
    <row r="279" spans="2:19" x14ac:dyDescent="0.2">
      <c r="B279" s="60"/>
      <c r="C279" s="410" t="s">
        <v>194</v>
      </c>
      <c r="D279" s="410"/>
      <c r="E279" s="410"/>
      <c r="F279" s="183">
        <f>GETPIVOTDATA("Sum of Units Proposed",Pivot!$L$280,"Place_Based_Strategies",C279)</f>
        <v>41</v>
      </c>
      <c r="G279" s="183">
        <f>GETPIVOTDATA("Sum of Units Existing",Pivot!$L$280,"Place_Based_Strategies",C279)</f>
        <v>31</v>
      </c>
      <c r="H279" s="183">
        <f>GETPIVOTDATA("Sum of Net Dwellings",Pivot!$L$280,"Place_Based_Strategies",C279)</f>
        <v>10</v>
      </c>
      <c r="S279" s="105"/>
    </row>
    <row r="280" spans="2:19" x14ac:dyDescent="0.2">
      <c r="B280" s="60"/>
      <c r="C280" s="418" t="s">
        <v>6</v>
      </c>
      <c r="D280" s="418"/>
      <c r="E280" s="418"/>
      <c r="F280" s="185">
        <f>SUM(F271:F279)</f>
        <v>169</v>
      </c>
      <c r="G280" s="185">
        <f t="shared" ref="G280:H280" si="17">SUM(G271:G279)</f>
        <v>69</v>
      </c>
      <c r="H280" s="185">
        <f t="shared" si="17"/>
        <v>100</v>
      </c>
      <c r="I280" s="119"/>
      <c r="J280" s="119"/>
      <c r="K280" s="119"/>
      <c r="L280" s="66"/>
      <c r="M280" s="66"/>
      <c r="N280" s="66"/>
      <c r="O280" s="66"/>
      <c r="P280" s="66"/>
      <c r="Q280" s="66"/>
      <c r="S280" s="105"/>
    </row>
    <row r="281" spans="2:19" x14ac:dyDescent="0.2">
      <c r="B281" s="60"/>
      <c r="C281" s="187" t="s">
        <v>195</v>
      </c>
      <c r="I281" s="119"/>
      <c r="J281" s="119"/>
      <c r="K281" s="119"/>
      <c r="L281" s="66"/>
      <c r="M281" s="66"/>
      <c r="N281" s="66"/>
      <c r="O281" s="66"/>
      <c r="P281" s="66"/>
      <c r="Q281" s="66"/>
      <c r="S281" s="105"/>
    </row>
    <row r="282" spans="2:19" x14ac:dyDescent="0.2">
      <c r="B282" s="60"/>
      <c r="C282" s="120"/>
      <c r="D282" s="120"/>
      <c r="E282" s="120"/>
      <c r="F282" s="107"/>
      <c r="G282" s="107"/>
      <c r="H282" s="107"/>
      <c r="I282" s="119"/>
      <c r="J282" s="119"/>
      <c r="K282" s="119"/>
      <c r="L282" s="66"/>
      <c r="M282" s="66"/>
      <c r="N282" s="66"/>
      <c r="O282" s="66"/>
      <c r="P282" s="66"/>
      <c r="Q282" s="66"/>
      <c r="S282" s="105"/>
    </row>
    <row r="283" spans="2:19" x14ac:dyDescent="0.2">
      <c r="B283" s="60"/>
      <c r="C283" s="120"/>
      <c r="D283" s="120"/>
      <c r="E283" s="120"/>
      <c r="F283" s="107"/>
      <c r="G283" s="107"/>
      <c r="H283" s="107"/>
      <c r="I283" s="119"/>
      <c r="J283" s="119"/>
      <c r="K283" s="119"/>
      <c r="L283" s="66"/>
      <c r="M283" s="66"/>
      <c r="N283" s="66"/>
      <c r="O283" s="66"/>
      <c r="P283" s="66"/>
      <c r="Q283" s="66"/>
      <c r="S283" s="105"/>
    </row>
    <row r="284" spans="2:19" x14ac:dyDescent="0.2">
      <c r="B284" s="60"/>
      <c r="C284" s="136"/>
      <c r="D284" s="136"/>
      <c r="E284" s="120"/>
      <c r="F284" s="107"/>
      <c r="G284" s="107"/>
      <c r="H284" s="107"/>
      <c r="I284" s="119"/>
      <c r="J284" s="119"/>
      <c r="K284" s="119"/>
      <c r="L284" s="66"/>
      <c r="M284" s="66"/>
      <c r="N284" s="66"/>
      <c r="O284" s="66"/>
      <c r="P284" s="66"/>
      <c r="Q284" s="66"/>
      <c r="S284" s="105"/>
    </row>
    <row r="285" spans="2:19" ht="12.75" customHeight="1" x14ac:dyDescent="0.2">
      <c r="B285" s="60"/>
      <c r="C285" s="136" t="s">
        <v>196</v>
      </c>
      <c r="D285" s="136" t="s">
        <v>197</v>
      </c>
      <c r="E285" s="321"/>
      <c r="F285" s="321"/>
      <c r="G285" s="321"/>
      <c r="H285" s="321"/>
      <c r="I285" s="318"/>
      <c r="J285" s="318"/>
      <c r="K285" s="318"/>
      <c r="L285" s="318"/>
      <c r="S285" s="105"/>
    </row>
    <row r="286" spans="2:19" x14ac:dyDescent="0.2">
      <c r="B286" s="60"/>
      <c r="C286" s="429" t="s">
        <v>187</v>
      </c>
      <c r="D286" s="429"/>
      <c r="E286" s="429"/>
      <c r="F286" s="319" t="s">
        <v>175</v>
      </c>
      <c r="G286" s="319" t="s">
        <v>176</v>
      </c>
      <c r="H286" s="320" t="s">
        <v>177</v>
      </c>
      <c r="S286" s="105"/>
    </row>
    <row r="287" spans="2:19" x14ac:dyDescent="0.2">
      <c r="B287" s="60"/>
      <c r="C287" s="410" t="s">
        <v>158</v>
      </c>
      <c r="D287" s="410"/>
      <c r="E287" s="410"/>
      <c r="F287" s="183">
        <f>GETPIVOTDATA("Sum of Units Proposed",Pivot!$Q$280,"Place_Based_Strategies",C287)</f>
        <v>19</v>
      </c>
      <c r="G287" s="183">
        <f>GETPIVOTDATA("Sum of Units Existing",Pivot!$Q$280,"Place_Based_Strategies",C287)</f>
        <v>6</v>
      </c>
      <c r="H287" s="183">
        <f>GETPIVOTDATA("Sum of Net Dwellings",Pivot!$Q$280,"Place_Based_Strategies",C287)</f>
        <v>13</v>
      </c>
      <c r="S287" s="105"/>
    </row>
    <row r="288" spans="2:19" x14ac:dyDescent="0.2">
      <c r="B288" s="60"/>
      <c r="C288" s="410" t="s">
        <v>188</v>
      </c>
      <c r="D288" s="410"/>
      <c r="E288" s="410"/>
      <c r="F288" s="183">
        <f>GETPIVOTDATA("Sum of Units Proposed",Pivot!$Q$280,"Place_Based_Strategies",C288)</f>
        <v>4</v>
      </c>
      <c r="G288" s="183">
        <f>GETPIVOTDATA("Sum of Units Existing",Pivot!$Q$280,"Place_Based_Strategies",C288)</f>
        <v>1</v>
      </c>
      <c r="H288" s="183">
        <f>GETPIVOTDATA("Sum of Net Dwellings",Pivot!$Q$280,"Place_Based_Strategies",C288)</f>
        <v>3</v>
      </c>
      <c r="S288" s="105"/>
    </row>
    <row r="289" spans="2:19" x14ac:dyDescent="0.2">
      <c r="B289" s="60"/>
      <c r="C289" s="410" t="s">
        <v>189</v>
      </c>
      <c r="D289" s="410"/>
      <c r="E289" s="410"/>
      <c r="F289" s="183">
        <f>GETPIVOTDATA("Sum of Units Proposed",Pivot!$Q$280,"Place_Based_Strategies",C289)</f>
        <v>20</v>
      </c>
      <c r="G289" s="183">
        <f>GETPIVOTDATA("Sum of Units Existing",Pivot!$Q$280,"Place_Based_Strategies",C289)</f>
        <v>5</v>
      </c>
      <c r="H289" s="183">
        <f>GETPIVOTDATA("Sum of Net Dwellings",Pivot!$Q$280,"Place_Based_Strategies",C289)</f>
        <v>15</v>
      </c>
      <c r="S289" s="105"/>
    </row>
    <row r="290" spans="2:19" x14ac:dyDescent="0.2">
      <c r="B290" s="60"/>
      <c r="C290" s="410" t="s">
        <v>165</v>
      </c>
      <c r="D290" s="410"/>
      <c r="E290" s="410"/>
      <c r="F290" s="183">
        <f>GETPIVOTDATA("Sum of Units Proposed",Pivot!$Q$280,"Place_Based_Strategies",C290)</f>
        <v>3</v>
      </c>
      <c r="G290" s="183">
        <f>GETPIVOTDATA("Sum of Units Existing",Pivot!$Q$280,"Place_Based_Strategies",C290)</f>
        <v>2</v>
      </c>
      <c r="H290" s="183">
        <f>GETPIVOTDATA("Sum of Net Dwellings",Pivot!$Q$280,"Place_Based_Strategies",C290)</f>
        <v>1</v>
      </c>
      <c r="S290" s="105"/>
    </row>
    <row r="291" spans="2:19" x14ac:dyDescent="0.2">
      <c r="B291" s="60"/>
      <c r="C291" s="410" t="s">
        <v>190</v>
      </c>
      <c r="D291" s="410"/>
      <c r="E291" s="410"/>
      <c r="F291" s="183">
        <f>GETPIVOTDATA("Sum of Units Proposed",Pivot!$Q$280,"Place_Based_Strategies",C291)</f>
        <v>12</v>
      </c>
      <c r="G291" s="183">
        <f>GETPIVOTDATA("Sum of Units Existing",Pivot!$Q$280,"Place_Based_Strategies",C291)</f>
        <v>7</v>
      </c>
      <c r="H291" s="183">
        <f>GETPIVOTDATA("Sum of Net Dwellings",Pivot!$Q$280,"Place_Based_Strategies",C291)</f>
        <v>5</v>
      </c>
      <c r="S291" s="105"/>
    </row>
    <row r="292" spans="2:19" x14ac:dyDescent="0.2">
      <c r="B292" s="60"/>
      <c r="C292" s="410" t="s">
        <v>191</v>
      </c>
      <c r="D292" s="410"/>
      <c r="E292" s="410"/>
      <c r="F292" s="183">
        <f>GETPIVOTDATA("Sum of Units Proposed",Pivot!$Q$280,"Place_Based_Strategies",C292)</f>
        <v>20</v>
      </c>
      <c r="G292" s="183">
        <f>GETPIVOTDATA("Sum of Units Existing",Pivot!$Q$280,"Place_Based_Strategies",C292)</f>
        <v>1</v>
      </c>
      <c r="H292" s="183">
        <f>GETPIVOTDATA("Sum of Net Dwellings",Pivot!$Q$280,"Place_Based_Strategies",C292)</f>
        <v>19</v>
      </c>
      <c r="S292" s="105"/>
    </row>
    <row r="293" spans="2:19" x14ac:dyDescent="0.2">
      <c r="B293" s="60"/>
      <c r="C293" s="410" t="s">
        <v>192</v>
      </c>
      <c r="D293" s="410"/>
      <c r="E293" s="410"/>
      <c r="F293" s="183">
        <f>GETPIVOTDATA("Sum of Units Proposed",Pivot!$Q$280,"Place_Based_Strategies",C293)</f>
        <v>45</v>
      </c>
      <c r="G293" s="183">
        <f>GETPIVOTDATA("Sum of Units Existing",Pivot!$Q$280,"Place_Based_Strategies",C293)</f>
        <v>5</v>
      </c>
      <c r="H293" s="183">
        <f>GETPIVOTDATA("Sum of Net Dwellings",Pivot!$Q$280,"Place_Based_Strategies",C293)</f>
        <v>40</v>
      </c>
      <c r="S293" s="105"/>
    </row>
    <row r="294" spans="2:19" x14ac:dyDescent="0.2">
      <c r="B294" s="60"/>
      <c r="C294" s="410" t="s">
        <v>193</v>
      </c>
      <c r="D294" s="410"/>
      <c r="E294" s="410"/>
      <c r="F294" s="183">
        <f>GETPIVOTDATA("Sum of Units Proposed",Pivot!$Q$280,"Place_Based_Strategies",C294)</f>
        <v>30</v>
      </c>
      <c r="G294" s="183">
        <f>GETPIVOTDATA("Sum of Units Existing",Pivot!$Q$280,"Place_Based_Strategies",C294)</f>
        <v>7</v>
      </c>
      <c r="H294" s="183">
        <f>GETPIVOTDATA("Sum of Net Dwellings",Pivot!$Q$280,"Place_Based_Strategies",C294)</f>
        <v>23</v>
      </c>
      <c r="S294" s="105"/>
    </row>
    <row r="295" spans="2:19" x14ac:dyDescent="0.2">
      <c r="B295" s="60"/>
      <c r="C295" s="410" t="s">
        <v>194</v>
      </c>
      <c r="D295" s="410"/>
      <c r="E295" s="410"/>
      <c r="F295" s="183">
        <f>GETPIVOTDATA("Sum of Units Proposed",Pivot!$Q$280,"Place_Based_Strategies",C295)</f>
        <v>13</v>
      </c>
      <c r="G295" s="183">
        <f>GETPIVOTDATA("Sum of Units Existing",Pivot!$Q$280,"Place_Based_Strategies",C295)</f>
        <v>4</v>
      </c>
      <c r="H295" s="183">
        <f>GETPIVOTDATA("Sum of Net Dwellings",Pivot!$Q$280,"Place_Based_Strategies",C295)</f>
        <v>9</v>
      </c>
      <c r="S295" s="105"/>
    </row>
    <row r="296" spans="2:19" x14ac:dyDescent="0.2">
      <c r="B296" s="60"/>
      <c r="C296" s="418" t="s">
        <v>6</v>
      </c>
      <c r="D296" s="418"/>
      <c r="E296" s="418"/>
      <c r="F296" s="185">
        <f>SUM(F287:F295)</f>
        <v>166</v>
      </c>
      <c r="G296" s="185">
        <f t="shared" ref="G296:H296" si="18">SUM(G287:G295)</f>
        <v>38</v>
      </c>
      <c r="H296" s="185">
        <f t="shared" si="18"/>
        <v>128</v>
      </c>
      <c r="I296" s="119"/>
      <c r="J296" s="119"/>
      <c r="K296" s="119"/>
      <c r="L296" s="66"/>
      <c r="M296" s="66"/>
      <c r="N296" s="66"/>
      <c r="O296" s="66"/>
      <c r="P296" s="66"/>
      <c r="Q296" s="66"/>
      <c r="S296" s="105"/>
    </row>
    <row r="297" spans="2:19" x14ac:dyDescent="0.2">
      <c r="B297" s="60"/>
      <c r="I297" s="119"/>
      <c r="J297" s="119"/>
      <c r="K297" s="119"/>
      <c r="L297" s="66"/>
      <c r="M297" s="66"/>
      <c r="N297" s="66"/>
      <c r="O297" s="66"/>
      <c r="P297" s="66"/>
      <c r="Q297" s="66"/>
      <c r="S297" s="105"/>
    </row>
    <row r="298" spans="2:19" x14ac:dyDescent="0.2">
      <c r="B298" s="60"/>
      <c r="C298" s="120"/>
      <c r="D298" s="120"/>
      <c r="E298" s="120"/>
      <c r="F298" s="107"/>
      <c r="G298" s="107"/>
      <c r="H298" s="107"/>
      <c r="I298" s="119"/>
      <c r="J298" s="119"/>
      <c r="K298" s="119"/>
      <c r="L298" s="66"/>
      <c r="M298" s="66"/>
      <c r="N298" s="66"/>
      <c r="O298" s="66"/>
      <c r="P298" s="66"/>
      <c r="Q298" s="66"/>
      <c r="S298" s="105"/>
    </row>
    <row r="299" spans="2:19" x14ac:dyDescent="0.2">
      <c r="B299" s="60"/>
      <c r="C299" s="120"/>
      <c r="D299" s="120"/>
      <c r="E299" s="120"/>
      <c r="F299" s="107"/>
      <c r="G299" s="107"/>
      <c r="H299" s="107"/>
      <c r="I299" s="119"/>
      <c r="J299" s="119"/>
      <c r="K299" s="119"/>
      <c r="L299" s="66"/>
      <c r="M299" s="66"/>
      <c r="N299" s="66"/>
      <c r="O299" s="66"/>
      <c r="P299" s="66"/>
      <c r="Q299" s="66"/>
      <c r="S299" s="105"/>
    </row>
    <row r="300" spans="2:19" x14ac:dyDescent="0.2">
      <c r="B300" s="60"/>
      <c r="C300" s="120"/>
      <c r="D300" s="120"/>
      <c r="E300" s="120"/>
      <c r="F300" s="107"/>
      <c r="G300" s="107"/>
      <c r="H300" s="107"/>
      <c r="I300" s="119"/>
      <c r="J300" s="119"/>
      <c r="K300" s="119"/>
      <c r="L300" s="66"/>
      <c r="M300" s="66"/>
      <c r="N300" s="66"/>
      <c r="O300" s="66"/>
      <c r="P300" s="66"/>
      <c r="Q300" s="66"/>
      <c r="S300" s="105"/>
    </row>
    <row r="301" spans="2:19" x14ac:dyDescent="0.2">
      <c r="B301" s="96"/>
      <c r="C301" s="121"/>
      <c r="D301" s="121"/>
      <c r="E301" s="121"/>
      <c r="F301" s="122"/>
      <c r="G301" s="122"/>
      <c r="H301" s="122"/>
      <c r="I301" s="124"/>
      <c r="J301" s="124"/>
      <c r="K301" s="124"/>
      <c r="L301" s="68"/>
      <c r="M301" s="68"/>
      <c r="N301" s="68"/>
      <c r="O301" s="68"/>
      <c r="P301" s="68"/>
      <c r="Q301" s="68"/>
      <c r="R301" s="108"/>
      <c r="S301" s="109"/>
    </row>
    <row r="302" spans="2:19" x14ac:dyDescent="0.2">
      <c r="B302" s="100"/>
      <c r="C302" s="126"/>
      <c r="D302" s="126"/>
      <c r="E302" s="127"/>
      <c r="F302" s="127"/>
      <c r="G302" s="127"/>
      <c r="H302" s="127"/>
      <c r="I302" s="127"/>
      <c r="J302" s="127"/>
      <c r="K302" s="127"/>
      <c r="L302" s="127"/>
      <c r="M302" s="127"/>
      <c r="N302" s="58"/>
      <c r="O302" s="58"/>
      <c r="P302" s="58"/>
      <c r="Q302" s="58"/>
      <c r="R302" s="56"/>
      <c r="S302" s="110"/>
    </row>
    <row r="303" spans="2:19" ht="20.25" x14ac:dyDescent="0.3">
      <c r="B303" s="60"/>
      <c r="C303" s="147" t="s">
        <v>198</v>
      </c>
      <c r="D303" s="66"/>
      <c r="E303" s="66"/>
      <c r="F303" s="66"/>
      <c r="G303" s="66"/>
      <c r="H303" s="66"/>
      <c r="I303" s="66"/>
      <c r="J303" s="66"/>
      <c r="K303" s="66"/>
      <c r="L303" s="66"/>
      <c r="M303" s="66"/>
      <c r="N303" s="66"/>
      <c r="O303" s="66"/>
      <c r="P303" s="66"/>
      <c r="Q303" s="66"/>
      <c r="S303" s="105"/>
    </row>
    <row r="304" spans="2:19" x14ac:dyDescent="0.2">
      <c r="B304" s="60"/>
      <c r="C304" s="66"/>
      <c r="D304" s="66"/>
      <c r="E304" s="66"/>
      <c r="F304" s="66"/>
      <c r="G304" s="66"/>
      <c r="H304" s="66"/>
      <c r="I304" s="66"/>
      <c r="J304" s="66"/>
      <c r="K304" s="66"/>
      <c r="L304" s="66"/>
      <c r="M304" s="66"/>
      <c r="N304" s="66"/>
      <c r="O304" s="66"/>
      <c r="P304" s="66"/>
      <c r="Q304" s="66"/>
      <c r="S304" s="105"/>
    </row>
    <row r="305" spans="2:19" x14ac:dyDescent="0.2">
      <c r="B305" s="60"/>
      <c r="C305" s="136" t="s">
        <v>199</v>
      </c>
      <c r="D305" s="136" t="s">
        <v>200</v>
      </c>
      <c r="E305" s="54"/>
      <c r="F305" s="54"/>
      <c r="G305" s="54"/>
      <c r="H305" s="54"/>
      <c r="I305" s="54"/>
      <c r="J305" s="54"/>
      <c r="K305" s="66"/>
      <c r="M305" s="174" t="s">
        <v>201</v>
      </c>
      <c r="O305" s="66"/>
      <c r="P305" s="66"/>
      <c r="Q305" s="66"/>
      <c r="S305" s="105"/>
    </row>
    <row r="306" spans="2:19" x14ac:dyDescent="0.2">
      <c r="B306" s="88"/>
      <c r="C306" s="490"/>
      <c r="D306" s="491"/>
      <c r="E306" s="173" t="s">
        <v>202</v>
      </c>
      <c r="F306" s="173" t="s">
        <v>203</v>
      </c>
      <c r="G306" s="173" t="s">
        <v>204</v>
      </c>
      <c r="H306" s="173" t="s">
        <v>205</v>
      </c>
      <c r="I306" s="173" t="s">
        <v>206</v>
      </c>
      <c r="J306" s="173" t="s">
        <v>6</v>
      </c>
      <c r="K306" s="66"/>
      <c r="L306" s="66"/>
      <c r="M306" s="66"/>
      <c r="N306" s="66"/>
      <c r="O306" s="66"/>
      <c r="P306" s="66"/>
      <c r="S306" s="105"/>
    </row>
    <row r="307" spans="2:19" x14ac:dyDescent="0.2">
      <c r="B307" s="88"/>
      <c r="C307" s="495" t="s">
        <v>207</v>
      </c>
      <c r="D307" s="496"/>
      <c r="E307" s="169">
        <f>GETPIVOTDATA("Sum of 1 bed net",Pivot!$B$307,"Tenure","Open Market")</f>
        <v>7</v>
      </c>
      <c r="F307" s="169">
        <f>GETPIVOTDATA("Sum of 2 bed net",Pivot!$B$307,"Tenure","Open Market")</f>
        <v>18</v>
      </c>
      <c r="G307" s="169">
        <f>GETPIVOTDATA("Sum of 3 bed net",Pivot!$B$307,"Tenure","Open Market")</f>
        <v>7</v>
      </c>
      <c r="H307" s="169">
        <f>GETPIVOTDATA("Sum of 4 bed net",Pivot!$B$307,"Tenure","Open Market")+GETPIVOTDATA("Sum of 5 bed net",Pivot!$B$307,"Tenure","Open Market")+GETPIVOTDATA("Sum of 6 bed net",Pivot!$B$307,"Tenure","Open Market")</f>
        <v>9</v>
      </c>
      <c r="I307" s="169">
        <v>0</v>
      </c>
      <c r="J307" s="169">
        <f t="shared" ref="J307:J312" si="19">SUM(D307:I307)</f>
        <v>41</v>
      </c>
      <c r="K307" s="66"/>
      <c r="L307" s="66"/>
      <c r="M307" s="66"/>
      <c r="N307" s="66"/>
      <c r="O307" s="66"/>
      <c r="P307" s="66"/>
      <c r="S307" s="105"/>
    </row>
    <row r="308" spans="2:19" x14ac:dyDescent="0.2">
      <c r="B308" s="88"/>
      <c r="C308" s="495"/>
      <c r="D308" s="496"/>
      <c r="E308" s="170">
        <f>E307/$J$315</f>
        <v>8.6419753086419748E-2</v>
      </c>
      <c r="F308" s="170">
        <f>F307/$J$315</f>
        <v>0.22222222222222221</v>
      </c>
      <c r="G308" s="170">
        <f>G307/$J$315</f>
        <v>8.6419753086419748E-2</v>
      </c>
      <c r="H308" s="170">
        <f>H307/$J$315</f>
        <v>0.1111111111111111</v>
      </c>
      <c r="I308" s="170">
        <f>I307/$J$315</f>
        <v>0</v>
      </c>
      <c r="J308" s="170">
        <f>SUM(E308:I308)</f>
        <v>0.50617283950617287</v>
      </c>
      <c r="K308" s="66"/>
      <c r="L308" s="66"/>
      <c r="M308" s="66"/>
      <c r="N308" s="66"/>
      <c r="O308" s="66"/>
      <c r="P308" s="66"/>
      <c r="S308" s="105"/>
    </row>
    <row r="309" spans="2:19" x14ac:dyDescent="0.2">
      <c r="B309" s="88"/>
      <c r="C309" s="495" t="s">
        <v>208</v>
      </c>
      <c r="D309" s="496"/>
      <c r="E309" s="169">
        <f>GETPIVOTDATA("Sum of 1 bed net",Pivot!$B$307,"Tenure","Shared Ownership")</f>
        <v>10</v>
      </c>
      <c r="F309" s="169">
        <f>GETPIVOTDATA("Sum of 2 bed net",Pivot!$B$307,"Tenure","Shared Ownership")</f>
        <v>3</v>
      </c>
      <c r="G309" s="169">
        <v>0</v>
      </c>
      <c r="H309" s="169">
        <v>0</v>
      </c>
      <c r="I309" s="169">
        <v>0</v>
      </c>
      <c r="J309" s="169">
        <f t="shared" si="19"/>
        <v>13</v>
      </c>
      <c r="K309" s="66"/>
      <c r="L309" s="66"/>
      <c r="M309" s="111"/>
      <c r="N309" s="111"/>
      <c r="O309" s="111"/>
      <c r="P309" s="111"/>
      <c r="S309" s="105"/>
    </row>
    <row r="310" spans="2:19" x14ac:dyDescent="0.2">
      <c r="B310" s="88"/>
      <c r="C310" s="495"/>
      <c r="D310" s="496"/>
      <c r="E310" s="170">
        <f>E309/$J$315</f>
        <v>0.12345679012345678</v>
      </c>
      <c r="F310" s="170">
        <f>F309/$J$315</f>
        <v>3.7037037037037035E-2</v>
      </c>
      <c r="G310" s="170">
        <f>G309/$J$315</f>
        <v>0</v>
      </c>
      <c r="H310" s="170">
        <f>H309/$J$315</f>
        <v>0</v>
      </c>
      <c r="I310" s="170">
        <f>I309/$J$315</f>
        <v>0</v>
      </c>
      <c r="J310" s="170">
        <f t="shared" si="19"/>
        <v>0.16049382716049382</v>
      </c>
      <c r="K310" s="66"/>
      <c r="L310" s="66"/>
      <c r="M310" s="66"/>
      <c r="N310" s="66"/>
      <c r="O310" s="66"/>
      <c r="P310" s="66"/>
      <c r="S310" s="105"/>
    </row>
    <row r="311" spans="2:19" x14ac:dyDescent="0.2">
      <c r="B311" s="88"/>
      <c r="C311" s="495" t="s">
        <v>209</v>
      </c>
      <c r="D311" s="496"/>
      <c r="E311" s="169">
        <f>GETPIVOTDATA("Sum of 1 bed net",Pivot!$B$307,"Tenure","London Affordable Rent")+GETPIVOTDATA("Sum of 1 bed net",Pivot!$B$307,"Tenure","London Living Rent")</f>
        <v>25</v>
      </c>
      <c r="F311" s="169">
        <f>GETPIVOTDATA("Sum of 2 bed net",Pivot!$B$307,"Tenure","London Affordable Rent")+GETPIVOTDATA("Sum of 2 bed net",Pivot!$B$307,"Tenure","London Living Rent")</f>
        <v>0</v>
      </c>
      <c r="G311" s="169">
        <f>GETPIVOTDATA("Sum of 3 bed net",Pivot!$B$307,"Tenure","London Affordable Rent")+GETPIVOTDATA("Sum of 3 bed net",Pivot!$B$307,"Tenure","London Living Rent")</f>
        <v>0</v>
      </c>
      <c r="H311" s="169">
        <f>GETPIVOTDATA("Sum of 4 bed net",Pivot!$B$307,"Tenure","London Affordable Rent")+GETPIVOTDATA("Sum of 4 bed net",Pivot!$B$307,"Tenure","London Living Rent")</f>
        <v>2</v>
      </c>
      <c r="I311" s="169"/>
      <c r="J311" s="169">
        <f t="shared" si="19"/>
        <v>27</v>
      </c>
      <c r="K311" s="66"/>
      <c r="L311" s="66"/>
      <c r="M311" s="66"/>
      <c r="N311" s="66"/>
      <c r="O311" s="66"/>
      <c r="P311" s="66"/>
      <c r="S311" s="105"/>
    </row>
    <row r="312" spans="2:19" x14ac:dyDescent="0.2">
      <c r="B312" s="88"/>
      <c r="C312" s="495"/>
      <c r="D312" s="496"/>
      <c r="E312" s="170">
        <f>E311/$J$315</f>
        <v>0.30864197530864196</v>
      </c>
      <c r="F312" s="170">
        <f>F311/$J$315</f>
        <v>0</v>
      </c>
      <c r="G312" s="170">
        <f>G311/$J$315</f>
        <v>0</v>
      </c>
      <c r="H312" s="170">
        <f>H311/$J$315</f>
        <v>2.4691358024691357E-2</v>
      </c>
      <c r="I312" s="170">
        <f>I311/$J$315</f>
        <v>0</v>
      </c>
      <c r="J312" s="170">
        <f t="shared" si="19"/>
        <v>0.33333333333333331</v>
      </c>
      <c r="K312" s="66"/>
      <c r="L312" s="66"/>
      <c r="M312" s="66"/>
      <c r="N312" s="66"/>
      <c r="O312" s="66"/>
      <c r="P312" s="66"/>
      <c r="S312" s="105"/>
    </row>
    <row r="313" spans="2:19" x14ac:dyDescent="0.2">
      <c r="B313" s="88"/>
      <c r="C313" s="495" t="s">
        <v>210</v>
      </c>
      <c r="D313" s="496"/>
      <c r="E313" s="169">
        <v>0</v>
      </c>
      <c r="F313" s="169">
        <v>0</v>
      </c>
      <c r="G313" s="169">
        <v>0</v>
      </c>
      <c r="H313" s="169">
        <v>0</v>
      </c>
      <c r="I313" s="169">
        <v>0</v>
      </c>
      <c r="J313" s="169">
        <v>0</v>
      </c>
      <c r="K313" s="66"/>
      <c r="L313" s="66"/>
      <c r="M313" s="66"/>
      <c r="N313" s="66"/>
      <c r="O313" s="66"/>
      <c r="P313" s="66"/>
      <c r="S313" s="105"/>
    </row>
    <row r="314" spans="2:19" x14ac:dyDescent="0.2">
      <c r="B314" s="88"/>
      <c r="C314" s="495"/>
      <c r="D314" s="496"/>
      <c r="E314" s="170">
        <f>E313/$J$315</f>
        <v>0</v>
      </c>
      <c r="F314" s="170">
        <f t="shared" ref="F314:J314" si="20">F313/$J$315</f>
        <v>0</v>
      </c>
      <c r="G314" s="170">
        <f t="shared" si="20"/>
        <v>0</v>
      </c>
      <c r="H314" s="170">
        <f t="shared" si="20"/>
        <v>0</v>
      </c>
      <c r="I314" s="170">
        <f t="shared" si="20"/>
        <v>0</v>
      </c>
      <c r="J314" s="170">
        <f t="shared" si="20"/>
        <v>0</v>
      </c>
      <c r="K314" s="66"/>
      <c r="L314" s="66"/>
      <c r="M314" s="66"/>
      <c r="N314" s="66"/>
      <c r="O314" s="66"/>
      <c r="P314" s="66"/>
      <c r="S314" s="105"/>
    </row>
    <row r="315" spans="2:19" x14ac:dyDescent="0.2">
      <c r="B315" s="88"/>
      <c r="C315" s="497" t="s">
        <v>6</v>
      </c>
      <c r="D315" s="498"/>
      <c r="E315" s="171">
        <f>E307+E309+E311+E313</f>
        <v>42</v>
      </c>
      <c r="F315" s="171">
        <f t="shared" ref="F315:I315" si="21">F307+F309+F311+F313</f>
        <v>21</v>
      </c>
      <c r="G315" s="171">
        <f t="shared" si="21"/>
        <v>7</v>
      </c>
      <c r="H315" s="171">
        <f t="shared" si="21"/>
        <v>11</v>
      </c>
      <c r="I315" s="171">
        <f t="shared" si="21"/>
        <v>0</v>
      </c>
      <c r="J315" s="171">
        <f>SUM(D315:I315)</f>
        <v>81</v>
      </c>
      <c r="K315" s="66"/>
      <c r="L315" s="66"/>
      <c r="M315" s="66"/>
      <c r="N315" s="66"/>
      <c r="O315" s="66"/>
      <c r="P315" s="66"/>
      <c r="S315" s="105"/>
    </row>
    <row r="316" spans="2:19" x14ac:dyDescent="0.2">
      <c r="B316" s="88"/>
      <c r="C316" s="497"/>
      <c r="D316" s="498"/>
      <c r="E316" s="172">
        <f>E315/$J$315</f>
        <v>0.51851851851851849</v>
      </c>
      <c r="F316" s="172">
        <f>F315/$J$315</f>
        <v>0.25925925925925924</v>
      </c>
      <c r="G316" s="172">
        <f>G315/$J$315</f>
        <v>8.6419753086419748E-2</v>
      </c>
      <c r="H316" s="172">
        <f>H315/$J$315</f>
        <v>0.13580246913580246</v>
      </c>
      <c r="I316" s="172">
        <f>I315/$J$315</f>
        <v>0</v>
      </c>
      <c r="J316" s="172">
        <f>SUM(E316:I316)</f>
        <v>0.99999999999999978</v>
      </c>
      <c r="K316" s="66"/>
      <c r="L316" s="66"/>
      <c r="M316" s="66"/>
      <c r="N316" s="66"/>
      <c r="O316" s="66"/>
      <c r="P316" s="66"/>
      <c r="S316" s="105"/>
    </row>
    <row r="317" spans="2:19" x14ac:dyDescent="0.2">
      <c r="B317" s="60"/>
      <c r="C317" s="66"/>
      <c r="D317" s="128"/>
      <c r="E317" s="128"/>
      <c r="F317" s="128"/>
      <c r="G317" s="128"/>
      <c r="H317" s="128"/>
      <c r="I317" s="128"/>
      <c r="J317" s="128"/>
      <c r="K317" s="66"/>
      <c r="L317" s="66"/>
      <c r="M317" s="66"/>
      <c r="N317" s="66"/>
      <c r="O317" s="66"/>
      <c r="P317" s="66"/>
      <c r="Q317" s="66"/>
      <c r="S317" s="105"/>
    </row>
    <row r="318" spans="2:19" x14ac:dyDescent="0.2">
      <c r="B318" s="60"/>
      <c r="C318" s="61"/>
      <c r="D318" s="111"/>
      <c r="E318" s="111"/>
      <c r="F318" s="111"/>
      <c r="G318" s="111"/>
      <c r="H318" s="111"/>
      <c r="I318" s="111"/>
      <c r="J318" s="111"/>
      <c r="K318" s="111"/>
      <c r="L318" s="111"/>
      <c r="M318" s="111"/>
      <c r="N318" s="66"/>
      <c r="O318" s="66"/>
      <c r="P318" s="66"/>
      <c r="Q318" s="66"/>
      <c r="S318" s="105"/>
    </row>
    <row r="319" spans="2:19" x14ac:dyDescent="0.2">
      <c r="B319" s="60"/>
      <c r="C319" s="136" t="s">
        <v>211</v>
      </c>
      <c r="D319" s="136" t="s">
        <v>212</v>
      </c>
      <c r="E319" s="66"/>
      <c r="F319" s="66"/>
      <c r="G319" s="66"/>
      <c r="H319" s="66"/>
      <c r="I319" s="66"/>
      <c r="J319" s="66"/>
      <c r="K319" s="66"/>
      <c r="M319" s="136" t="s">
        <v>213</v>
      </c>
      <c r="O319" s="66"/>
      <c r="P319" s="66"/>
      <c r="Q319" s="66"/>
      <c r="S319" s="105"/>
    </row>
    <row r="320" spans="2:19" x14ac:dyDescent="0.2">
      <c r="B320" s="88"/>
      <c r="C320" s="490"/>
      <c r="D320" s="491"/>
      <c r="E320" s="173" t="s">
        <v>202</v>
      </c>
      <c r="F320" s="173" t="s">
        <v>203</v>
      </c>
      <c r="G320" s="173" t="s">
        <v>204</v>
      </c>
      <c r="H320" s="173" t="s">
        <v>205</v>
      </c>
      <c r="I320" s="173" t="s">
        <v>206</v>
      </c>
      <c r="J320" s="173" t="s">
        <v>6</v>
      </c>
      <c r="K320" s="66"/>
      <c r="L320" s="66"/>
      <c r="M320" s="66"/>
      <c r="N320" s="66"/>
      <c r="O320" s="66"/>
      <c r="P320" s="66"/>
      <c r="S320" s="105"/>
    </row>
    <row r="321" spans="2:19" x14ac:dyDescent="0.2">
      <c r="B321" s="88"/>
      <c r="C321" s="495" t="s">
        <v>207</v>
      </c>
      <c r="D321" s="496"/>
      <c r="E321" s="169">
        <f>GETPIVOTDATA("Sum of 1 bed net",Pivot!$B$321,"Tenure","Open Market")</f>
        <v>91</v>
      </c>
      <c r="F321" s="169">
        <f>GETPIVOTDATA("Sum of 2 bed net",Pivot!$B$321,"Tenure","Open Market")</f>
        <v>152</v>
      </c>
      <c r="G321" s="169">
        <f>GETPIVOTDATA("Sum of 3 bed net",Pivot!$B$321,"Tenure","Open Market")</f>
        <v>43</v>
      </c>
      <c r="H321" s="169">
        <f>GETPIVOTDATA("Sum of 4 bed net",Pivot!$B$321,"Tenure","Open Market")+GETPIVOTDATA("Sum of 5 bed net",Pivot!$B$321,"Tenure","Open Market")+GETPIVOTDATA("Sum of 6 bed net",Pivot!$B$321,"Tenure","Open Market")</f>
        <v>24</v>
      </c>
      <c r="I321" s="169">
        <v>0</v>
      </c>
      <c r="J321" s="169">
        <f t="shared" ref="J321:J330" si="22">SUM(E321:I321)</f>
        <v>310</v>
      </c>
      <c r="K321" s="66"/>
      <c r="L321" s="66"/>
      <c r="M321" s="66"/>
      <c r="N321" s="66"/>
      <c r="O321" s="66"/>
      <c r="P321" s="66"/>
      <c r="S321" s="105"/>
    </row>
    <row r="322" spans="2:19" x14ac:dyDescent="0.2">
      <c r="B322" s="88"/>
      <c r="C322" s="495"/>
      <c r="D322" s="496"/>
      <c r="E322" s="170">
        <f>E321/$J$329</f>
        <v>0.17984189723320157</v>
      </c>
      <c r="F322" s="170">
        <f>F321/$J$329</f>
        <v>0.30039525691699603</v>
      </c>
      <c r="G322" s="170">
        <f>G321/$J$329</f>
        <v>8.4980237154150193E-2</v>
      </c>
      <c r="H322" s="170">
        <f>H321/$J$329</f>
        <v>4.7430830039525688E-2</v>
      </c>
      <c r="I322" s="170">
        <f>I321/$J$329</f>
        <v>0</v>
      </c>
      <c r="J322" s="170">
        <f>SUM(E322:I322)</f>
        <v>0.61264822134387342</v>
      </c>
      <c r="K322" s="66"/>
      <c r="L322" s="66"/>
      <c r="M322" s="66"/>
      <c r="N322" s="66"/>
      <c r="O322" s="66"/>
      <c r="P322" s="66"/>
      <c r="S322" s="105"/>
    </row>
    <row r="323" spans="2:19" x14ac:dyDescent="0.2">
      <c r="B323" s="88"/>
      <c r="C323" s="495" t="s">
        <v>208</v>
      </c>
      <c r="D323" s="496"/>
      <c r="E323" s="169">
        <f>GETPIVOTDATA("Sum of 1 bed net",Pivot!$B$321,"Tenure","Intermediate")+GETPIVOTDATA("Sum of 1 bed net",Pivot!$B$321,"Tenure","Shared Ownership")</f>
        <v>37</v>
      </c>
      <c r="F323" s="169">
        <f>GETPIVOTDATA("Sum of 2 bed net",Pivot!$B$321,"Tenure","Intermediate")+GETPIVOTDATA("Sum of 2 bed net",Pivot!$B$321,"Tenure","Shared Ownership")</f>
        <v>51</v>
      </c>
      <c r="G323" s="169">
        <f>GETPIVOTDATA("Sum of 3 bed net",Pivot!$B$321,"Tenure","Intermediate")+GETPIVOTDATA("Sum of 3 bed net",Pivot!$B$321,"Tenure","Shared Ownership")</f>
        <v>13</v>
      </c>
      <c r="H323" s="169">
        <v>0</v>
      </c>
      <c r="I323" s="169">
        <v>0</v>
      </c>
      <c r="J323" s="169">
        <f t="shared" si="22"/>
        <v>101</v>
      </c>
      <c r="K323" s="66"/>
      <c r="L323" s="66"/>
      <c r="M323" s="66"/>
      <c r="N323" s="66"/>
      <c r="O323" s="66"/>
      <c r="P323" s="66"/>
      <c r="S323" s="105"/>
    </row>
    <row r="324" spans="2:19" x14ac:dyDescent="0.2">
      <c r="B324" s="88"/>
      <c r="C324" s="495"/>
      <c r="D324" s="496"/>
      <c r="E324" s="170">
        <f>E323/$J$329</f>
        <v>7.3122529644268769E-2</v>
      </c>
      <c r="F324" s="170">
        <f>F323/$J$329</f>
        <v>0.1007905138339921</v>
      </c>
      <c r="G324" s="170">
        <f>G323/$J$329</f>
        <v>2.5691699604743084E-2</v>
      </c>
      <c r="H324" s="170">
        <f>H323/$J$329</f>
        <v>0</v>
      </c>
      <c r="I324" s="170">
        <f>I323/$J$329</f>
        <v>0</v>
      </c>
      <c r="J324" s="170">
        <f t="shared" si="22"/>
        <v>0.19960474308300394</v>
      </c>
      <c r="K324" s="66"/>
      <c r="L324" s="66"/>
      <c r="M324" s="66"/>
      <c r="N324" s="66"/>
      <c r="O324" s="66"/>
      <c r="P324" s="66"/>
      <c r="S324" s="105"/>
    </row>
    <row r="325" spans="2:19" x14ac:dyDescent="0.2">
      <c r="B325" s="88"/>
      <c r="C325" s="495" t="s">
        <v>209</v>
      </c>
      <c r="D325" s="496"/>
      <c r="E325" s="169">
        <f>GETPIVOTDATA("Sum of 1 bed net",Pivot!$B$321,"Tenure","Affordable rent")+GETPIVOTDATA("Sum of 1 bed net",Pivot!$B$321,"Tenure","London Affordable Rent")+GETPIVOTDATA("Sum of 1 bed net",Pivot!$B$321,"Tenure","London Living rent")</f>
        <v>51</v>
      </c>
      <c r="F325" s="169">
        <f>GETPIVOTDATA("Sum of 2 bed net",Pivot!$B$321,"Tenure","Affordable rent")+GETPIVOTDATA("Sum of 2 bed net",Pivot!$B$321,"Tenure","London Affordable Rent")+GETPIVOTDATA("Sum of 2 bed net",Pivot!$B$321,"Tenure","London Living rent")</f>
        <v>30</v>
      </c>
      <c r="G325" s="169">
        <f>GETPIVOTDATA("Sum of 3 bed net",Pivot!$B$321,"Tenure","Affordable rent")+GETPIVOTDATA("Sum of 3 bed net",Pivot!$B$321,"Tenure","London Affordable Rent")+GETPIVOTDATA("Sum of 3 bed net",Pivot!$B$321,"Tenure","London Living rent")</f>
        <v>14</v>
      </c>
      <c r="H325" s="169">
        <f>GETPIVOTDATA("Sum of 4 bed net",Pivot!$B$321,"Tenure","Affordable rent")+GETPIVOTDATA("Sum of 4 bed net",Pivot!$B$321,"Tenure","London Affordable Rent")+GETPIVOTDATA("Sum of 4 bed net",Pivot!$B$321,"Tenure","London Living rent")</f>
        <v>0</v>
      </c>
      <c r="I325" s="169">
        <v>0</v>
      </c>
      <c r="J325" s="169">
        <f t="shared" si="22"/>
        <v>95</v>
      </c>
      <c r="K325" s="66"/>
      <c r="L325" s="66"/>
      <c r="M325" s="66"/>
      <c r="N325" s="66"/>
      <c r="O325" s="66"/>
      <c r="P325" s="66"/>
      <c r="S325" s="105"/>
    </row>
    <row r="326" spans="2:19" x14ac:dyDescent="0.2">
      <c r="B326" s="88"/>
      <c r="C326" s="495"/>
      <c r="D326" s="496"/>
      <c r="E326" s="170">
        <f>E325/$J$329</f>
        <v>0.1007905138339921</v>
      </c>
      <c r="F326" s="170">
        <f>F325/$J$329</f>
        <v>5.9288537549407112E-2</v>
      </c>
      <c r="G326" s="170">
        <f>G325/$J$329</f>
        <v>2.766798418972332E-2</v>
      </c>
      <c r="H326" s="170">
        <f>H325/$J$329</f>
        <v>0</v>
      </c>
      <c r="I326" s="170">
        <f>I325/$J$329</f>
        <v>0</v>
      </c>
      <c r="J326" s="170">
        <f t="shared" si="22"/>
        <v>0.18774703557312253</v>
      </c>
      <c r="K326" s="66"/>
      <c r="L326" s="66"/>
      <c r="M326" s="66"/>
      <c r="N326" s="66"/>
      <c r="O326" s="66"/>
      <c r="P326" s="66"/>
      <c r="S326" s="105"/>
    </row>
    <row r="327" spans="2:19" x14ac:dyDescent="0.2">
      <c r="B327" s="88"/>
      <c r="C327" s="495" t="s">
        <v>210</v>
      </c>
      <c r="D327" s="496"/>
      <c r="E327" s="169">
        <v>0</v>
      </c>
      <c r="F327" s="169">
        <v>0</v>
      </c>
      <c r="G327" s="169">
        <v>0</v>
      </c>
      <c r="H327" s="169">
        <v>0</v>
      </c>
      <c r="I327" s="169">
        <v>0</v>
      </c>
      <c r="J327" s="169">
        <f t="shared" si="22"/>
        <v>0</v>
      </c>
      <c r="K327" s="66"/>
      <c r="L327" s="66"/>
      <c r="M327" s="66"/>
      <c r="N327" s="66"/>
      <c r="O327" s="66"/>
      <c r="P327" s="66"/>
      <c r="S327" s="105"/>
    </row>
    <row r="328" spans="2:19" x14ac:dyDescent="0.2">
      <c r="B328" s="88"/>
      <c r="C328" s="495"/>
      <c r="D328" s="496"/>
      <c r="E328" s="170">
        <f>E327/$J$329</f>
        <v>0</v>
      </c>
      <c r="F328" s="170">
        <f>F327/$J$329</f>
        <v>0</v>
      </c>
      <c r="G328" s="170">
        <f>G327/$J$329</f>
        <v>0</v>
      </c>
      <c r="H328" s="170">
        <f>H327/$J$329</f>
        <v>0</v>
      </c>
      <c r="I328" s="170">
        <f>I327/$J$329</f>
        <v>0</v>
      </c>
      <c r="J328" s="170">
        <f t="shared" si="22"/>
        <v>0</v>
      </c>
      <c r="K328" s="66"/>
      <c r="L328" s="66"/>
      <c r="M328" s="66"/>
      <c r="N328" s="66"/>
      <c r="O328" s="66"/>
      <c r="P328" s="66"/>
      <c r="S328" s="105"/>
    </row>
    <row r="329" spans="2:19" x14ac:dyDescent="0.2">
      <c r="B329" s="88"/>
      <c r="C329" s="497" t="s">
        <v>6</v>
      </c>
      <c r="D329" s="498"/>
      <c r="E329" s="171">
        <f>E321+E323+E325+E327</f>
        <v>179</v>
      </c>
      <c r="F329" s="171">
        <f>F321+F323+F325+F327</f>
        <v>233</v>
      </c>
      <c r="G329" s="171">
        <f>G321+G323+G325+G327</f>
        <v>70</v>
      </c>
      <c r="H329" s="171">
        <f>H321+H323+H325+H327</f>
        <v>24</v>
      </c>
      <c r="I329" s="171">
        <f>I321+I323+I325+I327</f>
        <v>0</v>
      </c>
      <c r="J329" s="171">
        <f>SUM(E329:I329)</f>
        <v>506</v>
      </c>
      <c r="K329" s="69"/>
      <c r="L329" s="66"/>
      <c r="M329" s="66"/>
      <c r="N329" s="66"/>
      <c r="O329" s="66"/>
      <c r="P329" s="66"/>
      <c r="S329" s="105"/>
    </row>
    <row r="330" spans="2:19" x14ac:dyDescent="0.2">
      <c r="B330" s="88"/>
      <c r="C330" s="497"/>
      <c r="D330" s="498"/>
      <c r="E330" s="172">
        <f>E329/$J$329</f>
        <v>0.35375494071146246</v>
      </c>
      <c r="F330" s="172">
        <f>F329/$J$329</f>
        <v>0.46047430830039526</v>
      </c>
      <c r="G330" s="172">
        <f>G329/$J$329</f>
        <v>0.13833992094861661</v>
      </c>
      <c r="H330" s="172">
        <f>H329/$J$329</f>
        <v>4.7430830039525688E-2</v>
      </c>
      <c r="I330" s="172">
        <f>I329/$J$329</f>
        <v>0</v>
      </c>
      <c r="J330" s="172">
        <f t="shared" si="22"/>
        <v>0.99999999999999989</v>
      </c>
      <c r="K330" s="66"/>
      <c r="L330" s="66"/>
      <c r="M330" s="66"/>
      <c r="N330" s="66"/>
      <c r="O330" s="66"/>
      <c r="P330" s="66"/>
      <c r="S330" s="105"/>
    </row>
    <row r="331" spans="2:19" x14ac:dyDescent="0.2">
      <c r="B331" s="60"/>
      <c r="C331" s="66"/>
      <c r="D331" s="128"/>
      <c r="E331" s="128"/>
      <c r="F331" s="128"/>
      <c r="G331" s="128"/>
      <c r="H331" s="128"/>
      <c r="I331" s="128"/>
      <c r="J331" s="128"/>
      <c r="K331" s="66"/>
      <c r="L331" s="66"/>
      <c r="M331" s="66"/>
      <c r="N331" s="66"/>
      <c r="O331" s="66"/>
      <c r="P331" s="66"/>
      <c r="Q331" s="66"/>
      <c r="S331" s="105"/>
    </row>
    <row r="332" spans="2:19" x14ac:dyDescent="0.2">
      <c r="B332" s="60"/>
      <c r="C332" s="66"/>
      <c r="D332" s="128"/>
      <c r="E332" s="128"/>
      <c r="F332" s="128"/>
      <c r="G332" s="128"/>
      <c r="H332" s="128"/>
      <c r="I332" s="128"/>
      <c r="J332" s="128"/>
      <c r="K332" s="66"/>
      <c r="L332" s="66"/>
      <c r="M332" s="66"/>
      <c r="N332" s="66"/>
      <c r="O332" s="66"/>
      <c r="P332" s="66"/>
      <c r="Q332" s="66"/>
      <c r="S332" s="105"/>
    </row>
    <row r="333" spans="2:19" x14ac:dyDescent="0.2">
      <c r="B333" s="60"/>
      <c r="D333" s="128"/>
      <c r="E333" s="128"/>
      <c r="F333" s="128"/>
      <c r="G333" s="128"/>
      <c r="H333" s="128"/>
      <c r="I333" s="128"/>
      <c r="J333" s="128"/>
      <c r="K333" s="66"/>
      <c r="L333" s="66"/>
      <c r="M333" s="66"/>
      <c r="N333" s="66"/>
      <c r="O333" s="66"/>
      <c r="P333" s="66"/>
      <c r="Q333" s="66"/>
      <c r="S333" s="105"/>
    </row>
    <row r="334" spans="2:19" x14ac:dyDescent="0.2">
      <c r="B334" s="60"/>
      <c r="C334" s="136" t="s">
        <v>214</v>
      </c>
      <c r="D334" s="136" t="s">
        <v>215</v>
      </c>
      <c r="E334" s="54"/>
      <c r="F334" s="54"/>
      <c r="G334" s="54"/>
      <c r="H334" s="54"/>
      <c r="I334" s="54"/>
      <c r="J334" s="54"/>
      <c r="K334" s="66"/>
      <c r="M334" s="174" t="s">
        <v>216</v>
      </c>
      <c r="O334" s="66"/>
      <c r="P334" s="66"/>
      <c r="Q334" s="66"/>
      <c r="S334" s="105"/>
    </row>
    <row r="335" spans="2:19" x14ac:dyDescent="0.2">
      <c r="B335" s="88"/>
      <c r="C335" s="490"/>
      <c r="D335" s="491"/>
      <c r="E335" s="173" t="s">
        <v>202</v>
      </c>
      <c r="F335" s="173" t="s">
        <v>203</v>
      </c>
      <c r="G335" s="173" t="s">
        <v>204</v>
      </c>
      <c r="H335" s="173" t="s">
        <v>205</v>
      </c>
      <c r="I335" s="173" t="s">
        <v>206</v>
      </c>
      <c r="J335" s="173" t="s">
        <v>6</v>
      </c>
      <c r="K335" s="66"/>
      <c r="L335" s="66"/>
      <c r="M335" s="66"/>
      <c r="N335" s="66"/>
      <c r="O335" s="66"/>
      <c r="P335" s="66"/>
      <c r="S335" s="105"/>
    </row>
    <row r="336" spans="2:19" x14ac:dyDescent="0.2">
      <c r="B336" s="88"/>
      <c r="C336" s="495" t="s">
        <v>207</v>
      </c>
      <c r="D336" s="496"/>
      <c r="E336" s="169">
        <f>GETPIVOTDATA("Sum of 1 bed net",Pivot!$B$338,"Tenure","Open Market")</f>
        <v>118</v>
      </c>
      <c r="F336" s="169">
        <f>GETPIVOTDATA("Sum of 2 bed net",Pivot!$B$338,"Tenure","Open Market")</f>
        <v>103</v>
      </c>
      <c r="G336" s="169">
        <f>GETPIVOTDATA("Sum of 3 bed net",Pivot!$B$338,"Tenure","Open Market")</f>
        <v>11</v>
      </c>
      <c r="H336" s="169">
        <f>GETPIVOTDATA("Sum of 4 bed net",Pivot!$B$338,"Tenure","Open Market")+GETPIVOTDATA("Sum of 5 bed net",Pivot!$B$338,"Tenure","Open Market")+GETPIVOTDATA("Sum of 6 bed net",Pivot!$B$338,"Tenure","Open Market")</f>
        <v>52</v>
      </c>
      <c r="I336" s="169">
        <v>0</v>
      </c>
      <c r="J336" s="169">
        <f t="shared" ref="J336:J343" si="23">SUM(E336:I336)</f>
        <v>284</v>
      </c>
      <c r="K336" s="66"/>
      <c r="L336" s="66"/>
      <c r="M336" s="66"/>
      <c r="N336" s="66"/>
      <c r="O336" s="66"/>
      <c r="P336" s="66"/>
      <c r="S336" s="105"/>
    </row>
    <row r="337" spans="2:19" x14ac:dyDescent="0.2">
      <c r="B337" s="88"/>
      <c r="C337" s="495"/>
      <c r="D337" s="496"/>
      <c r="E337" s="170">
        <f>E336/$J$344</f>
        <v>0.28028503562945367</v>
      </c>
      <c r="F337" s="170">
        <f t="shared" ref="F337:I337" si="24">F336/$J$344</f>
        <v>0.24465558194774348</v>
      </c>
      <c r="G337" s="170">
        <f t="shared" si="24"/>
        <v>2.6128266033254157E-2</v>
      </c>
      <c r="H337" s="170">
        <f t="shared" si="24"/>
        <v>0.12351543942992874</v>
      </c>
      <c r="I337" s="170">
        <f t="shared" si="24"/>
        <v>0</v>
      </c>
      <c r="J337" s="170">
        <f t="shared" si="23"/>
        <v>0.67458432304037996</v>
      </c>
      <c r="K337" s="66"/>
      <c r="L337" s="66"/>
      <c r="M337" s="66"/>
      <c r="N337" s="66"/>
      <c r="O337" s="66"/>
      <c r="P337" s="66"/>
      <c r="S337" s="105"/>
    </row>
    <row r="338" spans="2:19" x14ac:dyDescent="0.2">
      <c r="B338" s="88"/>
      <c r="C338" s="495" t="s">
        <v>217</v>
      </c>
      <c r="D338" s="496"/>
      <c r="E338" s="169">
        <f>GETPIVOTDATA("Sum of 1 bed net",Pivot!$B$338,"Tenure","Intermediate")+GETPIVOTDATA("Sum of 1 bed net",Pivot!$B$338,"Tenure","Shared Ownership")</f>
        <v>38</v>
      </c>
      <c r="F338" s="169">
        <f>GETPIVOTDATA("Sum of 2 bed net",Pivot!$B$338,"Tenure","Intermediate")+GETPIVOTDATA("Sum of 2 bed net",Pivot!$B$338,"Tenure","Shared Ownership")</f>
        <v>28</v>
      </c>
      <c r="G338" s="169">
        <f>GETPIVOTDATA("Sum of 3 bed net",Pivot!$B$338,"Tenure","Intermediate")+GETPIVOTDATA("Sum of 3 bed net",Pivot!$B$338,"Tenure","Shared Ownership")</f>
        <v>1</v>
      </c>
      <c r="H338" s="169">
        <f>GETPIVOTDATA("Sum of 4 bed net",Pivot!$B$338,"Tenure","Intermediate")+GETPIVOTDATA("Sum of 4 bed net",Pivot!$B$338,"Tenure","Shared Ownership")</f>
        <v>0</v>
      </c>
      <c r="I338" s="169">
        <v>0</v>
      </c>
      <c r="J338" s="169">
        <f t="shared" si="23"/>
        <v>67</v>
      </c>
      <c r="K338" s="66"/>
      <c r="L338" s="66"/>
      <c r="M338" s="66"/>
      <c r="N338" s="66"/>
      <c r="O338" s="66"/>
      <c r="P338" s="66"/>
      <c r="S338" s="105"/>
    </row>
    <row r="339" spans="2:19" x14ac:dyDescent="0.2">
      <c r="B339" s="88"/>
      <c r="C339" s="495"/>
      <c r="D339" s="496"/>
      <c r="E339" s="170">
        <f>E338/$J$344</f>
        <v>9.0261282660332537E-2</v>
      </c>
      <c r="F339" s="170">
        <f t="shared" ref="F339:I339" si="25">F338/$J$344</f>
        <v>6.6508313539192399E-2</v>
      </c>
      <c r="G339" s="170">
        <f t="shared" si="25"/>
        <v>2.3752969121140144E-3</v>
      </c>
      <c r="H339" s="170">
        <f>H338/$J$344</f>
        <v>0</v>
      </c>
      <c r="I339" s="170">
        <f t="shared" si="25"/>
        <v>0</v>
      </c>
      <c r="J339" s="170">
        <f t="shared" si="23"/>
        <v>0.15914489311163896</v>
      </c>
      <c r="K339" s="66"/>
      <c r="L339" s="66"/>
      <c r="M339" s="66"/>
      <c r="N339" s="66"/>
      <c r="O339" s="66"/>
      <c r="P339" s="66"/>
      <c r="S339" s="105"/>
    </row>
    <row r="340" spans="2:19" x14ac:dyDescent="0.2">
      <c r="B340" s="88"/>
      <c r="C340" s="495" t="s">
        <v>209</v>
      </c>
      <c r="D340" s="496"/>
      <c r="E340" s="169">
        <f>GETPIVOTDATA("Sum of 1 bed net",Pivot!$B$338,"Tenure","Affordable rent")+GETPIVOTDATA("Sum of 1 bed net",Pivot!$B$338,"Tenure","London Affordable Rent")+GETPIVOTDATA("Sum of 1 bed net",Pivot!$B$338,"Tenure","London Living rent")</f>
        <v>-64</v>
      </c>
      <c r="F340" s="169">
        <f>GETPIVOTDATA("Sum of 2 bed net",Pivot!$B$338,"Tenure","Affordable rent")+GETPIVOTDATA("Sum of 2 bed net",Pivot!$B$338,"Tenure","London Affordable Rent")+GETPIVOTDATA("Sum of 2 bed net",Pivot!$B$338,"Tenure","London Living rent")</f>
        <v>-16</v>
      </c>
      <c r="G340" s="169">
        <f>GETPIVOTDATA("Sum of 3 bed net",Pivot!$B$338,"Tenure","Affordable rent")+GETPIVOTDATA("Sum of 3 bed net",Pivot!$B$338,"Tenure","London Affordable Rent")+GETPIVOTDATA("Sum of 3 bed net",Pivot!$B$338,"Tenure","London Living rent")</f>
        <v>-10</v>
      </c>
      <c r="H340" s="169">
        <v>0</v>
      </c>
      <c r="I340" s="169">
        <v>0</v>
      </c>
      <c r="J340" s="169">
        <f t="shared" si="23"/>
        <v>-90</v>
      </c>
      <c r="K340" s="66"/>
      <c r="L340" s="66"/>
      <c r="M340" s="66"/>
      <c r="N340" s="66"/>
      <c r="O340" s="66"/>
      <c r="P340" s="66"/>
      <c r="S340" s="105"/>
    </row>
    <row r="341" spans="2:19" x14ac:dyDescent="0.2">
      <c r="B341" s="88"/>
      <c r="C341" s="495"/>
      <c r="D341" s="496"/>
      <c r="E341" s="170">
        <f>E340/$J$344</f>
        <v>-0.15201900237529692</v>
      </c>
      <c r="F341" s="170">
        <f t="shared" ref="F341:I341" si="26">F340/$J$344</f>
        <v>-3.800475059382423E-2</v>
      </c>
      <c r="G341" s="170">
        <f t="shared" si="26"/>
        <v>-2.3752969121140142E-2</v>
      </c>
      <c r="H341" s="170">
        <f t="shared" si="26"/>
        <v>0</v>
      </c>
      <c r="I341" s="170">
        <f t="shared" si="26"/>
        <v>0</v>
      </c>
      <c r="J341" s="170">
        <f t="shared" si="23"/>
        <v>-0.2137767220902613</v>
      </c>
      <c r="K341" s="66"/>
      <c r="L341" s="66"/>
      <c r="M341" s="66"/>
      <c r="N341" s="66"/>
      <c r="O341" s="66"/>
      <c r="P341" s="66"/>
      <c r="S341" s="105"/>
    </row>
    <row r="342" spans="2:19" x14ac:dyDescent="0.2">
      <c r="B342" s="88"/>
      <c r="C342" s="495" t="s">
        <v>210</v>
      </c>
      <c r="D342" s="496"/>
      <c r="E342" s="169">
        <f>GETPIVOTDATA("Sum of 1 bed net",Pivot!$B$338,"Tenure","Social Rent")</f>
        <v>103</v>
      </c>
      <c r="F342" s="169">
        <f>GETPIVOTDATA("Sum of 2 bed net",Pivot!$B$338,"Tenure","Social Rent")</f>
        <v>38</v>
      </c>
      <c r="G342" s="169">
        <f>GETPIVOTDATA("Sum of 3 bed net",Pivot!$B$338,"Tenure","Social Rent")</f>
        <v>16</v>
      </c>
      <c r="H342" s="169">
        <f>GETPIVOTDATA("Sum of 4 bed net",Pivot!$B$338,"Tenure","Social Rent")</f>
        <v>3</v>
      </c>
      <c r="I342" s="169">
        <v>0</v>
      </c>
      <c r="J342" s="169">
        <f t="shared" si="23"/>
        <v>160</v>
      </c>
      <c r="K342" s="66"/>
      <c r="L342" s="66"/>
      <c r="M342" s="66"/>
      <c r="N342" s="66"/>
      <c r="O342" s="66"/>
      <c r="P342" s="66"/>
      <c r="S342" s="105"/>
    </row>
    <row r="343" spans="2:19" x14ac:dyDescent="0.2">
      <c r="B343" s="88"/>
      <c r="C343" s="495"/>
      <c r="D343" s="496"/>
      <c r="E343" s="170">
        <f>E342/$J$344</f>
        <v>0.24465558194774348</v>
      </c>
      <c r="F343" s="170">
        <f t="shared" ref="F343:I343" si="27">F342/$J$344</f>
        <v>9.0261282660332537E-2</v>
      </c>
      <c r="G343" s="170">
        <f t="shared" si="27"/>
        <v>3.800475059382423E-2</v>
      </c>
      <c r="H343" s="170">
        <f t="shared" si="27"/>
        <v>7.1258907363420431E-3</v>
      </c>
      <c r="I343" s="170">
        <f t="shared" si="27"/>
        <v>0</v>
      </c>
      <c r="J343" s="170">
        <f t="shared" si="23"/>
        <v>0.38004750593824232</v>
      </c>
      <c r="K343" s="66"/>
      <c r="L343" s="66"/>
      <c r="M343" s="66"/>
      <c r="N343" s="66"/>
      <c r="O343" s="66"/>
      <c r="P343" s="66"/>
      <c r="S343" s="105"/>
    </row>
    <row r="344" spans="2:19" x14ac:dyDescent="0.2">
      <c r="B344" s="88"/>
      <c r="C344" s="497" t="s">
        <v>6</v>
      </c>
      <c r="D344" s="498"/>
      <c r="E344" s="171">
        <f>E336+E338+E340+E342</f>
        <v>195</v>
      </c>
      <c r="F344" s="171">
        <f t="shared" ref="F344:I344" si="28">F336+F338+F340+F342</f>
        <v>153</v>
      </c>
      <c r="G344" s="171">
        <f>G336+G338+G340+G342</f>
        <v>18</v>
      </c>
      <c r="H344" s="171">
        <f>H336+H338+H340+H342</f>
        <v>55</v>
      </c>
      <c r="I344" s="171">
        <f t="shared" si="28"/>
        <v>0</v>
      </c>
      <c r="J344" s="171">
        <f>SUM(E344:I344)</f>
        <v>421</v>
      </c>
      <c r="K344" s="69"/>
      <c r="L344" s="66"/>
      <c r="M344" s="66"/>
      <c r="N344" s="66"/>
      <c r="O344" s="66"/>
      <c r="P344" s="66"/>
      <c r="S344" s="105"/>
    </row>
    <row r="345" spans="2:19" x14ac:dyDescent="0.2">
      <c r="B345" s="88"/>
      <c r="C345" s="497"/>
      <c r="D345" s="498"/>
      <c r="E345" s="172">
        <f>E344/$J$344</f>
        <v>0.46318289786223277</v>
      </c>
      <c r="F345" s="172">
        <f>F344/$J$344</f>
        <v>0.36342042755344417</v>
      </c>
      <c r="G345" s="172">
        <f>G344/$J$344</f>
        <v>4.2755344418052253E-2</v>
      </c>
      <c r="H345" s="172">
        <f>H344/$J$344</f>
        <v>0.13064133016627077</v>
      </c>
      <c r="I345" s="172">
        <f>I344/$J$344</f>
        <v>0</v>
      </c>
      <c r="J345" s="172">
        <f>SUM(E345:I345)</f>
        <v>1</v>
      </c>
      <c r="K345" s="66"/>
      <c r="L345" s="66"/>
      <c r="M345" s="66"/>
      <c r="N345" s="66"/>
      <c r="O345" s="66"/>
      <c r="P345" s="66"/>
      <c r="S345" s="105"/>
    </row>
    <row r="346" spans="2:19" x14ac:dyDescent="0.2">
      <c r="B346" s="60"/>
      <c r="C346" s="66"/>
      <c r="D346" s="128"/>
      <c r="E346" s="128"/>
      <c r="F346" s="128"/>
      <c r="G346" s="128"/>
      <c r="H346" s="128"/>
      <c r="I346" s="128"/>
      <c r="J346" s="128"/>
      <c r="K346" s="66"/>
      <c r="L346" s="66"/>
      <c r="M346" s="66"/>
      <c r="N346" s="66"/>
      <c r="O346" s="66"/>
      <c r="P346" s="66"/>
      <c r="Q346" s="66"/>
      <c r="S346" s="105"/>
    </row>
    <row r="347" spans="2:19" x14ac:dyDescent="0.2">
      <c r="B347" s="60"/>
      <c r="C347" s="66"/>
      <c r="D347" s="128"/>
      <c r="E347" s="128"/>
      <c r="F347" s="128"/>
      <c r="G347" s="128"/>
      <c r="H347" s="128"/>
      <c r="I347" s="128"/>
      <c r="J347" s="128"/>
      <c r="K347" s="66"/>
      <c r="L347" s="66"/>
      <c r="M347" s="66"/>
      <c r="N347" s="66"/>
      <c r="O347" s="66"/>
      <c r="P347" s="66"/>
      <c r="Q347" s="66"/>
      <c r="S347" s="105"/>
    </row>
    <row r="348" spans="2:19" x14ac:dyDescent="0.2">
      <c r="B348" s="96"/>
      <c r="C348" s="68"/>
      <c r="D348" s="129"/>
      <c r="E348" s="129"/>
      <c r="F348" s="129"/>
      <c r="G348" s="129"/>
      <c r="H348" s="129"/>
      <c r="I348" s="129"/>
      <c r="J348" s="129"/>
      <c r="K348" s="68"/>
      <c r="L348" s="68"/>
      <c r="M348" s="68"/>
      <c r="N348" s="68"/>
      <c r="O348" s="68"/>
      <c r="P348" s="68"/>
      <c r="Q348" s="68"/>
      <c r="R348" s="108"/>
      <c r="S348" s="109"/>
    </row>
    <row r="349" spans="2:19" x14ac:dyDescent="0.2">
      <c r="B349" s="100"/>
      <c r="C349" s="58"/>
      <c r="D349" s="130"/>
      <c r="E349" s="130"/>
      <c r="F349" s="130"/>
      <c r="G349" s="130"/>
      <c r="H349" s="130"/>
      <c r="I349" s="130"/>
      <c r="J349" s="130"/>
      <c r="K349" s="58"/>
      <c r="L349" s="58"/>
      <c r="M349" s="58"/>
      <c r="N349" s="58"/>
      <c r="O349" s="58"/>
      <c r="P349" s="58"/>
      <c r="Q349" s="58"/>
      <c r="R349" s="56"/>
      <c r="S349" s="110"/>
    </row>
    <row r="350" spans="2:19" ht="20.25" x14ac:dyDescent="0.3">
      <c r="B350" s="60"/>
      <c r="C350" s="147" t="s">
        <v>218</v>
      </c>
      <c r="D350" s="391"/>
      <c r="E350" s="391"/>
      <c r="F350" s="391"/>
      <c r="G350" s="391"/>
      <c r="H350" s="391"/>
      <c r="I350" s="391"/>
      <c r="J350" s="391"/>
      <c r="K350" s="54"/>
      <c r="L350" s="54"/>
      <c r="M350" s="66"/>
      <c r="N350" s="66"/>
      <c r="O350" s="66"/>
      <c r="P350" s="66"/>
      <c r="Q350" s="66"/>
      <c r="S350" s="105"/>
    </row>
    <row r="351" spans="2:19" x14ac:dyDescent="0.2">
      <c r="B351" s="60"/>
      <c r="C351" s="54"/>
      <c r="D351" s="391"/>
      <c r="E351" s="391"/>
      <c r="F351" s="391"/>
      <c r="G351" s="391"/>
      <c r="H351" s="391"/>
      <c r="I351" s="391"/>
      <c r="J351" s="391"/>
      <c r="K351" s="54"/>
      <c r="L351" s="54"/>
      <c r="M351" s="66"/>
      <c r="N351" s="66"/>
      <c r="O351" s="66"/>
      <c r="P351" s="66"/>
      <c r="Q351" s="66"/>
      <c r="S351" s="105"/>
    </row>
    <row r="352" spans="2:19" x14ac:dyDescent="0.2">
      <c r="B352" s="60"/>
      <c r="C352" s="136" t="s">
        <v>219</v>
      </c>
      <c r="D352" s="136" t="s">
        <v>220</v>
      </c>
      <c r="E352" s="392"/>
      <c r="F352" s="392"/>
      <c r="G352" s="392"/>
      <c r="H352" s="392"/>
      <c r="I352" s="392"/>
      <c r="J352" s="392"/>
      <c r="K352" s="393"/>
      <c r="L352" s="393"/>
      <c r="M352" s="66"/>
      <c r="N352" s="66"/>
      <c r="O352" s="66"/>
      <c r="P352" s="66"/>
      <c r="Q352" s="66"/>
      <c r="S352" s="105"/>
    </row>
    <row r="353" spans="2:19" x14ac:dyDescent="0.2">
      <c r="B353" s="88"/>
      <c r="C353" s="411" t="s">
        <v>221</v>
      </c>
      <c r="D353" s="411"/>
      <c r="E353" s="411"/>
      <c r="F353" s="411"/>
      <c r="G353" s="411"/>
      <c r="H353" s="411"/>
      <c r="I353" s="411"/>
      <c r="J353" s="411"/>
      <c r="K353" s="411"/>
      <c r="L353" s="411"/>
      <c r="M353" s="66"/>
      <c r="N353" s="66"/>
      <c r="O353" s="66"/>
      <c r="P353" s="66"/>
      <c r="S353" s="105"/>
    </row>
    <row r="354" spans="2:19" ht="39" x14ac:dyDescent="0.2">
      <c r="B354" s="88"/>
      <c r="C354" s="499" t="s">
        <v>155</v>
      </c>
      <c r="D354" s="429"/>
      <c r="E354" s="429"/>
      <c r="F354" s="181" t="s">
        <v>222</v>
      </c>
      <c r="G354" s="181" t="s">
        <v>66</v>
      </c>
      <c r="H354" s="181" t="s">
        <v>223</v>
      </c>
      <c r="I354" s="181" t="s">
        <v>224</v>
      </c>
      <c r="J354" s="181" t="s">
        <v>225</v>
      </c>
      <c r="K354" s="181" t="s">
        <v>226</v>
      </c>
      <c r="L354" s="182" t="s">
        <v>6</v>
      </c>
      <c r="M354" s="66"/>
      <c r="N354" s="66"/>
      <c r="O354" s="66"/>
      <c r="P354" s="66"/>
      <c r="S354" s="105"/>
    </row>
    <row r="355" spans="2:19" x14ac:dyDescent="0.2">
      <c r="B355" s="88"/>
      <c r="C355" s="414" t="s">
        <v>158</v>
      </c>
      <c r="D355" s="415"/>
      <c r="E355" s="415"/>
      <c r="F355" s="183">
        <f>GETPIVOTDATA("Net Dwellings",Pivot!$B$357,"Ward_Name",C355)</f>
        <v>2</v>
      </c>
      <c r="G355" s="183">
        <f>GETPIVOTDATA("Net Dwellings",Pivot!$E$357,"Ward_Name",C355)</f>
        <v>1</v>
      </c>
      <c r="H355" s="183">
        <v>0</v>
      </c>
      <c r="I355" s="183">
        <f>GETPIVOTDATA("Net Dwellings",Pivot!$B$389,"Ward_Name",C355)</f>
        <v>0</v>
      </c>
      <c r="J355" s="183">
        <v>0</v>
      </c>
      <c r="K355" s="183">
        <v>0</v>
      </c>
      <c r="L355" s="184">
        <f>SUM(F355:K355)</f>
        <v>3</v>
      </c>
      <c r="M355" s="66"/>
      <c r="N355" s="66"/>
      <c r="O355" s="66"/>
      <c r="P355" s="66"/>
      <c r="S355" s="105"/>
    </row>
    <row r="356" spans="2:19" ht="12.75" customHeight="1" x14ac:dyDescent="0.2">
      <c r="B356" s="88"/>
      <c r="C356" s="414" t="s">
        <v>140</v>
      </c>
      <c r="D356" s="415"/>
      <c r="E356" s="415"/>
      <c r="F356" s="183">
        <f>GETPIVOTDATA("Net Dwellings",Pivot!$B$357,"Ward_Name",C356)</f>
        <v>2</v>
      </c>
      <c r="G356" s="183">
        <f>GETPIVOTDATA("Net Dwellings",Pivot!$E$357,"Ward_Name",C356)</f>
        <v>4</v>
      </c>
      <c r="H356" s="183">
        <f>GETPIVOTDATA("Net Dwellings",Pivot!$H$357,"Ward_Name",C356)</f>
        <v>1</v>
      </c>
      <c r="I356" s="183">
        <f>GETPIVOTDATA("Net Dwellings",Pivot!$B$389,"Ward_Name",C356)</f>
        <v>6</v>
      </c>
      <c r="J356" s="183">
        <f>GETPIVOTDATA("Net Dwellings",Pivot!$H$389,"Ward_Name",C356)</f>
        <v>2</v>
      </c>
      <c r="K356" s="183">
        <v>0</v>
      </c>
      <c r="L356" s="184">
        <f t="shared" ref="L356:L372" si="29">SUM(F356:K356)</f>
        <v>15</v>
      </c>
      <c r="M356" s="66"/>
      <c r="N356" s="66"/>
      <c r="O356" s="66"/>
      <c r="P356" s="66"/>
      <c r="S356" s="105"/>
    </row>
    <row r="357" spans="2:19" x14ac:dyDescent="0.2">
      <c r="B357" s="88"/>
      <c r="C357" s="414" t="s">
        <v>159</v>
      </c>
      <c r="D357" s="415"/>
      <c r="E357" s="415"/>
      <c r="F357" s="183">
        <f>GETPIVOTDATA("Net Dwellings",Pivot!$B$357,"Ward_Name",C357)</f>
        <v>42</v>
      </c>
      <c r="G357" s="183">
        <f>GETPIVOTDATA("Net Dwellings",Pivot!$E$357,"Ward_Name",C357)</f>
        <v>10</v>
      </c>
      <c r="H357" s="183">
        <f>GETPIVOTDATA("Net Dwellings",Pivot!$H$357,"Ward_Name",C357)</f>
        <v>2</v>
      </c>
      <c r="I357" s="183">
        <f>GETPIVOTDATA("Net Dwellings",Pivot!$B$389,"Ward_Name",C357)</f>
        <v>7</v>
      </c>
      <c r="J357" s="183">
        <f>GETPIVOTDATA("Net Dwellings",Pivot!$H$389,"Ward_Name",C357)</f>
        <v>14</v>
      </c>
      <c r="K357" s="183">
        <f>GETPIVOTDATA("Sum of 2024-2034 Total",Pivot!$B$432,"Ward_Name",C357)</f>
        <v>100</v>
      </c>
      <c r="L357" s="184">
        <f t="shared" si="29"/>
        <v>175</v>
      </c>
      <c r="M357" s="66"/>
      <c r="N357" s="66"/>
      <c r="O357" s="66"/>
      <c r="P357" s="66"/>
      <c r="S357" s="105"/>
    </row>
    <row r="358" spans="2:19" x14ac:dyDescent="0.2">
      <c r="B358" s="88"/>
      <c r="C358" s="500" t="s">
        <v>160</v>
      </c>
      <c r="D358" s="500"/>
      <c r="E358" s="414"/>
      <c r="F358" s="183">
        <f>GETPIVOTDATA("Net Dwellings",Pivot!$B$357,"Ward_Name",C358)</f>
        <v>1</v>
      </c>
      <c r="G358" s="183">
        <f>GETPIVOTDATA("Net Dwellings",Pivot!$E$357,"Ward_Name",C358)</f>
        <v>263</v>
      </c>
      <c r="H358" s="183">
        <f>GETPIVOTDATA("Net Dwellings",Pivot!$H$357,"Ward_Name",C358)</f>
        <v>1</v>
      </c>
      <c r="I358" s="183">
        <f>GETPIVOTDATA("Net Dwellings",Pivot!$B$389,"Ward_Name",C358)</f>
        <v>0</v>
      </c>
      <c r="J358" s="183">
        <v>0</v>
      </c>
      <c r="K358" s="183">
        <v>0</v>
      </c>
      <c r="L358" s="184">
        <f t="shared" si="29"/>
        <v>265</v>
      </c>
      <c r="M358" s="66"/>
      <c r="N358" s="66"/>
      <c r="O358" s="66"/>
      <c r="P358" s="66"/>
      <c r="S358" s="105"/>
    </row>
    <row r="359" spans="2:19" x14ac:dyDescent="0.2">
      <c r="B359" s="88"/>
      <c r="C359" s="414" t="s">
        <v>161</v>
      </c>
      <c r="D359" s="415"/>
      <c r="E359" s="415"/>
      <c r="F359" s="183">
        <f>GETPIVOTDATA("Net Dwellings",Pivot!$B$357,"Ward_Name",C359)</f>
        <v>4</v>
      </c>
      <c r="G359" s="183">
        <f>GETPIVOTDATA("Net Dwellings",Pivot!$E$357,"Ward_Name",C359)</f>
        <v>5</v>
      </c>
      <c r="H359" s="183">
        <f>GETPIVOTDATA("Net Dwellings",Pivot!$H$357,"Ward_Name",C359)</f>
        <v>4</v>
      </c>
      <c r="I359" s="183">
        <f>GETPIVOTDATA("Net Dwellings",Pivot!$B$389,"Ward_Name",C359)</f>
        <v>4</v>
      </c>
      <c r="J359" s="183">
        <f>GETPIVOTDATA("Net Dwellings",Pivot!$H$389,"Ward_Name",C359)</f>
        <v>2</v>
      </c>
      <c r="K359" s="183">
        <v>0</v>
      </c>
      <c r="L359" s="184">
        <f t="shared" si="29"/>
        <v>19</v>
      </c>
      <c r="M359" s="66"/>
      <c r="N359" s="66"/>
      <c r="O359" s="66"/>
      <c r="P359" s="66"/>
      <c r="S359" s="105"/>
    </row>
    <row r="360" spans="2:19" x14ac:dyDescent="0.2">
      <c r="B360" s="88"/>
      <c r="C360" s="414" t="s">
        <v>162</v>
      </c>
      <c r="D360" s="415"/>
      <c r="E360" s="415"/>
      <c r="F360" s="183">
        <f>GETPIVOTDATA("Net Dwellings",Pivot!$B$357,"Ward_Name",C360)</f>
        <v>4</v>
      </c>
      <c r="G360" s="183">
        <f>GETPIVOTDATA("Net Dwellings",Pivot!$E$357,"Ward_Name",C360)</f>
        <v>0</v>
      </c>
      <c r="H360" s="183">
        <v>0</v>
      </c>
      <c r="I360" s="183">
        <f>GETPIVOTDATA("Net Dwellings",Pivot!$B$389,"Ward_Name",C360)</f>
        <v>1</v>
      </c>
      <c r="J360" s="183">
        <v>0</v>
      </c>
      <c r="K360" s="183">
        <v>0</v>
      </c>
      <c r="L360" s="184">
        <f t="shared" si="29"/>
        <v>5</v>
      </c>
      <c r="M360" s="66"/>
      <c r="N360" s="66"/>
      <c r="O360" s="66"/>
      <c r="P360" s="66"/>
      <c r="S360" s="105"/>
    </row>
    <row r="361" spans="2:19" x14ac:dyDescent="0.2">
      <c r="B361" s="88"/>
      <c r="C361" s="414" t="s">
        <v>163</v>
      </c>
      <c r="D361" s="415"/>
      <c r="E361" s="415"/>
      <c r="F361" s="183">
        <f>GETPIVOTDATA("Net Dwellings",Pivot!$B$357,"Ward_Name",C361)</f>
        <v>17</v>
      </c>
      <c r="G361" s="183">
        <f>GETPIVOTDATA("Net Dwellings",Pivot!$E$357,"Ward_Name",C361)</f>
        <v>19</v>
      </c>
      <c r="H361" s="183">
        <f>GETPIVOTDATA("Net Dwellings",Pivot!$H$357,"Ward_Name",C361)</f>
        <v>13</v>
      </c>
      <c r="I361" s="183">
        <f>GETPIVOTDATA("Net Dwellings",Pivot!$B$389,"Ward_Name",C361)</f>
        <v>0</v>
      </c>
      <c r="J361" s="183">
        <v>0</v>
      </c>
      <c r="K361" s="183">
        <f>GETPIVOTDATA("Sum of 2024-2034 Total",Pivot!$B$432,"Ward_Name",C361)</f>
        <v>70</v>
      </c>
      <c r="L361" s="184">
        <f t="shared" si="29"/>
        <v>119</v>
      </c>
      <c r="M361" s="66"/>
      <c r="N361" s="66"/>
      <c r="O361" s="66"/>
      <c r="P361" s="66"/>
      <c r="S361" s="105"/>
    </row>
    <row r="362" spans="2:19" x14ac:dyDescent="0.2">
      <c r="B362" s="88"/>
      <c r="C362" s="414" t="s">
        <v>164</v>
      </c>
      <c r="D362" s="415"/>
      <c r="E362" s="415"/>
      <c r="F362" s="183">
        <f>GETPIVOTDATA("Net Dwellings",Pivot!$B$357,"Ward_Name",C362)</f>
        <v>4</v>
      </c>
      <c r="G362" s="183">
        <f>GETPIVOTDATA("Net Dwellings",Pivot!$E$357,"Ward_Name",C362)</f>
        <v>2</v>
      </c>
      <c r="H362" s="183">
        <f>GETPIVOTDATA("Net Dwellings",Pivot!$H$357,"Ward_Name",C362)</f>
        <v>1</v>
      </c>
      <c r="I362" s="183">
        <f>GETPIVOTDATA("Net Dwellings",Pivot!$B$389,"Ward_Name",C362)</f>
        <v>2</v>
      </c>
      <c r="J362" s="183">
        <f>GETPIVOTDATA("Net Dwellings",Pivot!$H$389,"Ward_Name",C362)</f>
        <v>1</v>
      </c>
      <c r="K362" s="183">
        <v>0</v>
      </c>
      <c r="L362" s="184">
        <f t="shared" si="29"/>
        <v>10</v>
      </c>
      <c r="M362" s="66"/>
      <c r="N362" s="66"/>
      <c r="O362" s="66"/>
      <c r="P362" s="66"/>
      <c r="S362" s="105"/>
    </row>
    <row r="363" spans="2:19" x14ac:dyDescent="0.2">
      <c r="B363" s="88"/>
      <c r="C363" s="414" t="s">
        <v>165</v>
      </c>
      <c r="D363" s="415"/>
      <c r="E363" s="415"/>
      <c r="F363" s="183">
        <f>GETPIVOTDATA("Net Dwellings",Pivot!$B$357,"Ward_Name",C363)</f>
        <v>88</v>
      </c>
      <c r="G363" s="183">
        <f>GETPIVOTDATA("Net Dwellings",Pivot!$E$357,"Ward_Name",C363)</f>
        <v>5</v>
      </c>
      <c r="H363" s="183">
        <v>0</v>
      </c>
      <c r="I363" s="183">
        <f>GETPIVOTDATA("Net Dwellings",Pivot!$B$389,"Ward_Name",C363)</f>
        <v>-2</v>
      </c>
      <c r="J363" s="183">
        <f>GETPIVOTDATA("Net Dwellings",Pivot!$H$389,"Ward_Name",C363)</f>
        <v>1</v>
      </c>
      <c r="K363" s="183">
        <v>0</v>
      </c>
      <c r="L363" s="184">
        <f t="shared" si="29"/>
        <v>92</v>
      </c>
      <c r="M363" s="66"/>
      <c r="N363" s="66"/>
      <c r="O363" s="66"/>
      <c r="P363" s="66"/>
      <c r="S363" s="105"/>
    </row>
    <row r="364" spans="2:19" x14ac:dyDescent="0.2">
      <c r="B364" s="88"/>
      <c r="C364" s="414" t="s">
        <v>166</v>
      </c>
      <c r="D364" s="415"/>
      <c r="E364" s="415"/>
      <c r="F364" s="183">
        <f>GETPIVOTDATA("Net Dwellings",Pivot!$B$357,"Ward_Name",C364)</f>
        <v>16</v>
      </c>
      <c r="G364" s="183">
        <f>GETPIVOTDATA("Net Dwellings",Pivot!$E$357,"Ward_Name",C364)</f>
        <v>6</v>
      </c>
      <c r="H364" s="183">
        <f>GETPIVOTDATA("Net Dwellings",Pivot!$H$357,"Ward_Name",C364)</f>
        <v>2</v>
      </c>
      <c r="I364" s="183">
        <f>GETPIVOTDATA("Net Dwellings",Pivot!$B$389,"Ward_Name",C364)</f>
        <v>2</v>
      </c>
      <c r="J364" s="183">
        <f>GETPIVOTDATA("Net Dwellings",Pivot!$H$389,"Ward_Name",C364)</f>
        <v>1</v>
      </c>
      <c r="K364" s="183">
        <f>GETPIVOTDATA("Sum of 2024-2034 Total",Pivot!$B$432,"Ward_Name",C364)</f>
        <v>1178</v>
      </c>
      <c r="L364" s="184">
        <f t="shared" si="29"/>
        <v>1205</v>
      </c>
      <c r="M364" s="66"/>
      <c r="N364" s="66"/>
      <c r="O364" s="66"/>
      <c r="P364" s="66"/>
      <c r="S364" s="105"/>
    </row>
    <row r="365" spans="2:19" x14ac:dyDescent="0.2">
      <c r="B365" s="88"/>
      <c r="C365" s="414" t="s">
        <v>167</v>
      </c>
      <c r="D365" s="415"/>
      <c r="E365" s="415"/>
      <c r="F365" s="183">
        <f>GETPIVOTDATA("Net Dwellings",Pivot!$B$357,"Ward_Name",C365)</f>
        <v>19</v>
      </c>
      <c r="G365" s="183">
        <f>GETPIVOTDATA("Net Dwellings",Pivot!$E$357,"Ward_Name",C365)</f>
        <v>1</v>
      </c>
      <c r="H365" s="183">
        <f>GETPIVOTDATA("Net Dwellings",Pivot!$H$357,"Ward_Name",C365)</f>
        <v>78</v>
      </c>
      <c r="I365" s="183">
        <v>0</v>
      </c>
      <c r="J365" s="183">
        <v>0</v>
      </c>
      <c r="K365" s="183">
        <f>GETPIVOTDATA("Sum of 2024-2034 Total",Pivot!$B$432,"Ward_Name",C365)</f>
        <v>703</v>
      </c>
      <c r="L365" s="184">
        <f t="shared" si="29"/>
        <v>801</v>
      </c>
      <c r="M365" s="66"/>
      <c r="N365" s="66"/>
      <c r="O365" s="66"/>
      <c r="P365" s="66"/>
      <c r="S365" s="105"/>
    </row>
    <row r="366" spans="2:19" x14ac:dyDescent="0.2">
      <c r="B366" s="88"/>
      <c r="C366" s="414" t="s">
        <v>168</v>
      </c>
      <c r="D366" s="415"/>
      <c r="E366" s="415"/>
      <c r="F366" s="183">
        <f>GETPIVOTDATA("Net Dwellings",Pivot!$B$357,"Ward_Name",C366)</f>
        <v>13</v>
      </c>
      <c r="G366" s="183">
        <f>GETPIVOTDATA("Net Dwellings",Pivot!$E$357,"Ward_Name",C366)</f>
        <v>15</v>
      </c>
      <c r="H366" s="183">
        <f>GETPIVOTDATA("Net Dwellings",Pivot!$H$357,"Ward_Name",C366)</f>
        <v>19</v>
      </c>
      <c r="I366" s="183">
        <f>GETPIVOTDATA("Net Dwellings",Pivot!$B$389,"Ward_Name",C366)</f>
        <v>2</v>
      </c>
      <c r="J366" s="183">
        <f>GETPIVOTDATA("Net Dwellings",Pivot!$H$389,"Ward_Name",C366)</f>
        <v>7</v>
      </c>
      <c r="K366" s="183">
        <v>0</v>
      </c>
      <c r="L366" s="184">
        <f t="shared" si="29"/>
        <v>56</v>
      </c>
      <c r="M366" s="66"/>
      <c r="N366" s="66"/>
      <c r="O366" s="66"/>
      <c r="P366" s="66"/>
      <c r="S366" s="105"/>
    </row>
    <row r="367" spans="2:19" x14ac:dyDescent="0.2">
      <c r="B367" s="88"/>
      <c r="C367" s="414" t="s">
        <v>169</v>
      </c>
      <c r="D367" s="415"/>
      <c r="E367" s="415"/>
      <c r="F367" s="183">
        <f>GETPIVOTDATA("Net Dwellings",Pivot!$B$357,"Ward_Name",C367)</f>
        <v>16</v>
      </c>
      <c r="G367" s="183">
        <f>GETPIVOTDATA("Net Dwellings",Pivot!$E$357,"Ward_Name",C367)</f>
        <v>7</v>
      </c>
      <c r="H367" s="183">
        <f>GETPIVOTDATA("Net Dwellings",Pivot!$H$357,"Ward_Name",C367)</f>
        <v>4</v>
      </c>
      <c r="I367" s="183">
        <f>GETPIVOTDATA("Net Dwellings",Pivot!$B$389,"Ward_Name",C367)</f>
        <v>12</v>
      </c>
      <c r="J367" s="183">
        <v>0</v>
      </c>
      <c r="K367" s="183">
        <f>GETPIVOTDATA("Sum of 2024-2034 Total",Pivot!$B$432,"Ward_Name",C367)</f>
        <v>116</v>
      </c>
      <c r="L367" s="184">
        <f t="shared" si="29"/>
        <v>155</v>
      </c>
      <c r="M367" s="66"/>
      <c r="N367" s="66"/>
      <c r="O367" s="66"/>
      <c r="P367" s="66"/>
      <c r="S367" s="105"/>
    </row>
    <row r="368" spans="2:19" x14ac:dyDescent="0.2">
      <c r="B368" s="88"/>
      <c r="C368" s="414" t="s">
        <v>170</v>
      </c>
      <c r="D368" s="415"/>
      <c r="E368" s="415"/>
      <c r="F368" s="183">
        <f>GETPIVOTDATA("Net Dwellings",Pivot!$B$357,"Ward_Name",C368)</f>
        <v>213</v>
      </c>
      <c r="G368" s="183">
        <f>GETPIVOTDATA("Net Dwellings",Pivot!$E$357,"Ward_Name",C368)</f>
        <v>4</v>
      </c>
      <c r="H368" s="183">
        <v>0</v>
      </c>
      <c r="I368" s="183">
        <f>GETPIVOTDATA("Net Dwellings",Pivot!$B$389,"Ward_Name",C368)</f>
        <v>4</v>
      </c>
      <c r="J368" s="183">
        <f>GETPIVOTDATA("Net Dwellings",Pivot!$H$389,"Ward_Name",C368)</f>
        <v>1</v>
      </c>
      <c r="K368" s="183">
        <v>0</v>
      </c>
      <c r="L368" s="184">
        <f t="shared" si="29"/>
        <v>222</v>
      </c>
      <c r="M368" s="66"/>
      <c r="N368" s="66"/>
      <c r="O368" s="66"/>
      <c r="P368" s="66"/>
      <c r="S368" s="105"/>
    </row>
    <row r="369" spans="2:19" x14ac:dyDescent="0.2">
      <c r="B369" s="88"/>
      <c r="C369" s="414" t="s">
        <v>143</v>
      </c>
      <c r="D369" s="415"/>
      <c r="E369" s="415"/>
      <c r="F369" s="183">
        <f>GETPIVOTDATA("Net Dwellings",Pivot!$B$357,"Ward_Name",C369)</f>
        <v>3</v>
      </c>
      <c r="G369" s="183">
        <f>GETPIVOTDATA("Net Dwellings",Pivot!$E$357,"Ward_Name",C369)</f>
        <v>19</v>
      </c>
      <c r="H369" s="183">
        <f>GETPIVOTDATA("Net Dwellings",Pivot!$H$357,"Ward_Name",C369)</f>
        <v>10</v>
      </c>
      <c r="I369" s="183">
        <f>GETPIVOTDATA("Net Dwellings",Pivot!$B$389,"Ward_Name",C369)</f>
        <v>2</v>
      </c>
      <c r="J369" s="183">
        <f>GETPIVOTDATA("Net Dwellings",Pivot!$H$389,"Ward_Name",C369)</f>
        <v>8</v>
      </c>
      <c r="K369" s="183">
        <f>GETPIVOTDATA("Sum of 2024-2034 Total",Pivot!$B$432,"Ward_Name",C369)</f>
        <v>40</v>
      </c>
      <c r="L369" s="184">
        <f t="shared" si="29"/>
        <v>82</v>
      </c>
      <c r="M369" s="66"/>
      <c r="N369" s="66"/>
      <c r="O369" s="66"/>
      <c r="P369" s="66"/>
      <c r="S369" s="105"/>
    </row>
    <row r="370" spans="2:19" x14ac:dyDescent="0.2">
      <c r="B370" s="88"/>
      <c r="C370" s="414" t="s">
        <v>171</v>
      </c>
      <c r="D370" s="415"/>
      <c r="E370" s="415"/>
      <c r="F370" s="183">
        <f>GETPIVOTDATA("Net Dwellings",Pivot!$B$357,"Ward_Name",C370)</f>
        <v>49</v>
      </c>
      <c r="G370" s="183">
        <f>GETPIVOTDATA("Net Dwellings",Pivot!$E$357,"Ward_Name",C370)</f>
        <v>57</v>
      </c>
      <c r="H370" s="183">
        <f>GETPIVOTDATA("Net Dwellings",Pivot!$H$357,"Ward_Name",C370)</f>
        <v>8</v>
      </c>
      <c r="I370" s="183">
        <f>GETPIVOTDATA("Net Dwellings",Pivot!$B$389,"Ward_Name",C370)</f>
        <v>4</v>
      </c>
      <c r="J370" s="183">
        <v>0</v>
      </c>
      <c r="K370" s="183">
        <f>GETPIVOTDATA("Sum of 2024-2034 Total",Pivot!$B$432,"Ward_Name",C370)</f>
        <v>20</v>
      </c>
      <c r="L370" s="184">
        <f t="shared" si="29"/>
        <v>138</v>
      </c>
      <c r="M370" s="66"/>
      <c r="N370" s="66"/>
      <c r="O370" s="66"/>
      <c r="P370" s="66"/>
      <c r="S370" s="105"/>
    </row>
    <row r="371" spans="2:19" x14ac:dyDescent="0.2">
      <c r="B371" s="88"/>
      <c r="C371" s="414" t="s">
        <v>172</v>
      </c>
      <c r="D371" s="415"/>
      <c r="E371" s="415"/>
      <c r="F371" s="183">
        <f>GETPIVOTDATA("Net Dwellings",Pivot!$B$357,"Ward_Name",C371)</f>
        <v>2</v>
      </c>
      <c r="G371" s="183">
        <f>GETPIVOTDATA("Net Dwellings",Pivot!$E$357,"Ward_Name",C371)</f>
        <v>2</v>
      </c>
      <c r="H371" s="183">
        <v>0</v>
      </c>
      <c r="I371" s="183">
        <f>GETPIVOTDATA("Net Dwellings",Pivot!$B$389,"Ward_Name",C371)</f>
        <v>-5</v>
      </c>
      <c r="J371" s="183">
        <f>GETPIVOTDATA("Net Dwellings",Pivot!$H$389,"Ward_Name",C371)</f>
        <v>1</v>
      </c>
      <c r="K371" s="183">
        <v>0</v>
      </c>
      <c r="L371" s="184">
        <f t="shared" si="29"/>
        <v>0</v>
      </c>
      <c r="M371" s="66"/>
      <c r="N371" s="66"/>
      <c r="O371" s="66"/>
      <c r="P371" s="66"/>
      <c r="S371" s="105"/>
    </row>
    <row r="372" spans="2:19" x14ac:dyDescent="0.2">
      <c r="B372" s="88"/>
      <c r="C372" s="414" t="s">
        <v>147</v>
      </c>
      <c r="D372" s="415"/>
      <c r="E372" s="415"/>
      <c r="F372" s="183">
        <f>GETPIVOTDATA("Net Dwellings",Pivot!$B$357,"Ward_Name",C372)</f>
        <v>13</v>
      </c>
      <c r="G372" s="183">
        <f>GETPIVOTDATA("Net Dwellings",Pivot!$E$357,"Ward_Name",C372)</f>
        <v>1</v>
      </c>
      <c r="H372" s="183">
        <f>GETPIVOTDATA("Net Dwellings",Pivot!$H$357,"Ward_Name",C372)</f>
        <v>2</v>
      </c>
      <c r="I372" s="183">
        <v>0</v>
      </c>
      <c r="J372" s="183">
        <f>GETPIVOTDATA("Net Dwellings",Pivot!$H$389,"Ward_Name",C372)</f>
        <v>3</v>
      </c>
      <c r="K372" s="183">
        <f>GETPIVOTDATA("Sum of 2024-2034 Total",Pivot!$B$432,"Ward_Name",C372)</f>
        <v>20</v>
      </c>
      <c r="L372" s="184">
        <f t="shared" si="29"/>
        <v>39</v>
      </c>
      <c r="M372" s="66"/>
      <c r="N372" s="66"/>
      <c r="O372" s="66"/>
      <c r="P372" s="66"/>
      <c r="S372" s="105"/>
    </row>
    <row r="373" spans="2:19" x14ac:dyDescent="0.2">
      <c r="B373" s="88"/>
      <c r="C373" s="416" t="s">
        <v>227</v>
      </c>
      <c r="D373" s="417"/>
      <c r="E373" s="417"/>
      <c r="F373" s="183">
        <v>0</v>
      </c>
      <c r="G373" s="183">
        <v>0</v>
      </c>
      <c r="H373" s="183">
        <v>0</v>
      </c>
      <c r="I373" s="183">
        <v>0</v>
      </c>
      <c r="J373" s="183">
        <v>0</v>
      </c>
      <c r="K373" s="183">
        <f>GETPIVOTDATA("Sum of 2024-2034 Total",Pivot!$B$432,"Ward_Name","N/A")</f>
        <v>2056</v>
      </c>
      <c r="L373" s="184">
        <f>SUM(F373:K373)</f>
        <v>2056</v>
      </c>
      <c r="M373" s="66"/>
      <c r="N373" s="66"/>
      <c r="O373" s="66"/>
      <c r="P373" s="66"/>
      <c r="S373" s="105"/>
    </row>
    <row r="374" spans="2:19" x14ac:dyDescent="0.2">
      <c r="B374" s="88"/>
      <c r="C374" s="418" t="s">
        <v>6</v>
      </c>
      <c r="D374" s="418"/>
      <c r="E374" s="418"/>
      <c r="F374" s="185">
        <f t="shared" ref="F374" si="30">SUM(F355:F373)</f>
        <v>508</v>
      </c>
      <c r="G374" s="185">
        <f>SUM(G355:G373)</f>
        <v>421</v>
      </c>
      <c r="H374" s="185">
        <f>SUM(H355:H373)</f>
        <v>145</v>
      </c>
      <c r="I374" s="185">
        <f t="shared" ref="I374" si="31">SUM(I355:I373)</f>
        <v>39</v>
      </c>
      <c r="J374" s="185">
        <f>SUM(J355:J373)</f>
        <v>41</v>
      </c>
      <c r="K374" s="185">
        <f>SUM(K355:K373)</f>
        <v>4303</v>
      </c>
      <c r="L374" s="185">
        <f>SUM(L355:L373)</f>
        <v>5457</v>
      </c>
      <c r="M374" s="399"/>
      <c r="N374" s="66"/>
      <c r="O374" s="66"/>
      <c r="P374" s="66"/>
      <c r="S374" s="105"/>
    </row>
    <row r="375" spans="2:19" x14ac:dyDescent="0.2">
      <c r="B375" s="60"/>
      <c r="M375" s="66"/>
      <c r="N375" s="66"/>
      <c r="O375" s="66"/>
      <c r="P375" s="66"/>
      <c r="Q375" s="66"/>
      <c r="S375" s="105"/>
    </row>
    <row r="376" spans="2:19" x14ac:dyDescent="0.2">
      <c r="B376" s="60"/>
      <c r="M376" s="66"/>
      <c r="N376" s="66"/>
      <c r="O376" s="66"/>
      <c r="P376" s="66"/>
      <c r="Q376" s="66"/>
      <c r="S376" s="105"/>
    </row>
    <row r="377" spans="2:19" x14ac:dyDescent="0.2">
      <c r="B377" s="96"/>
      <c r="C377" s="108"/>
      <c r="D377" s="108"/>
      <c r="E377" s="108"/>
      <c r="F377" s="108"/>
      <c r="G377" s="108"/>
      <c r="H377" s="108"/>
      <c r="I377" s="108"/>
      <c r="J377" s="108"/>
      <c r="K377" s="108"/>
      <c r="L377" s="108"/>
      <c r="M377" s="68"/>
      <c r="N377" s="68"/>
      <c r="O377" s="68"/>
      <c r="P377" s="68"/>
      <c r="Q377" s="108"/>
      <c r="R377" s="108"/>
      <c r="S377" s="109"/>
    </row>
    <row r="378" spans="2:19" x14ac:dyDescent="0.2">
      <c r="B378" s="100"/>
      <c r="C378" s="56"/>
      <c r="D378" s="56"/>
      <c r="E378" s="56"/>
      <c r="F378" s="56"/>
      <c r="G378" s="56"/>
      <c r="H378" s="56"/>
      <c r="I378" s="56"/>
      <c r="J378" s="56"/>
      <c r="K378" s="56"/>
      <c r="L378" s="56"/>
      <c r="M378" s="56"/>
      <c r="N378" s="56"/>
      <c r="O378" s="56"/>
      <c r="P378" s="56"/>
      <c r="Q378" s="56"/>
      <c r="R378" s="56"/>
      <c r="S378" s="110"/>
    </row>
    <row r="379" spans="2:19" x14ac:dyDescent="0.2">
      <c r="B379" s="60"/>
      <c r="C379" s="394" t="s">
        <v>228</v>
      </c>
      <c r="D379" s="136" t="s">
        <v>229</v>
      </c>
      <c r="E379" s="392"/>
      <c r="F379" s="392"/>
      <c r="G379" s="392"/>
      <c r="H379" s="392"/>
      <c r="I379" s="392"/>
      <c r="J379" s="392"/>
      <c r="K379" s="393"/>
      <c r="L379" s="393"/>
      <c r="M379" s="393"/>
      <c r="S379" s="105"/>
    </row>
    <row r="380" spans="2:19" ht="12.75" customHeight="1" x14ac:dyDescent="0.2">
      <c r="B380" s="60"/>
      <c r="C380" s="411" t="s">
        <v>221</v>
      </c>
      <c r="D380" s="411"/>
      <c r="E380" s="411"/>
      <c r="F380" s="411"/>
      <c r="G380" s="411"/>
      <c r="H380" s="411"/>
      <c r="I380" s="411"/>
      <c r="J380" s="411"/>
      <c r="K380" s="411"/>
      <c r="L380" s="411"/>
      <c r="S380" s="105"/>
    </row>
    <row r="381" spans="2:19" ht="39" x14ac:dyDescent="0.2">
      <c r="B381" s="60"/>
      <c r="C381" s="429" t="s">
        <v>180</v>
      </c>
      <c r="D381" s="429"/>
      <c r="E381" s="429"/>
      <c r="F381" s="181" t="s">
        <v>222</v>
      </c>
      <c r="G381" s="181" t="s">
        <v>66</v>
      </c>
      <c r="H381" s="181" t="s">
        <v>223</v>
      </c>
      <c r="I381" s="181" t="s">
        <v>224</v>
      </c>
      <c r="J381" s="181" t="s">
        <v>225</v>
      </c>
      <c r="K381" s="181" t="s">
        <v>226</v>
      </c>
      <c r="L381" s="182" t="s">
        <v>6</v>
      </c>
      <c r="S381" s="105"/>
    </row>
    <row r="382" spans="2:19" x14ac:dyDescent="0.2">
      <c r="B382" s="60"/>
      <c r="C382" s="410" t="s">
        <v>181</v>
      </c>
      <c r="D382" s="410"/>
      <c r="E382" s="410"/>
      <c r="F382" s="183">
        <f>GETPIVOTDATA("Net Dwellings",Pivot!$B$457,"Area Name","Barnes and East Sheen")</f>
        <v>20</v>
      </c>
      <c r="G382" s="183">
        <f>GETPIVOTDATA("Net Dwellings",Pivot!$E$457,"Area Name",C382)</f>
        <v>11</v>
      </c>
      <c r="H382" s="183">
        <f>GETPIVOTDATA("Net Dwellings",Pivot!$H$458,"Area Name",C382)</f>
        <v>3</v>
      </c>
      <c r="I382" s="183">
        <f>GETPIVOTDATA("Net Dwellings",Pivot!$B$478,"Area Name",C382)</f>
        <v>8</v>
      </c>
      <c r="J382" s="183">
        <f>GETPIVOTDATA("Net Dwellings",Pivot!$H$478,"Area Name",C382)</f>
        <v>3</v>
      </c>
      <c r="K382" s="183">
        <f>GETPIVOTDATA("Sum of 2024-2034 Total",Pivot!$B$538,"Area Name",C382)</f>
        <v>1178</v>
      </c>
      <c r="L382" s="184">
        <f>SUM(F382:K382)</f>
        <v>1223</v>
      </c>
      <c r="S382" s="105"/>
    </row>
    <row r="383" spans="2:19" x14ac:dyDescent="0.2">
      <c r="B383" s="60"/>
      <c r="C383" s="410" t="s">
        <v>182</v>
      </c>
      <c r="D383" s="410" t="s">
        <v>182</v>
      </c>
      <c r="E383" s="410" t="s">
        <v>182</v>
      </c>
      <c r="F383" s="183">
        <f>GETPIVOTDATA("Net Dwellings",Pivot!$B$457,"Area Name",C383)</f>
        <v>1</v>
      </c>
      <c r="G383" s="183">
        <f>GETPIVOTDATA("Net Dwellings",Pivot!$E$457,"Area Name",C383)</f>
        <v>263</v>
      </c>
      <c r="H383" s="183">
        <f>GETPIVOTDATA("Net Dwellings",Pivot!$H$458,"Area Name",C383)</f>
        <v>1</v>
      </c>
      <c r="I383" s="183">
        <f>GETPIVOTDATA("Net Dwellings",Pivot!$B$478,"Area Name",C383)</f>
        <v>0</v>
      </c>
      <c r="J383" s="183">
        <v>0</v>
      </c>
      <c r="K383" s="183">
        <v>0</v>
      </c>
      <c r="L383" s="184">
        <f t="shared" ref="L383:L388" si="32">SUM(F383:K383)</f>
        <v>265</v>
      </c>
      <c r="S383" s="105"/>
    </row>
    <row r="384" spans="2:19" x14ac:dyDescent="0.2">
      <c r="B384" s="60"/>
      <c r="C384" s="410" t="s">
        <v>141</v>
      </c>
      <c r="D384" s="410" t="s">
        <v>141</v>
      </c>
      <c r="E384" s="410" t="s">
        <v>141</v>
      </c>
      <c r="F384" s="183">
        <f>GETPIVOTDATA("Net Dwellings",Pivot!$B$457,"Area Name",C384)</f>
        <v>120</v>
      </c>
      <c r="G384" s="183">
        <f>GETPIVOTDATA("Net Dwellings",Pivot!$E$457,"Area Name",C384)</f>
        <v>21</v>
      </c>
      <c r="H384" s="183">
        <f>GETPIVOTDATA("Net Dwellings",Pivot!$H$458,"Area Name",C384)</f>
        <v>97</v>
      </c>
      <c r="I384" s="183">
        <f>GETPIVOTDATA("Net Dwellings",Pivot!$B$478,"Area Name",C384)</f>
        <v>0</v>
      </c>
      <c r="J384" s="183">
        <f>GETPIVOTDATA("Net Dwellings",Pivot!$H$478,"Area Name",C384)</f>
        <v>8</v>
      </c>
      <c r="K384" s="183">
        <f>GETPIVOTDATA("Sum of 2024-2034 Total",Pivot!$B$538,"Area Name",C384)</f>
        <v>703</v>
      </c>
      <c r="L384" s="184">
        <f t="shared" si="32"/>
        <v>949</v>
      </c>
      <c r="S384" s="105"/>
    </row>
    <row r="385" spans="2:19" x14ac:dyDescent="0.2">
      <c r="B385" s="60"/>
      <c r="C385" s="410" t="s">
        <v>183</v>
      </c>
      <c r="D385" s="410" t="s">
        <v>183</v>
      </c>
      <c r="E385" s="410" t="s">
        <v>183</v>
      </c>
      <c r="F385" s="183">
        <f>GETPIVOTDATA("Net Dwellings",Pivot!$B$457,"Area Name",C385)</f>
        <v>70</v>
      </c>
      <c r="G385" s="183">
        <f>GETPIVOTDATA("Net Dwellings",Pivot!$E$457,"Area Name",C385)</f>
        <v>53</v>
      </c>
      <c r="H385" s="183">
        <f>GETPIVOTDATA("Net Dwellings",Pivot!$H$458,"Area Name",C385)</f>
        <v>29</v>
      </c>
      <c r="I385" s="183">
        <f>GETPIVOTDATA("Net Dwellings",Pivot!$B$478,"Area Name",C385)</f>
        <v>14</v>
      </c>
      <c r="J385" s="183">
        <f>GETPIVOTDATA("Net Dwellings",Pivot!$H$478,"Area Name",C385)</f>
        <v>24</v>
      </c>
      <c r="K385" s="183">
        <f>GETPIVOTDATA("Sum of 2024-2034 Total",Pivot!$B$538,"Area Name",C385)</f>
        <v>210</v>
      </c>
      <c r="L385" s="184">
        <f t="shared" si="32"/>
        <v>400</v>
      </c>
      <c r="S385" s="105"/>
    </row>
    <row r="386" spans="2:19" x14ac:dyDescent="0.2">
      <c r="B386" s="60"/>
      <c r="C386" s="410" t="s">
        <v>145</v>
      </c>
      <c r="D386" s="410" t="s">
        <v>145</v>
      </c>
      <c r="E386" s="410" t="s">
        <v>145</v>
      </c>
      <c r="F386" s="183">
        <f>GETPIVOTDATA("Net Dwellings",Pivot!$B$457,"Area Name",C386)</f>
        <v>280</v>
      </c>
      <c r="G386" s="183">
        <f>GETPIVOTDATA("Net Dwellings",Pivot!$E$457,"Area Name",C386)</f>
        <v>70</v>
      </c>
      <c r="H386" s="183">
        <f>GETPIVOTDATA("Net Dwellings",Pivot!$H$458,"Area Name",C386)</f>
        <v>12</v>
      </c>
      <c r="I386" s="183">
        <f>GETPIVOTDATA("Net Dwellings",Pivot!$B$478,"Area Name",C386)</f>
        <v>15</v>
      </c>
      <c r="J386" s="183">
        <f>GETPIVOTDATA("Net Dwellings",Pivot!$H$478,"Area Name",C386)</f>
        <v>2</v>
      </c>
      <c r="K386" s="183">
        <f>GETPIVOTDATA("Sum of 2024-2034 Total",Pivot!$B$538,"Area Name",C386)</f>
        <v>136</v>
      </c>
      <c r="L386" s="184">
        <f t="shared" si="32"/>
        <v>515</v>
      </c>
      <c r="S386" s="105"/>
    </row>
    <row r="387" spans="2:19" x14ac:dyDescent="0.2">
      <c r="B387" s="60"/>
      <c r="C387" s="410" t="s">
        <v>147</v>
      </c>
      <c r="D387" s="410" t="s">
        <v>147</v>
      </c>
      <c r="E387" s="410" t="s">
        <v>147</v>
      </c>
      <c r="F387" s="183">
        <f>GETPIVOTDATA("Net Dwellings",Pivot!$B$457,"Area Name",C387)</f>
        <v>17</v>
      </c>
      <c r="G387" s="183">
        <f>GETPIVOTDATA("Net Dwellings",Pivot!$E$457,"Area Name",C387)</f>
        <v>3</v>
      </c>
      <c r="H387" s="183">
        <f>GETPIVOTDATA("Net Dwellings",Pivot!$H$458,"Area Name",C387)</f>
        <v>3</v>
      </c>
      <c r="I387" s="183">
        <f>GETPIVOTDATA("Net Dwellings",Pivot!$B$478,"Area Name",C387)</f>
        <v>2</v>
      </c>
      <c r="J387" s="183">
        <f>GETPIVOTDATA("Net Dwellings",Pivot!$H$478,"Area Name",C387)</f>
        <v>4</v>
      </c>
      <c r="K387" s="183">
        <f>GETPIVOTDATA("Sum of 2024-2034 Total",Pivot!$B$538,"Area Name",C387)</f>
        <v>20</v>
      </c>
      <c r="L387" s="184">
        <f t="shared" si="32"/>
        <v>49</v>
      </c>
      <c r="S387" s="105"/>
    </row>
    <row r="388" spans="2:19" x14ac:dyDescent="0.2">
      <c r="B388" s="60"/>
      <c r="C388" s="417" t="s">
        <v>227</v>
      </c>
      <c r="D388" s="417"/>
      <c r="E388" s="417"/>
      <c r="F388" s="183">
        <v>0</v>
      </c>
      <c r="G388" s="183">
        <v>0</v>
      </c>
      <c r="H388" s="183">
        <v>0</v>
      </c>
      <c r="I388" s="183">
        <v>0</v>
      </c>
      <c r="J388" s="183">
        <v>0</v>
      </c>
      <c r="K388" s="183">
        <f>GETPIVOTDATA("Sum of 2024-2034 Total",Pivot!$B$432,"Ward_Name","N/A")</f>
        <v>2056</v>
      </c>
      <c r="L388" s="184">
        <f t="shared" si="32"/>
        <v>2056</v>
      </c>
      <c r="S388" s="105"/>
    </row>
    <row r="389" spans="2:19" x14ac:dyDescent="0.2">
      <c r="B389" s="60"/>
      <c r="C389" s="418" t="s">
        <v>6</v>
      </c>
      <c r="D389" s="418"/>
      <c r="E389" s="418"/>
      <c r="F389" s="185">
        <f>SUM(F382:F387)</f>
        <v>508</v>
      </c>
      <c r="G389" s="185">
        <f t="shared" ref="G389:J389" si="33">SUM(G382:G387)</f>
        <v>421</v>
      </c>
      <c r="H389" s="185">
        <f t="shared" si="33"/>
        <v>145</v>
      </c>
      <c r="I389" s="185">
        <f t="shared" si="33"/>
        <v>39</v>
      </c>
      <c r="J389" s="185">
        <f t="shared" si="33"/>
        <v>41</v>
      </c>
      <c r="K389" s="185">
        <f>SUM(K382:K388)</f>
        <v>4303</v>
      </c>
      <c r="L389" s="185">
        <f>SUM(L382:L388)</f>
        <v>5457</v>
      </c>
      <c r="S389" s="105"/>
    </row>
    <row r="390" spans="2:19" x14ac:dyDescent="0.2">
      <c r="B390" s="60"/>
      <c r="C390" s="187" t="s">
        <v>184</v>
      </c>
      <c r="S390" s="105"/>
    </row>
    <row r="391" spans="2:19" x14ac:dyDescent="0.2">
      <c r="B391" s="60"/>
      <c r="S391" s="105"/>
    </row>
    <row r="392" spans="2:19" x14ac:dyDescent="0.2">
      <c r="B392" s="60"/>
      <c r="S392" s="105"/>
    </row>
    <row r="393" spans="2:19" x14ac:dyDescent="0.2">
      <c r="B393" s="60"/>
      <c r="S393" s="105"/>
    </row>
    <row r="394" spans="2:19" x14ac:dyDescent="0.2">
      <c r="B394" s="60"/>
      <c r="S394" s="105"/>
    </row>
    <row r="395" spans="2:19" ht="12.75" customHeight="1" x14ac:dyDescent="0.2">
      <c r="B395" s="60"/>
      <c r="C395" s="394" t="s">
        <v>230</v>
      </c>
      <c r="D395" s="136" t="s">
        <v>231</v>
      </c>
      <c r="E395" s="392"/>
      <c r="F395" s="392"/>
      <c r="G395" s="392"/>
      <c r="H395" s="392"/>
      <c r="I395" s="392"/>
      <c r="J395" s="392"/>
      <c r="K395" s="393"/>
      <c r="L395" s="393"/>
      <c r="M395" s="393"/>
      <c r="S395" s="105"/>
    </row>
    <row r="396" spans="2:19" x14ac:dyDescent="0.2">
      <c r="B396" s="60"/>
      <c r="C396" s="411" t="s">
        <v>221</v>
      </c>
      <c r="D396" s="411"/>
      <c r="E396" s="411"/>
      <c r="F396" s="411"/>
      <c r="G396" s="411"/>
      <c r="H396" s="411"/>
      <c r="I396" s="411"/>
      <c r="J396" s="411"/>
      <c r="K396" s="411"/>
      <c r="L396" s="411"/>
      <c r="S396" s="105"/>
    </row>
    <row r="397" spans="2:19" ht="39" x14ac:dyDescent="0.2">
      <c r="B397" s="60"/>
      <c r="C397" s="429" t="s">
        <v>187</v>
      </c>
      <c r="D397" s="429"/>
      <c r="E397" s="429"/>
      <c r="F397" s="181" t="s">
        <v>222</v>
      </c>
      <c r="G397" s="181" t="s">
        <v>66</v>
      </c>
      <c r="H397" s="181" t="s">
        <v>223</v>
      </c>
      <c r="I397" s="181" t="s">
        <v>224</v>
      </c>
      <c r="J397" s="181" t="s">
        <v>225</v>
      </c>
      <c r="K397" s="181" t="s">
        <v>226</v>
      </c>
      <c r="L397" s="182" t="s">
        <v>6</v>
      </c>
      <c r="S397" s="105"/>
    </row>
    <row r="398" spans="2:19" x14ac:dyDescent="0.2">
      <c r="B398" s="60"/>
      <c r="C398" s="410" t="s">
        <v>158</v>
      </c>
      <c r="D398" s="410"/>
      <c r="E398" s="410"/>
      <c r="F398" s="183">
        <f>GETPIVOTDATA("Net Dwellings",Pivot!$B$500,"Place_Based_Strategies",C398)</f>
        <v>16</v>
      </c>
      <c r="G398" s="183">
        <f>GETPIVOTDATA("Net Dwellings",Pivot!$E$500,"Place_Based_Strategies",C398)</f>
        <v>1</v>
      </c>
      <c r="H398" s="183">
        <v>0</v>
      </c>
      <c r="I398" s="183">
        <f>GETPIVOTDATA("Net Dwellings",Pivot!$B$519,"Place_Based_Strategies",C398)</f>
        <v>2</v>
      </c>
      <c r="J398" s="183">
        <f>GETPIVOTDATA("Net Dwellings",Pivot!$H$521,"Place_Based_Strategies",C398)</f>
        <v>1</v>
      </c>
      <c r="K398" s="183">
        <v>0</v>
      </c>
      <c r="L398" s="184">
        <f>SUM(F398:K398)</f>
        <v>20</v>
      </c>
      <c r="S398" s="105"/>
    </row>
    <row r="399" spans="2:19" x14ac:dyDescent="0.2">
      <c r="B399" s="60"/>
      <c r="C399" s="410" t="s">
        <v>188</v>
      </c>
      <c r="D399" s="410"/>
      <c r="E399" s="410"/>
      <c r="F399" s="183">
        <f>GETPIVOTDATA("Net Dwellings",Pivot!$B$500,"Place_Based_Strategies",C399)</f>
        <v>1</v>
      </c>
      <c r="G399" s="183">
        <f>GETPIVOTDATA("Net Dwellings",Pivot!$E$500,"Place_Based_Strategies",C399)</f>
        <v>263</v>
      </c>
      <c r="H399" s="183">
        <f>GETPIVOTDATA("Net Dwellings",Pivot!$H$501,"Place_Based_Strategies",C399)</f>
        <v>1</v>
      </c>
      <c r="I399" s="183">
        <f>GETPIVOTDATA("Net Dwellings",Pivot!$B$519,"Place_Based_Strategies",C399)</f>
        <v>0</v>
      </c>
      <c r="J399" s="183">
        <v>0</v>
      </c>
      <c r="K399" s="183">
        <v>0</v>
      </c>
      <c r="L399" s="184">
        <f t="shared" ref="L399:L407" si="34">SUM(F399:K399)</f>
        <v>265</v>
      </c>
      <c r="S399" s="105"/>
    </row>
    <row r="400" spans="2:19" x14ac:dyDescent="0.2">
      <c r="B400" s="60"/>
      <c r="C400" s="410" t="s">
        <v>189</v>
      </c>
      <c r="D400" s="410"/>
      <c r="E400" s="410"/>
      <c r="F400" s="183">
        <f>GETPIVOTDATA("Net Dwellings",Pivot!$B$500,"Place_Based_Strategies",C400)</f>
        <v>11</v>
      </c>
      <c r="G400" s="183">
        <f>GETPIVOTDATA("Net Dwellings",Pivot!$E$500,"Place_Based_Strategies",C400)</f>
        <v>15</v>
      </c>
      <c r="H400" s="183">
        <f>GETPIVOTDATA("Net Dwellings",Pivot!$H$501,"Place_Based_Strategies",C400)</f>
        <v>10</v>
      </c>
      <c r="I400" s="183">
        <f>GETPIVOTDATA("Net Dwellings",Pivot!$B$519,"Place_Based_Strategies",C400)</f>
        <v>7</v>
      </c>
      <c r="J400" s="183">
        <f>GETPIVOTDATA("Net Dwellings",Pivot!$H$521,"Place_Based_Strategies",C400)</f>
        <v>16</v>
      </c>
      <c r="K400" s="183">
        <f>GETPIVOTDATA("Sum of 2024-2034 Total",Pivot!$B$552,"Place_Based_Strategies",C400)</f>
        <v>100</v>
      </c>
      <c r="L400" s="184">
        <f t="shared" si="34"/>
        <v>159</v>
      </c>
      <c r="S400" s="105"/>
    </row>
    <row r="401" spans="2:19" x14ac:dyDescent="0.2">
      <c r="B401" s="60"/>
      <c r="C401" s="410" t="s">
        <v>165</v>
      </c>
      <c r="D401" s="410"/>
      <c r="E401" s="410"/>
      <c r="F401" s="183">
        <f>GETPIVOTDATA("Net Dwellings",Pivot!$B$500,"Place_Based_Strategies",C401)</f>
        <v>88</v>
      </c>
      <c r="G401" s="183">
        <f>GETPIVOTDATA("Net Dwellings",Pivot!$E$500,"Place_Based_Strategies",C401)</f>
        <v>5</v>
      </c>
      <c r="H401" s="183">
        <f>GETPIVOTDATA("Net Dwellings",Pivot!$H$501,"Place_Based_Strategies",C401)</f>
        <v>-1</v>
      </c>
      <c r="I401" s="183">
        <f>GETPIVOTDATA("Net Dwellings",Pivot!$B$519,"Place_Based_Strategies",C401)</f>
        <v>-2</v>
      </c>
      <c r="J401" s="183">
        <f>GETPIVOTDATA("Net Dwellings",Pivot!$H$521,"Place_Based_Strategies",C401)</f>
        <v>1</v>
      </c>
      <c r="K401" s="183">
        <v>0</v>
      </c>
      <c r="L401" s="184">
        <f t="shared" si="34"/>
        <v>91</v>
      </c>
      <c r="S401" s="105"/>
    </row>
    <row r="402" spans="2:19" x14ac:dyDescent="0.2">
      <c r="B402" s="60"/>
      <c r="C402" s="410" t="s">
        <v>190</v>
      </c>
      <c r="D402" s="410"/>
      <c r="E402" s="410"/>
      <c r="F402" s="183">
        <f>GETPIVOTDATA("Net Dwellings",Pivot!$B$500,"Place_Based_Strategies",C402)</f>
        <v>4</v>
      </c>
      <c r="G402" s="183">
        <f>GETPIVOTDATA("Net Dwellings",Pivot!$E$500,"Place_Based_Strategies",C402)</f>
        <v>10</v>
      </c>
      <c r="H402" s="183">
        <f>GETPIVOTDATA("Net Dwellings",Pivot!$H$501,"Place_Based_Strategies",C402)</f>
        <v>7</v>
      </c>
      <c r="I402" s="183">
        <f>GETPIVOTDATA("Net Dwellings",Pivot!$B$519,"Place_Based_Strategies",C402)</f>
        <v>6</v>
      </c>
      <c r="J402" s="183">
        <f>GETPIVOTDATA("Net Dwellings",Pivot!$H$521,"Place_Based_Strategies",C402)</f>
        <v>2</v>
      </c>
      <c r="K402" s="183">
        <f>GETPIVOTDATA("Sum of 2024-2034 Total",Pivot!$B$552,"Place_Based_Strategies",C402)</f>
        <v>1178</v>
      </c>
      <c r="L402" s="184">
        <f t="shared" si="34"/>
        <v>1207</v>
      </c>
      <c r="S402" s="105"/>
    </row>
    <row r="403" spans="2:19" ht="12.75" customHeight="1" x14ac:dyDescent="0.2">
      <c r="B403" s="60"/>
      <c r="C403" s="410" t="s">
        <v>191</v>
      </c>
      <c r="D403" s="410"/>
      <c r="E403" s="410"/>
      <c r="F403" s="183">
        <f>GETPIVOTDATA("Net Dwellings",Pivot!$B$500,"Place_Based_Strategies",C403)</f>
        <v>32</v>
      </c>
      <c r="G403" s="183">
        <f>GETPIVOTDATA("Net Dwellings",Pivot!$E$500,"Place_Based_Strategies",C403)</f>
        <v>16</v>
      </c>
      <c r="H403" s="183">
        <f>GETPIVOTDATA("Net Dwellings",Pivot!$H$501,"Place_Based_Strategies",C403)</f>
        <v>94</v>
      </c>
      <c r="I403" s="183">
        <f>GETPIVOTDATA("Net Dwellings",Pivot!$B$519,"Place_Based_Strategies",C403)</f>
        <v>2</v>
      </c>
      <c r="J403" s="183">
        <f>GETPIVOTDATA("Net Dwellings",Pivot!$H$521,"Place_Based_Strategies",C403)</f>
        <v>7</v>
      </c>
      <c r="K403" s="183">
        <f>GETPIVOTDATA("Sum of 2024-2034 Total",Pivot!$B$552,"Place_Based_Strategies",C403)</f>
        <v>703</v>
      </c>
      <c r="L403" s="184">
        <f t="shared" si="34"/>
        <v>854</v>
      </c>
      <c r="S403" s="105"/>
    </row>
    <row r="404" spans="2:19" ht="12.75" customHeight="1" x14ac:dyDescent="0.2">
      <c r="B404" s="60"/>
      <c r="C404" s="410" t="s">
        <v>192</v>
      </c>
      <c r="D404" s="410"/>
      <c r="E404" s="410"/>
      <c r="F404" s="183">
        <f>GETPIVOTDATA("Net Dwellings",Pivot!$B$500,"Place_Based_Strategies",C404)</f>
        <v>59</v>
      </c>
      <c r="G404" s="183">
        <f>GETPIVOTDATA("Net Dwellings",Pivot!$E$500,"Place_Based_Strategies",C404)</f>
        <v>38</v>
      </c>
      <c r="H404" s="183">
        <f>GETPIVOTDATA("Net Dwellings",Pivot!$H$501,"Place_Based_Strategies",C404)</f>
        <v>19</v>
      </c>
      <c r="I404" s="183">
        <f>GETPIVOTDATA("Net Dwellings",Pivot!$B$519,"Place_Based_Strategies",C404)</f>
        <v>7</v>
      </c>
      <c r="J404" s="183">
        <f>GETPIVOTDATA("Net Dwellings",Pivot!$H$521,"Place_Based_Strategies",C404)</f>
        <v>8</v>
      </c>
      <c r="K404" s="183">
        <f>GETPIVOTDATA("Sum of 2024-2034 Total",Pivot!$B$552,"Place_Based_Strategies",C404)</f>
        <v>110</v>
      </c>
      <c r="L404" s="184">
        <f t="shared" si="34"/>
        <v>241</v>
      </c>
      <c r="S404" s="105"/>
    </row>
    <row r="405" spans="2:19" x14ac:dyDescent="0.2">
      <c r="B405" s="60"/>
      <c r="C405" s="410" t="s">
        <v>193</v>
      </c>
      <c r="D405" s="410"/>
      <c r="E405" s="410"/>
      <c r="F405" s="183">
        <f>GETPIVOTDATA("Net Dwellings",Pivot!$B$500,"Place_Based_Strategies",C405)</f>
        <v>280</v>
      </c>
      <c r="G405" s="183">
        <f>GETPIVOTDATA("Net Dwellings",Pivot!$E$500,"Place_Based_Strategies",C405)</f>
        <v>70</v>
      </c>
      <c r="H405" s="183">
        <f>GETPIVOTDATA("Net Dwellings",Pivot!$H$501,"Place_Based_Strategies",C405)</f>
        <v>12</v>
      </c>
      <c r="I405" s="183">
        <f>GETPIVOTDATA("Net Dwellings",Pivot!$B$519,"Place_Based_Strategies",C405)</f>
        <v>15</v>
      </c>
      <c r="J405" s="183">
        <f>GETPIVOTDATA("Net Dwellings",Pivot!$H$521,"Place_Based_Strategies",C405)</f>
        <v>2</v>
      </c>
      <c r="K405" s="183">
        <f>GETPIVOTDATA("Sum of 2024-2034 Total",Pivot!$B$552,"Place_Based_Strategies",C405)</f>
        <v>136</v>
      </c>
      <c r="L405" s="184">
        <f t="shared" si="34"/>
        <v>515</v>
      </c>
      <c r="S405" s="105"/>
    </row>
    <row r="406" spans="2:19" x14ac:dyDescent="0.2">
      <c r="B406" s="60"/>
      <c r="C406" s="410" t="s">
        <v>194</v>
      </c>
      <c r="D406" s="410"/>
      <c r="E406" s="410"/>
      <c r="F406" s="183">
        <f>GETPIVOTDATA("Net Dwellings",Pivot!$B$500,"Place_Based_Strategies",C406)</f>
        <v>17</v>
      </c>
      <c r="G406" s="183">
        <f>GETPIVOTDATA("Net Dwellings",Pivot!$E$500,"Place_Based_Strategies",C406)</f>
        <v>3</v>
      </c>
      <c r="H406" s="183">
        <f>GETPIVOTDATA("Net Dwellings",Pivot!$H$501,"Place_Based_Strategies",C406)</f>
        <v>3</v>
      </c>
      <c r="I406" s="183">
        <f>GETPIVOTDATA("Net Dwellings",Pivot!$B$519,"Place_Based_Strategies",C406)</f>
        <v>2</v>
      </c>
      <c r="J406" s="183">
        <f>GETPIVOTDATA("Net Dwellings",Pivot!$H$521,"Place_Based_Strategies",C406)</f>
        <v>4</v>
      </c>
      <c r="K406" s="183">
        <f>GETPIVOTDATA("Sum of 2024-2034 Total",Pivot!$B$552,"Place_Based_Strategies",C406)</f>
        <v>20</v>
      </c>
      <c r="L406" s="184">
        <f t="shared" si="34"/>
        <v>49</v>
      </c>
      <c r="S406" s="105"/>
    </row>
    <row r="407" spans="2:19" ht="12.75" customHeight="1" x14ac:dyDescent="0.2">
      <c r="B407" s="60"/>
      <c r="C407" s="410" t="s">
        <v>227</v>
      </c>
      <c r="D407" s="410"/>
      <c r="E407" s="410"/>
      <c r="F407" s="183">
        <v>0</v>
      </c>
      <c r="G407" s="183">
        <v>0</v>
      </c>
      <c r="H407" s="183">
        <v>0</v>
      </c>
      <c r="I407" s="183">
        <v>0</v>
      </c>
      <c r="J407" s="183">
        <v>0</v>
      </c>
      <c r="K407" s="183">
        <f>GETPIVOTDATA("Sum of 2024-2034 Total",Pivot!$B$432,"Ward_Name","N/A")</f>
        <v>2056</v>
      </c>
      <c r="L407" s="184">
        <f t="shared" si="34"/>
        <v>2056</v>
      </c>
      <c r="S407" s="105"/>
    </row>
    <row r="408" spans="2:19" x14ac:dyDescent="0.2">
      <c r="B408" s="60"/>
      <c r="C408" s="418" t="s">
        <v>6</v>
      </c>
      <c r="D408" s="418"/>
      <c r="E408" s="418"/>
      <c r="F408" s="185">
        <f>SUM(F398:F407)</f>
        <v>508</v>
      </c>
      <c r="G408" s="185">
        <f t="shared" ref="G408:K408" si="35">SUM(G398:G407)</f>
        <v>421</v>
      </c>
      <c r="H408" s="185">
        <f t="shared" si="35"/>
        <v>145</v>
      </c>
      <c r="I408" s="185">
        <f t="shared" si="35"/>
        <v>39</v>
      </c>
      <c r="J408" s="185">
        <f t="shared" si="35"/>
        <v>41</v>
      </c>
      <c r="K408" s="185">
        <f t="shared" si="35"/>
        <v>4303</v>
      </c>
      <c r="L408" s="185">
        <f>SUM(F408:K408)</f>
        <v>5457</v>
      </c>
      <c r="S408" s="105"/>
    </row>
    <row r="409" spans="2:19" x14ac:dyDescent="0.2">
      <c r="B409" s="60"/>
      <c r="C409" s="187" t="s">
        <v>195</v>
      </c>
      <c r="S409" s="105"/>
    </row>
    <row r="410" spans="2:19" x14ac:dyDescent="0.2">
      <c r="B410" s="60"/>
      <c r="S410" s="105"/>
    </row>
    <row r="411" spans="2:19" x14ac:dyDescent="0.2">
      <c r="B411" s="96"/>
      <c r="C411" s="108"/>
      <c r="D411" s="108"/>
      <c r="E411" s="108"/>
      <c r="F411" s="108"/>
      <c r="G411" s="108"/>
      <c r="H411" s="108"/>
      <c r="I411" s="108"/>
      <c r="J411" s="108"/>
      <c r="K411" s="108"/>
      <c r="L411" s="108"/>
      <c r="M411" s="108"/>
      <c r="N411" s="108"/>
      <c r="O411" s="108"/>
      <c r="P411" s="108"/>
      <c r="Q411" s="108"/>
      <c r="R411" s="108"/>
      <c r="S411" s="109"/>
    </row>
    <row r="412" spans="2:19" x14ac:dyDescent="0.2">
      <c r="B412" s="100"/>
      <c r="C412" s="56"/>
      <c r="D412" s="56"/>
      <c r="E412" s="56"/>
      <c r="F412" s="56"/>
      <c r="G412" s="56"/>
      <c r="H412" s="56"/>
      <c r="I412" s="56"/>
      <c r="J412" s="56"/>
      <c r="K412" s="56"/>
      <c r="L412" s="56"/>
      <c r="M412" s="56"/>
      <c r="N412" s="56"/>
      <c r="O412" s="56"/>
      <c r="P412" s="56"/>
      <c r="Q412" s="56"/>
      <c r="R412" s="56"/>
      <c r="S412" s="110"/>
    </row>
    <row r="413" spans="2:19" x14ac:dyDescent="0.2">
      <c r="B413" s="60"/>
      <c r="S413" s="105"/>
    </row>
    <row r="414" spans="2:19" x14ac:dyDescent="0.2">
      <c r="B414" s="60"/>
      <c r="C414" s="136" t="s">
        <v>232</v>
      </c>
      <c r="D414" s="136" t="s">
        <v>233</v>
      </c>
      <c r="S414" s="105"/>
    </row>
    <row r="415" spans="2:19" ht="29.25" x14ac:dyDescent="0.2">
      <c r="B415" s="60"/>
      <c r="C415" s="181" t="s">
        <v>77</v>
      </c>
      <c r="D415" s="181" t="s">
        <v>234</v>
      </c>
      <c r="E415" s="181" t="s">
        <v>235</v>
      </c>
      <c r="S415" s="105"/>
    </row>
    <row r="416" spans="2:19" x14ac:dyDescent="0.2">
      <c r="B416" s="60"/>
      <c r="C416" s="338" t="s">
        <v>86</v>
      </c>
      <c r="D416" s="338">
        <v>20</v>
      </c>
      <c r="E416" s="338">
        <v>457</v>
      </c>
      <c r="S416" s="105"/>
    </row>
    <row r="417" spans="2:19" x14ac:dyDescent="0.2">
      <c r="B417" s="60"/>
      <c r="C417" s="338" t="s">
        <v>87</v>
      </c>
      <c r="D417" s="338">
        <v>27</v>
      </c>
      <c r="E417" s="338">
        <v>286</v>
      </c>
      <c r="S417" s="105"/>
    </row>
    <row r="418" spans="2:19" x14ac:dyDescent="0.2">
      <c r="B418" s="60"/>
      <c r="C418" s="338" t="s">
        <v>88</v>
      </c>
      <c r="D418" s="338">
        <v>36</v>
      </c>
      <c r="E418" s="338">
        <v>593</v>
      </c>
      <c r="S418" s="105"/>
    </row>
    <row r="419" spans="2:19" x14ac:dyDescent="0.2">
      <c r="B419" s="60"/>
      <c r="C419" s="338" t="s">
        <v>89</v>
      </c>
      <c r="D419" s="338">
        <v>41</v>
      </c>
      <c r="E419" s="338">
        <v>570</v>
      </c>
      <c r="S419" s="105"/>
    </row>
    <row r="420" spans="2:19" x14ac:dyDescent="0.2">
      <c r="B420" s="60"/>
      <c r="C420" s="338" t="s">
        <v>90</v>
      </c>
      <c r="D420" s="338">
        <v>21</v>
      </c>
      <c r="E420" s="338">
        <v>140</v>
      </c>
      <c r="S420" s="105"/>
    </row>
    <row r="421" spans="2:19" x14ac:dyDescent="0.2">
      <c r="B421" s="60"/>
      <c r="C421" s="338" t="s">
        <v>91</v>
      </c>
      <c r="D421" s="338">
        <v>132</v>
      </c>
      <c r="E421" s="338">
        <v>777</v>
      </c>
      <c r="S421" s="105"/>
    </row>
    <row r="422" spans="2:19" x14ac:dyDescent="0.2">
      <c r="B422" s="60"/>
      <c r="C422" s="338" t="s">
        <v>92</v>
      </c>
      <c r="D422" s="338">
        <v>23</v>
      </c>
      <c r="E422" s="338">
        <v>991</v>
      </c>
      <c r="S422" s="105"/>
    </row>
    <row r="423" spans="2:19" x14ac:dyDescent="0.2">
      <c r="B423" s="60"/>
      <c r="C423" s="338" t="s">
        <v>93</v>
      </c>
      <c r="D423" s="338">
        <v>-4</v>
      </c>
      <c r="E423" s="338">
        <v>567</v>
      </c>
      <c r="S423" s="105"/>
    </row>
    <row r="424" spans="2:19" x14ac:dyDescent="0.2">
      <c r="B424" s="60"/>
      <c r="C424" s="338" t="s">
        <v>94</v>
      </c>
      <c r="D424" s="338">
        <v>5</v>
      </c>
      <c r="E424" s="338">
        <v>648</v>
      </c>
      <c r="S424" s="105"/>
    </row>
    <row r="425" spans="2:19" x14ac:dyDescent="0.2">
      <c r="B425" s="60"/>
      <c r="C425" s="338" t="s">
        <v>95</v>
      </c>
      <c r="D425" s="338">
        <v>72</v>
      </c>
      <c r="E425" s="338">
        <v>570</v>
      </c>
      <c r="S425" s="105"/>
    </row>
    <row r="426" spans="2:19" x14ac:dyDescent="0.2">
      <c r="B426" s="60"/>
      <c r="C426" s="338" t="s">
        <v>96</v>
      </c>
      <c r="D426" s="338">
        <v>14</v>
      </c>
      <c r="E426" s="338">
        <v>221</v>
      </c>
      <c r="S426" s="105"/>
    </row>
    <row r="427" spans="2:19" x14ac:dyDescent="0.2">
      <c r="B427" s="60"/>
      <c r="C427" s="338" t="s">
        <v>97</v>
      </c>
      <c r="D427" s="338">
        <v>25</v>
      </c>
      <c r="E427" s="338">
        <v>244</v>
      </c>
      <c r="S427" s="105"/>
    </row>
    <row r="428" spans="2:19" x14ac:dyDescent="0.2">
      <c r="B428" s="60"/>
      <c r="C428" s="338" t="s">
        <v>98</v>
      </c>
      <c r="D428" s="338">
        <v>25</v>
      </c>
      <c r="E428" s="338">
        <v>434</v>
      </c>
      <c r="S428" s="105"/>
    </row>
    <row r="429" spans="2:19" x14ac:dyDescent="0.2">
      <c r="B429" s="60"/>
      <c r="C429" s="338" t="s">
        <v>8</v>
      </c>
      <c r="D429" s="338">
        <v>78</v>
      </c>
      <c r="E429" s="338">
        <v>169</v>
      </c>
      <c r="S429" s="105"/>
    </row>
    <row r="430" spans="2:19" x14ac:dyDescent="0.2">
      <c r="B430" s="60"/>
      <c r="C430" s="338" t="s">
        <v>9</v>
      </c>
      <c r="D430" s="338">
        <v>16</v>
      </c>
      <c r="E430" s="338">
        <v>749</v>
      </c>
      <c r="S430" s="105"/>
    </row>
    <row r="431" spans="2:19" x14ac:dyDescent="0.2">
      <c r="B431" s="60"/>
      <c r="C431" s="339" t="s">
        <v>99</v>
      </c>
      <c r="D431" s="339">
        <v>129</v>
      </c>
      <c r="E431" s="339">
        <v>128</v>
      </c>
      <c r="S431" s="105"/>
    </row>
    <row r="432" spans="2:19" x14ac:dyDescent="0.2">
      <c r="B432" s="60"/>
      <c r="C432" s="340" t="s">
        <v>6</v>
      </c>
      <c r="D432" s="340">
        <f>SUM(D416:D431)</f>
        <v>660</v>
      </c>
      <c r="E432" s="340">
        <f>SUM(E416:E431)</f>
        <v>7544</v>
      </c>
      <c r="S432" s="105"/>
    </row>
    <row r="433" spans="2:19" x14ac:dyDescent="0.2">
      <c r="B433" s="60"/>
      <c r="S433" s="105"/>
    </row>
    <row r="434" spans="2:19" x14ac:dyDescent="0.2">
      <c r="B434" s="60"/>
      <c r="S434" s="105"/>
    </row>
    <row r="435" spans="2:19" x14ac:dyDescent="0.2">
      <c r="B435" s="60"/>
      <c r="S435" s="105"/>
    </row>
    <row r="436" spans="2:19" ht="12.75" customHeight="1" x14ac:dyDescent="0.2">
      <c r="B436" s="60"/>
      <c r="C436" s="7"/>
      <c r="S436" s="105"/>
    </row>
    <row r="437" spans="2:19" ht="12.75" customHeight="1" x14ac:dyDescent="0.2">
      <c r="B437" s="60"/>
      <c r="C437" s="136" t="s">
        <v>236</v>
      </c>
      <c r="D437" s="136" t="s">
        <v>237</v>
      </c>
      <c r="S437" s="105"/>
    </row>
    <row r="438" spans="2:19" ht="12.75" customHeight="1" x14ac:dyDescent="0.2">
      <c r="B438" s="60"/>
      <c r="C438" s="331"/>
      <c r="D438" s="402" t="s">
        <v>238</v>
      </c>
      <c r="E438" s="403"/>
      <c r="F438" s="403"/>
      <c r="G438" s="403"/>
      <c r="H438" s="403"/>
      <c r="I438" s="403"/>
      <c r="J438" s="403"/>
      <c r="K438" s="403"/>
      <c r="L438" s="404"/>
      <c r="S438" s="105"/>
    </row>
    <row r="439" spans="2:19" ht="12.75" customHeight="1" x14ac:dyDescent="0.2">
      <c r="B439" s="60"/>
      <c r="C439" s="333" t="s">
        <v>77</v>
      </c>
      <c r="D439" s="337" t="s">
        <v>239</v>
      </c>
      <c r="E439" s="337" t="s">
        <v>240</v>
      </c>
      <c r="F439" s="337" t="s">
        <v>241</v>
      </c>
      <c r="G439" s="333" t="s">
        <v>242</v>
      </c>
      <c r="H439" s="333" t="s">
        <v>243</v>
      </c>
      <c r="I439" s="333" t="s">
        <v>244</v>
      </c>
      <c r="J439" s="333" t="s">
        <v>245</v>
      </c>
      <c r="K439" s="333" t="s">
        <v>246</v>
      </c>
      <c r="L439" s="333" t="s">
        <v>247</v>
      </c>
      <c r="S439" s="105"/>
    </row>
    <row r="440" spans="2:19" ht="12.75" customHeight="1" x14ac:dyDescent="0.2">
      <c r="B440" s="60"/>
      <c r="C440" s="332">
        <v>2006</v>
      </c>
      <c r="D440" s="332">
        <v>1.4</v>
      </c>
      <c r="E440" s="332">
        <v>1.7</v>
      </c>
      <c r="F440" s="332">
        <v>2.2999999999999998</v>
      </c>
      <c r="G440" s="332">
        <v>3.8</v>
      </c>
      <c r="H440" s="332">
        <v>2.7</v>
      </c>
      <c r="I440" s="335"/>
      <c r="J440" s="335"/>
      <c r="K440" s="332">
        <v>1.8</v>
      </c>
      <c r="L440" s="332">
        <v>3.2</v>
      </c>
      <c r="S440" s="105"/>
    </row>
    <row r="441" spans="2:19" ht="12.75" customHeight="1" x14ac:dyDescent="0.2">
      <c r="B441" s="60"/>
      <c r="C441" s="332">
        <v>2007</v>
      </c>
      <c r="D441" s="332">
        <v>1.6</v>
      </c>
      <c r="E441" s="332">
        <v>1.6</v>
      </c>
      <c r="F441" s="332">
        <v>1.2</v>
      </c>
      <c r="G441" s="335"/>
      <c r="H441" s="332">
        <v>2</v>
      </c>
      <c r="I441" s="332">
        <v>2.4</v>
      </c>
      <c r="J441" s="335"/>
      <c r="K441" s="335"/>
      <c r="L441" s="335"/>
      <c r="S441" s="105"/>
    </row>
    <row r="442" spans="2:19" ht="12.75" customHeight="1" x14ac:dyDescent="0.2">
      <c r="B442" s="60"/>
      <c r="C442" s="332">
        <v>2008</v>
      </c>
      <c r="D442" s="332">
        <v>1.8</v>
      </c>
      <c r="E442" s="332">
        <v>2.2000000000000002</v>
      </c>
      <c r="F442" s="332">
        <v>2.6</v>
      </c>
      <c r="G442" s="332">
        <v>2.2999999999999998</v>
      </c>
      <c r="H442" s="335"/>
      <c r="I442" s="332">
        <v>3</v>
      </c>
      <c r="J442" s="335"/>
      <c r="K442" s="335"/>
      <c r="L442" s="332">
        <v>7.1</v>
      </c>
      <c r="S442" s="105"/>
    </row>
    <row r="443" spans="2:19" ht="12.75" customHeight="1" x14ac:dyDescent="0.2">
      <c r="B443" s="60"/>
      <c r="C443" s="332">
        <v>2009</v>
      </c>
      <c r="D443" s="332">
        <v>1.6</v>
      </c>
      <c r="E443" s="332">
        <v>2.2000000000000002</v>
      </c>
      <c r="F443" s="332">
        <v>3.7</v>
      </c>
      <c r="G443" s="332">
        <v>1.6</v>
      </c>
      <c r="H443" s="335"/>
      <c r="I443" s="335"/>
      <c r="J443" s="335"/>
      <c r="K443" s="335"/>
      <c r="L443" s="335"/>
      <c r="S443" s="105"/>
    </row>
    <row r="444" spans="2:19" ht="12.75" customHeight="1" x14ac:dyDescent="0.2">
      <c r="B444" s="60"/>
      <c r="C444" s="332">
        <v>2010</v>
      </c>
      <c r="D444" s="332">
        <v>1.7</v>
      </c>
      <c r="E444" s="332">
        <v>2.1</v>
      </c>
      <c r="F444" s="332">
        <v>1.2</v>
      </c>
      <c r="G444" s="332">
        <v>5.3</v>
      </c>
      <c r="H444" s="335"/>
      <c r="I444" s="335"/>
      <c r="J444" s="332">
        <v>2.6</v>
      </c>
      <c r="K444" s="335"/>
      <c r="L444" s="332">
        <v>7.1</v>
      </c>
      <c r="S444" s="105"/>
    </row>
    <row r="445" spans="2:19" ht="12.75" customHeight="1" x14ac:dyDescent="0.2">
      <c r="B445" s="60"/>
      <c r="C445" s="332">
        <v>2011</v>
      </c>
      <c r="D445" s="332">
        <v>1.8</v>
      </c>
      <c r="E445" s="332">
        <v>2.2999999999999998</v>
      </c>
      <c r="F445" s="335"/>
      <c r="G445" s="335"/>
      <c r="H445" s="335"/>
      <c r="I445" s="335"/>
      <c r="J445" s="335"/>
      <c r="K445" s="335"/>
      <c r="L445" s="335"/>
      <c r="S445" s="105"/>
    </row>
    <row r="446" spans="2:19" ht="12.75" customHeight="1" x14ac:dyDescent="0.2">
      <c r="B446" s="60"/>
      <c r="C446" s="332">
        <v>2012</v>
      </c>
      <c r="D446" s="332">
        <v>1.9</v>
      </c>
      <c r="E446" s="332">
        <v>2.9</v>
      </c>
      <c r="F446" s="332">
        <v>2.9</v>
      </c>
      <c r="G446" s="335"/>
      <c r="H446" s="332">
        <v>2.5</v>
      </c>
      <c r="I446" s="335"/>
      <c r="J446" s="335"/>
      <c r="K446" s="332">
        <v>1.8</v>
      </c>
      <c r="L446" s="332">
        <v>4.5</v>
      </c>
      <c r="S446" s="105"/>
    </row>
    <row r="447" spans="2:19" ht="12.75" customHeight="1" x14ac:dyDescent="0.2">
      <c r="B447" s="60"/>
      <c r="C447" s="332">
        <v>2013</v>
      </c>
      <c r="D447" s="332">
        <v>2</v>
      </c>
      <c r="E447" s="332">
        <v>3.7</v>
      </c>
      <c r="F447" s="332">
        <v>4</v>
      </c>
      <c r="G447" s="335"/>
      <c r="H447" s="332">
        <v>4.5999999999999996</v>
      </c>
      <c r="I447" s="335"/>
      <c r="J447" s="335"/>
      <c r="K447" s="335"/>
      <c r="L447" s="335"/>
      <c r="S447" s="105"/>
    </row>
    <row r="448" spans="2:19" ht="12.75" customHeight="1" x14ac:dyDescent="0.2">
      <c r="B448" s="60"/>
      <c r="C448" s="332">
        <v>2014</v>
      </c>
      <c r="D448" s="332">
        <v>1.9</v>
      </c>
      <c r="E448" s="332">
        <v>1.7</v>
      </c>
      <c r="F448" s="332">
        <v>3</v>
      </c>
      <c r="G448" s="335"/>
      <c r="H448" s="335"/>
      <c r="I448" s="335"/>
      <c r="J448" s="335"/>
      <c r="K448" s="332">
        <v>3.8</v>
      </c>
      <c r="L448" s="335"/>
      <c r="S448" s="105"/>
    </row>
    <row r="449" spans="2:19" ht="12.75" customHeight="1" x14ac:dyDescent="0.2">
      <c r="B449" s="60"/>
      <c r="C449" s="332">
        <v>2015</v>
      </c>
      <c r="D449" s="332">
        <v>1.8</v>
      </c>
      <c r="E449" s="332">
        <v>2.2000000000000002</v>
      </c>
      <c r="F449" s="332">
        <v>1.2</v>
      </c>
      <c r="G449" s="335"/>
      <c r="H449" s="332">
        <v>4.3</v>
      </c>
      <c r="I449" s="332">
        <v>1.4</v>
      </c>
      <c r="J449" s="335"/>
      <c r="K449" s="335"/>
      <c r="L449" s="335"/>
      <c r="S449" s="105"/>
    </row>
    <row r="450" spans="2:19" ht="12.75" customHeight="1" x14ac:dyDescent="0.2">
      <c r="B450" s="60"/>
      <c r="C450" s="332">
        <v>2016</v>
      </c>
      <c r="D450" s="332">
        <v>1.9</v>
      </c>
      <c r="E450" s="332">
        <v>3.3</v>
      </c>
      <c r="F450" s="335"/>
      <c r="G450" s="335"/>
      <c r="H450" s="332">
        <v>2.2999999999999998</v>
      </c>
      <c r="I450" s="332">
        <v>2.2000000000000002</v>
      </c>
      <c r="J450" s="335"/>
      <c r="K450" s="335"/>
      <c r="L450" s="335"/>
      <c r="S450" s="105"/>
    </row>
    <row r="451" spans="2:19" ht="12.75" customHeight="1" x14ac:dyDescent="0.2">
      <c r="B451" s="60"/>
      <c r="C451" s="332">
        <v>2017</v>
      </c>
      <c r="D451" s="332">
        <v>2.2000000000000002</v>
      </c>
      <c r="E451" s="332">
        <v>3.3</v>
      </c>
      <c r="F451" s="332">
        <v>3.7</v>
      </c>
      <c r="G451" s="335"/>
      <c r="H451" s="332">
        <v>2.2999999999999998</v>
      </c>
      <c r="I451" s="335"/>
      <c r="J451" s="335"/>
      <c r="K451" s="335"/>
      <c r="L451" s="332">
        <v>3.2</v>
      </c>
      <c r="S451" s="105"/>
    </row>
    <row r="452" spans="2:19" ht="12.75" customHeight="1" x14ac:dyDescent="0.2">
      <c r="B452" s="60"/>
      <c r="C452" s="332">
        <v>2018</v>
      </c>
      <c r="D452" s="332">
        <v>1.7</v>
      </c>
      <c r="E452" s="332">
        <v>4.3</v>
      </c>
      <c r="F452" s="335"/>
      <c r="G452" s="335"/>
      <c r="H452" s="335"/>
      <c r="I452" s="335"/>
      <c r="J452" s="332">
        <v>3</v>
      </c>
      <c r="K452" s="332">
        <v>3.8</v>
      </c>
      <c r="L452" s="332">
        <v>3.3</v>
      </c>
      <c r="S452" s="105"/>
    </row>
    <row r="453" spans="2:19" ht="12.75" customHeight="1" x14ac:dyDescent="0.2">
      <c r="B453" s="60"/>
      <c r="C453" s="332">
        <v>2019</v>
      </c>
      <c r="D453" s="332">
        <v>2.2000000000000002</v>
      </c>
      <c r="E453" s="332">
        <v>2.2999999999999998</v>
      </c>
      <c r="F453" s="335"/>
      <c r="G453" s="332">
        <v>2.7</v>
      </c>
      <c r="H453" s="335"/>
      <c r="I453" s="335"/>
      <c r="J453" s="335"/>
      <c r="K453" s="335"/>
      <c r="L453" s="335"/>
      <c r="S453" s="105"/>
    </row>
    <row r="454" spans="2:19" ht="12.75" customHeight="1" x14ac:dyDescent="0.2">
      <c r="B454" s="60"/>
      <c r="C454" s="332">
        <v>2020</v>
      </c>
      <c r="D454" s="332">
        <v>2</v>
      </c>
      <c r="E454" s="332">
        <v>2.4</v>
      </c>
      <c r="F454" s="335"/>
      <c r="G454" s="335"/>
      <c r="H454" s="332">
        <v>3.7</v>
      </c>
      <c r="I454" s="335"/>
      <c r="J454" s="332">
        <v>2.1</v>
      </c>
      <c r="K454" s="335"/>
      <c r="L454" s="332">
        <v>5.9</v>
      </c>
      <c r="S454" s="105"/>
    </row>
    <row r="455" spans="2:19" ht="12.75" customHeight="1" x14ac:dyDescent="0.2">
      <c r="B455" s="60"/>
      <c r="C455" s="332">
        <v>2021</v>
      </c>
      <c r="D455" s="332">
        <v>2.4</v>
      </c>
      <c r="E455" s="332">
        <v>3.2</v>
      </c>
      <c r="F455" s="335"/>
      <c r="G455" s="335"/>
      <c r="H455" s="332">
        <v>2.9</v>
      </c>
      <c r="I455" s="335"/>
      <c r="J455" s="335"/>
      <c r="K455" s="335"/>
      <c r="L455" s="335"/>
      <c r="S455" s="105"/>
    </row>
    <row r="456" spans="2:19" ht="12.75" customHeight="1" x14ac:dyDescent="0.2">
      <c r="B456" s="60"/>
      <c r="C456" s="332">
        <v>2022</v>
      </c>
      <c r="D456" s="332">
        <v>2.2999999999999998</v>
      </c>
      <c r="E456" s="332">
        <v>2</v>
      </c>
      <c r="F456" s="332">
        <v>2.6</v>
      </c>
      <c r="G456" s="335"/>
      <c r="H456" s="332">
        <v>4.8</v>
      </c>
      <c r="I456" s="335"/>
      <c r="J456" s="335"/>
      <c r="K456" s="335"/>
      <c r="L456" s="332">
        <v>10</v>
      </c>
      <c r="S456" s="105"/>
    </row>
    <row r="457" spans="2:19" ht="12.75" customHeight="1" x14ac:dyDescent="0.2">
      <c r="B457" s="60"/>
      <c r="C457" s="332">
        <v>2023</v>
      </c>
      <c r="D457" s="332">
        <v>2.5</v>
      </c>
      <c r="E457" s="332">
        <v>2.2999999999999998</v>
      </c>
      <c r="F457" s="335"/>
      <c r="G457" s="335"/>
      <c r="H457" s="335"/>
      <c r="I457" s="335"/>
      <c r="J457" s="335"/>
      <c r="K457" s="335"/>
      <c r="L457" s="335"/>
      <c r="S457" s="105"/>
    </row>
    <row r="458" spans="2:19" ht="12.75" customHeight="1" x14ac:dyDescent="0.2">
      <c r="B458" s="60"/>
      <c r="C458" s="332">
        <v>2024</v>
      </c>
      <c r="D458" s="336">
        <f>GETPIVOTDATA("approval to completion",Pivot!$B$566,"Site size","1 to 4")</f>
        <v>2.4660821917808224</v>
      </c>
      <c r="E458" s="336">
        <f>GETPIVOTDATA("approval to completion",Pivot!$B$566,"Site size","5 to 9")</f>
        <v>2.5520547945205481</v>
      </c>
      <c r="F458" s="336">
        <f>GETPIVOTDATA("approval to completion",Pivot!$B$566,"Site size","10 to 14")</f>
        <v>2.3013698630136985</v>
      </c>
      <c r="G458" s="336">
        <f>GETPIVOTDATA("approval to completion",Pivot!$B$566,"Site size","15 to 19")</f>
        <v>1.4219178082191781</v>
      </c>
      <c r="H458" s="336">
        <f>GETPIVOTDATA("approval to completion",Pivot!$B$566,"Site size","20 to 29")</f>
        <v>5.4739726027397255</v>
      </c>
      <c r="I458" s="336"/>
      <c r="J458" s="336"/>
      <c r="K458" s="336"/>
      <c r="L458" s="336"/>
      <c r="S458" s="105"/>
    </row>
    <row r="459" spans="2:19" ht="12.75" customHeight="1" x14ac:dyDescent="0.2">
      <c r="B459" s="60"/>
      <c r="C459" s="333" t="s">
        <v>128</v>
      </c>
      <c r="D459" s="334">
        <f>AVERAGE(D440:D458)</f>
        <v>1.9561095890410956</v>
      </c>
      <c r="E459" s="334">
        <f t="shared" ref="E459:L459" si="36">AVERAGE(E440:E458)</f>
        <v>2.5395818312905551</v>
      </c>
      <c r="F459" s="334">
        <f t="shared" si="36"/>
        <v>2.5584474885844748</v>
      </c>
      <c r="G459" s="334">
        <f t="shared" si="36"/>
        <v>2.8536529680365295</v>
      </c>
      <c r="H459" s="334">
        <f>AVERAGE(H440:H458)</f>
        <v>3.4158156911581572</v>
      </c>
      <c r="I459" s="334">
        <f t="shared" si="36"/>
        <v>2.25</v>
      </c>
      <c r="J459" s="334">
        <f t="shared" si="36"/>
        <v>2.5666666666666664</v>
      </c>
      <c r="K459" s="334">
        <f t="shared" si="36"/>
        <v>2.8</v>
      </c>
      <c r="L459" s="334">
        <f t="shared" si="36"/>
        <v>5.5374999999999996</v>
      </c>
      <c r="S459" s="105"/>
    </row>
    <row r="460" spans="2:19" x14ac:dyDescent="0.2">
      <c r="B460" s="60"/>
      <c r="S460" s="105"/>
    </row>
    <row r="461" spans="2:19" x14ac:dyDescent="0.2">
      <c r="B461" s="60"/>
      <c r="S461" s="105"/>
    </row>
    <row r="462" spans="2:19" x14ac:dyDescent="0.2">
      <c r="B462" s="60"/>
      <c r="S462" s="105"/>
    </row>
    <row r="463" spans="2:19" x14ac:dyDescent="0.2">
      <c r="B463" s="96"/>
      <c r="C463" s="108"/>
      <c r="D463" s="108"/>
      <c r="E463" s="108"/>
      <c r="F463" s="108"/>
      <c r="G463" s="108"/>
      <c r="H463" s="108"/>
      <c r="I463" s="108"/>
      <c r="J463" s="108"/>
      <c r="K463" s="108"/>
      <c r="L463" s="108"/>
      <c r="M463" s="108"/>
      <c r="N463" s="108"/>
      <c r="O463" s="108"/>
      <c r="P463" s="108"/>
      <c r="Q463" s="108"/>
      <c r="R463" s="108"/>
      <c r="S463" s="109"/>
    </row>
  </sheetData>
  <mergeCells count="332">
    <mergeCell ref="D31:J31"/>
    <mergeCell ref="K31:L31"/>
    <mergeCell ref="D32:L32"/>
    <mergeCell ref="K37:L37"/>
    <mergeCell ref="C279:E279"/>
    <mergeCell ref="C280:E280"/>
    <mergeCell ref="C231:E231"/>
    <mergeCell ref="C232:E232"/>
    <mergeCell ref="C233:E233"/>
    <mergeCell ref="C234:E234"/>
    <mergeCell ref="C235:E235"/>
    <mergeCell ref="C236:E236"/>
    <mergeCell ref="C219:E219"/>
    <mergeCell ref="C220:E220"/>
    <mergeCell ref="C221:E221"/>
    <mergeCell ref="C222:E222"/>
    <mergeCell ref="C223:E223"/>
    <mergeCell ref="C230:E230"/>
    <mergeCell ref="C204:E204"/>
    <mergeCell ref="C205:E205"/>
    <mergeCell ref="C206:E206"/>
    <mergeCell ref="C213:E213"/>
    <mergeCell ref="C214:E214"/>
    <mergeCell ref="C215:E215"/>
    <mergeCell ref="C307:D308"/>
    <mergeCell ref="C309:D310"/>
    <mergeCell ref="C311:D312"/>
    <mergeCell ref="C315:D316"/>
    <mergeCell ref="C313:D314"/>
    <mergeCell ref="C260:E260"/>
    <mergeCell ref="C261:E261"/>
    <mergeCell ref="C243:E243"/>
    <mergeCell ref="C244:E244"/>
    <mergeCell ref="C245:E245"/>
    <mergeCell ref="C246:E246"/>
    <mergeCell ref="C247:E247"/>
    <mergeCell ref="C248:E248"/>
    <mergeCell ref="C256:E256"/>
    <mergeCell ref="C257:E257"/>
    <mergeCell ref="C258:E258"/>
    <mergeCell ref="C259:E259"/>
    <mergeCell ref="C272:E272"/>
    <mergeCell ref="C273:E273"/>
    <mergeCell ref="C274:E274"/>
    <mergeCell ref="C275:E275"/>
    <mergeCell ref="C276:E276"/>
    <mergeCell ref="C277:E277"/>
    <mergeCell ref="C278:E278"/>
    <mergeCell ref="C371:E371"/>
    <mergeCell ref="C372:E372"/>
    <mergeCell ref="C340:D341"/>
    <mergeCell ref="C342:D343"/>
    <mergeCell ref="C344:D345"/>
    <mergeCell ref="C320:D320"/>
    <mergeCell ref="C321:D322"/>
    <mergeCell ref="C323:D324"/>
    <mergeCell ref="C325:D326"/>
    <mergeCell ref="C327:D328"/>
    <mergeCell ref="C329:D330"/>
    <mergeCell ref="C353:L353"/>
    <mergeCell ref="C354:E354"/>
    <mergeCell ref="C355:E355"/>
    <mergeCell ref="C356:E356"/>
    <mergeCell ref="C357:E357"/>
    <mergeCell ref="C358:E358"/>
    <mergeCell ref="C335:D335"/>
    <mergeCell ref="C336:D337"/>
    <mergeCell ref="C338:D339"/>
    <mergeCell ref="C365:E365"/>
    <mergeCell ref="C366:E366"/>
    <mergeCell ref="C367:E367"/>
    <mergeCell ref="C368:E368"/>
    <mergeCell ref="C306:D306"/>
    <mergeCell ref="C237:E237"/>
    <mergeCell ref="C238:E238"/>
    <mergeCell ref="C239:E239"/>
    <mergeCell ref="C240:E240"/>
    <mergeCell ref="C241:E241"/>
    <mergeCell ref="C242:E242"/>
    <mergeCell ref="C249:E249"/>
    <mergeCell ref="C254:E254"/>
    <mergeCell ref="C255:E255"/>
    <mergeCell ref="C286:E286"/>
    <mergeCell ref="C287:E287"/>
    <mergeCell ref="C288:E288"/>
    <mergeCell ref="C289:E289"/>
    <mergeCell ref="C290:E290"/>
    <mergeCell ref="C291:E291"/>
    <mergeCell ref="C292:E292"/>
    <mergeCell ref="C270:E270"/>
    <mergeCell ref="C271:E271"/>
    <mergeCell ref="C293:E293"/>
    <mergeCell ref="C294:E294"/>
    <mergeCell ref="C295:E295"/>
    <mergeCell ref="C296:E296"/>
    <mergeCell ref="C216:E216"/>
    <mergeCell ref="C217:E217"/>
    <mergeCell ref="C218:E218"/>
    <mergeCell ref="C207:E207"/>
    <mergeCell ref="C208:E208"/>
    <mergeCell ref="C209:E209"/>
    <mergeCell ref="C210:E210"/>
    <mergeCell ref="C211:E211"/>
    <mergeCell ref="C212:E212"/>
    <mergeCell ref="K142:L142"/>
    <mergeCell ref="M142:N142"/>
    <mergeCell ref="C141:D141"/>
    <mergeCell ref="E141:F141"/>
    <mergeCell ref="G141:H141"/>
    <mergeCell ref="I141:J141"/>
    <mergeCell ref="K141:L141"/>
    <mergeCell ref="M141:N141"/>
    <mergeCell ref="C139:D139"/>
    <mergeCell ref="E139:F139"/>
    <mergeCell ref="G139:H139"/>
    <mergeCell ref="I139:J139"/>
    <mergeCell ref="K139:L139"/>
    <mergeCell ref="M139:N139"/>
    <mergeCell ref="C140:D140"/>
    <mergeCell ref="E140:F140"/>
    <mergeCell ref="G140:H140"/>
    <mergeCell ref="I140:J140"/>
    <mergeCell ref="K140:L140"/>
    <mergeCell ref="M140:N140"/>
    <mergeCell ref="C142:D142"/>
    <mergeCell ref="E142:F142"/>
    <mergeCell ref="G142:H142"/>
    <mergeCell ref="I142:J142"/>
    <mergeCell ref="C138:D138"/>
    <mergeCell ref="E138:F138"/>
    <mergeCell ref="G138:H138"/>
    <mergeCell ref="I138:J138"/>
    <mergeCell ref="K138:L138"/>
    <mergeCell ref="M138:N138"/>
    <mergeCell ref="C137:D137"/>
    <mergeCell ref="E137:F137"/>
    <mergeCell ref="G137:H137"/>
    <mergeCell ref="I137:J137"/>
    <mergeCell ref="K137:L137"/>
    <mergeCell ref="M137:N137"/>
    <mergeCell ref="C136:D136"/>
    <mergeCell ref="E136:F136"/>
    <mergeCell ref="G136:H136"/>
    <mergeCell ref="I136:J136"/>
    <mergeCell ref="K136:L136"/>
    <mergeCell ref="M136:N136"/>
    <mergeCell ref="C135:D135"/>
    <mergeCell ref="E135:F135"/>
    <mergeCell ref="G135:H135"/>
    <mergeCell ref="I135:J135"/>
    <mergeCell ref="K135:L135"/>
    <mergeCell ref="M135:N135"/>
    <mergeCell ref="C134:D134"/>
    <mergeCell ref="E134:F134"/>
    <mergeCell ref="G134:H134"/>
    <mergeCell ref="I134:J134"/>
    <mergeCell ref="K134:L134"/>
    <mergeCell ref="M134:N134"/>
    <mergeCell ref="M132:N132"/>
    <mergeCell ref="C133:D133"/>
    <mergeCell ref="E133:F133"/>
    <mergeCell ref="G133:H133"/>
    <mergeCell ref="I133:J133"/>
    <mergeCell ref="K133:L133"/>
    <mergeCell ref="M133:N133"/>
    <mergeCell ref="I121:J121"/>
    <mergeCell ref="C132:D132"/>
    <mergeCell ref="E132:F132"/>
    <mergeCell ref="G132:H132"/>
    <mergeCell ref="I132:J132"/>
    <mergeCell ref="K132:L132"/>
    <mergeCell ref="C120:D120"/>
    <mergeCell ref="E120:F120"/>
    <mergeCell ref="G120:H120"/>
    <mergeCell ref="C121:D121"/>
    <mergeCell ref="E121:F121"/>
    <mergeCell ref="G121:H121"/>
    <mergeCell ref="G118:H118"/>
    <mergeCell ref="C119:D119"/>
    <mergeCell ref="E119:F119"/>
    <mergeCell ref="G119:H119"/>
    <mergeCell ref="C116:D116"/>
    <mergeCell ref="E116:F116"/>
    <mergeCell ref="G116:H116"/>
    <mergeCell ref="C117:D117"/>
    <mergeCell ref="E117:F117"/>
    <mergeCell ref="G117:H117"/>
    <mergeCell ref="V100:V101"/>
    <mergeCell ref="W100:X100"/>
    <mergeCell ref="Y100:Z100"/>
    <mergeCell ref="AA100:AB100"/>
    <mergeCell ref="C115:D115"/>
    <mergeCell ref="E115:F115"/>
    <mergeCell ref="G115:H115"/>
    <mergeCell ref="K54:P54"/>
    <mergeCell ref="Q54:R54"/>
    <mergeCell ref="C89:C90"/>
    <mergeCell ref="D89:E89"/>
    <mergeCell ref="F89:G89"/>
    <mergeCell ref="H89:H90"/>
    <mergeCell ref="Q52:R52"/>
    <mergeCell ref="C53:G53"/>
    <mergeCell ref="H53:I53"/>
    <mergeCell ref="K53:P53"/>
    <mergeCell ref="Q53:R53"/>
    <mergeCell ref="C50:G50"/>
    <mergeCell ref="H50:I50"/>
    <mergeCell ref="K50:P50"/>
    <mergeCell ref="Q50:R50"/>
    <mergeCell ref="C51:G51"/>
    <mergeCell ref="H51:I51"/>
    <mergeCell ref="K51:P51"/>
    <mergeCell ref="Q51:R51"/>
    <mergeCell ref="Q48:R48"/>
    <mergeCell ref="C49:G49"/>
    <mergeCell ref="H49:I49"/>
    <mergeCell ref="K49:P49"/>
    <mergeCell ref="Q49:R49"/>
    <mergeCell ref="C46:G46"/>
    <mergeCell ref="H46:I46"/>
    <mergeCell ref="K46:P46"/>
    <mergeCell ref="Q46:R46"/>
    <mergeCell ref="C47:G47"/>
    <mergeCell ref="H47:I47"/>
    <mergeCell ref="K47:P47"/>
    <mergeCell ref="Q47:R47"/>
    <mergeCell ref="K24:L24"/>
    <mergeCell ref="C45:G45"/>
    <mergeCell ref="H45:I45"/>
    <mergeCell ref="K45:P45"/>
    <mergeCell ref="Q45:R45"/>
    <mergeCell ref="D21:J21"/>
    <mergeCell ref="K21:L21"/>
    <mergeCell ref="D22:J22"/>
    <mergeCell ref="K22:L22"/>
    <mergeCell ref="D23:J23"/>
    <mergeCell ref="K23:L23"/>
    <mergeCell ref="C27:M27"/>
    <mergeCell ref="D28:L28"/>
    <mergeCell ref="D29:L29"/>
    <mergeCell ref="D34:J34"/>
    <mergeCell ref="K34:L34"/>
    <mergeCell ref="D39:J39"/>
    <mergeCell ref="K39:L39"/>
    <mergeCell ref="D33:L33"/>
    <mergeCell ref="D40:J40"/>
    <mergeCell ref="K40:L40"/>
    <mergeCell ref="D35:J35"/>
    <mergeCell ref="K35:L35"/>
    <mergeCell ref="D30:L30"/>
    <mergeCell ref="C389:E389"/>
    <mergeCell ref="C388:E388"/>
    <mergeCell ref="C380:L380"/>
    <mergeCell ref="C381:E381"/>
    <mergeCell ref="B2:S3"/>
    <mergeCell ref="C6:F7"/>
    <mergeCell ref="G6:G7"/>
    <mergeCell ref="K6:K7"/>
    <mergeCell ref="C8:F8"/>
    <mergeCell ref="D18:J18"/>
    <mergeCell ref="K18:L18"/>
    <mergeCell ref="D19:J19"/>
    <mergeCell ref="K19:L19"/>
    <mergeCell ref="H6:J6"/>
    <mergeCell ref="D20:J20"/>
    <mergeCell ref="K20:L20"/>
    <mergeCell ref="C13:M13"/>
    <mergeCell ref="D14:L14"/>
    <mergeCell ref="D15:L15"/>
    <mergeCell ref="D16:J16"/>
    <mergeCell ref="K16:L16"/>
    <mergeCell ref="D17:J17"/>
    <mergeCell ref="K17:L17"/>
    <mergeCell ref="D24:J24"/>
    <mergeCell ref="C408:E408"/>
    <mergeCell ref="C406:E406"/>
    <mergeCell ref="C407:E407"/>
    <mergeCell ref="C397:E397"/>
    <mergeCell ref="C398:E398"/>
    <mergeCell ref="C399:E399"/>
    <mergeCell ref="C400:E400"/>
    <mergeCell ref="C401:E401"/>
    <mergeCell ref="C402:E402"/>
    <mergeCell ref="C403:E403"/>
    <mergeCell ref="C387:E387"/>
    <mergeCell ref="D36:J36"/>
    <mergeCell ref="K36:L36"/>
    <mergeCell ref="D37:J37"/>
    <mergeCell ref="D38:J38"/>
    <mergeCell ref="K38:L38"/>
    <mergeCell ref="C369:E369"/>
    <mergeCell ref="C370:E370"/>
    <mergeCell ref="C359:E359"/>
    <mergeCell ref="C360:E360"/>
    <mergeCell ref="C361:E361"/>
    <mergeCell ref="C362:E362"/>
    <mergeCell ref="C363:E363"/>
    <mergeCell ref="C364:E364"/>
    <mergeCell ref="C373:E373"/>
    <mergeCell ref="C374:E374"/>
    <mergeCell ref="C48:G48"/>
    <mergeCell ref="H48:I48"/>
    <mergeCell ref="K48:P48"/>
    <mergeCell ref="C52:G52"/>
    <mergeCell ref="H52:I52"/>
    <mergeCell ref="K52:P52"/>
    <mergeCell ref="C118:D118"/>
    <mergeCell ref="E118:F118"/>
    <mergeCell ref="D438:L438"/>
    <mergeCell ref="C198:D198"/>
    <mergeCell ref="I198:J198"/>
    <mergeCell ref="C199:D199"/>
    <mergeCell ref="I199:J199"/>
    <mergeCell ref="I200:J200"/>
    <mergeCell ref="C193:D193"/>
    <mergeCell ref="I193:J193"/>
    <mergeCell ref="C194:D194"/>
    <mergeCell ref="I194:J194"/>
    <mergeCell ref="C195:D195"/>
    <mergeCell ref="I195:J195"/>
    <mergeCell ref="C196:D196"/>
    <mergeCell ref="I196:J196"/>
    <mergeCell ref="C197:D197"/>
    <mergeCell ref="I197:J197"/>
    <mergeCell ref="C404:E404"/>
    <mergeCell ref="C396:L396"/>
    <mergeCell ref="C405:E405"/>
    <mergeCell ref="C382:E382"/>
    <mergeCell ref="C383:E383"/>
    <mergeCell ref="C384:E384"/>
    <mergeCell ref="C385:E385"/>
    <mergeCell ref="C386:E386"/>
  </mergeCells>
  <conditionalFormatting sqref="D440:L458">
    <cfRule type="colorScale" priority="1">
      <colorScale>
        <cfvo type="min"/>
        <cfvo type="percentile" val="50"/>
        <cfvo type="max"/>
        <color rgb="FF63BE7B"/>
        <color rgb="FFFFEB84"/>
        <color rgb="FFF8696B"/>
      </colorScale>
    </cfRule>
  </conditionalFormatting>
  <printOptions horizontalCentered="1"/>
  <pageMargins left="0.23622047244094491" right="0.23622047244094491" top="0.35433070866141736" bottom="0.39370078740157483" header="0.31496062992125984" footer="0.31496062992125984"/>
  <pageSetup paperSize="9" scale="73" fitToHeight="0" orientation="landscape" r:id="rId1"/>
  <headerFooter alignWithMargins="0"/>
  <rowBreaks count="10" manualBreakCount="10">
    <brk id="57" min="1" max="18" man="1"/>
    <brk id="84" min="1" max="18" man="1"/>
    <brk id="129" min="1" max="18" man="1"/>
    <brk id="186" min="1" max="18" man="1"/>
    <brk id="226" min="1" max="18" man="1"/>
    <brk id="251" max="16383" man="1"/>
    <brk id="301" min="1" max="18" man="1"/>
    <brk id="348" min="1" max="18" man="1"/>
    <brk id="377" min="1" max="18" man="1"/>
    <brk id="411" min="1" max="18" man="1"/>
  </rowBreaks>
  <ignoredErrors>
    <ignoredError sqref="M32:M33 M30" formulaRange="1"/>
    <ignoredError sqref="E110 G110 J308 I310 I309 E312:I312 E310:H310 E309:H309 E311:H311 E323:I326 E338:I338 E344:F344 G344:I344 E341:I341 E339:G339 I339 E340:G340 I340 E343:I343 E342:G342 H342:I342 E314:I315 G313:I313 E328:I329 G327:I327" formula="1"/>
    <ignoredError sqref="F439"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9752-A539-4FFA-BF2F-A6F0E67F2217}">
  <dimension ref="A3:AC777"/>
  <sheetViews>
    <sheetView zoomScale="40" zoomScaleNormal="40" workbookViewId="0"/>
  </sheetViews>
  <sheetFormatPr defaultColWidth="9.140625" defaultRowHeight="12.75" x14ac:dyDescent="0.2"/>
  <cols>
    <col min="1" max="1" width="16.85546875" style="1" bestFit="1" customWidth="1"/>
    <col min="2" max="12" width="30.7109375" style="1" customWidth="1"/>
    <col min="13" max="18" width="22.85546875" style="1" customWidth="1"/>
    <col min="19" max="19" width="24.28515625" style="1" bestFit="1" customWidth="1"/>
    <col min="20" max="20" width="11.5703125" style="1" bestFit="1" customWidth="1"/>
    <col min="21" max="32" width="9.140625" style="1" customWidth="1"/>
    <col min="33" max="35" width="9.140625" style="1"/>
    <col min="36" max="37" width="9.140625" style="1" customWidth="1"/>
    <col min="38" max="16384" width="9.140625" style="1"/>
  </cols>
  <sheetData>
    <row r="3" spans="2:29" ht="13.5" thickBot="1" x14ac:dyDescent="0.25">
      <c r="B3" s="134" t="s">
        <v>248</v>
      </c>
      <c r="E3" s="135" t="s">
        <v>249</v>
      </c>
    </row>
    <row r="4" spans="2:29" ht="13.5" thickBot="1" x14ac:dyDescent="0.25">
      <c r="B4" s="346" t="s">
        <v>250</v>
      </c>
      <c r="C4" s="347" t="s">
        <v>248</v>
      </c>
    </row>
    <row r="5" spans="2:29" ht="13.5" thickBot="1" x14ac:dyDescent="0.25">
      <c r="E5" s="346" t="s">
        <v>250</v>
      </c>
      <c r="F5" s="347" t="s">
        <v>251</v>
      </c>
      <c r="H5" s="134" t="s">
        <v>252</v>
      </c>
    </row>
    <row r="6" spans="2:29" ht="15.75" thickBot="1" x14ac:dyDescent="0.3">
      <c r="B6" s="358" t="s">
        <v>253</v>
      </c>
      <c r="H6" s="3"/>
      <c r="I6" s="3"/>
    </row>
    <row r="7" spans="2:29" ht="13.5" thickBot="1" x14ac:dyDescent="0.25">
      <c r="B7" s="365">
        <v>100</v>
      </c>
      <c r="E7" s="348" t="s">
        <v>254</v>
      </c>
      <c r="F7" s="365" t="s">
        <v>255</v>
      </c>
      <c r="H7" s="346" t="s">
        <v>256</v>
      </c>
      <c r="I7" s="347" t="s">
        <v>251</v>
      </c>
    </row>
    <row r="8" spans="2:29" ht="13.5" thickBot="1" x14ac:dyDescent="0.25">
      <c r="E8" s="366" t="s">
        <v>257</v>
      </c>
      <c r="F8" s="358">
        <v>107</v>
      </c>
      <c r="H8" s="346" t="s">
        <v>250</v>
      </c>
      <c r="I8" s="347" t="s">
        <v>258</v>
      </c>
    </row>
    <row r="9" spans="2:29" ht="15.75" thickBot="1" x14ac:dyDescent="0.3">
      <c r="E9" s="366" t="s">
        <v>259</v>
      </c>
      <c r="F9" s="363">
        <v>116</v>
      </c>
      <c r="X9" s="3"/>
      <c r="Y9" s="3"/>
      <c r="Z9" s="3"/>
      <c r="AA9" s="3"/>
      <c r="AB9" s="3"/>
      <c r="AC9" s="3"/>
    </row>
    <row r="10" spans="2:29" ht="15.75" customHeight="1" thickBot="1" x14ac:dyDescent="0.3">
      <c r="B10" s="134" t="s">
        <v>260</v>
      </c>
      <c r="E10" s="366" t="s">
        <v>261</v>
      </c>
      <c r="F10" s="363">
        <v>453</v>
      </c>
      <c r="H10" s="348" t="s">
        <v>262</v>
      </c>
      <c r="I10" s="349" t="s">
        <v>263</v>
      </c>
      <c r="J10" s="349" t="s">
        <v>264</v>
      </c>
      <c r="K10" s="349" t="s">
        <v>265</v>
      </c>
      <c r="L10" s="349" t="s">
        <v>266</v>
      </c>
      <c r="M10" s="349" t="s">
        <v>267</v>
      </c>
      <c r="N10" s="349" t="s">
        <v>268</v>
      </c>
      <c r="O10" s="349" t="s">
        <v>269</v>
      </c>
      <c r="P10" s="349" t="s">
        <v>270</v>
      </c>
      <c r="Q10" s="350" t="s">
        <v>271</v>
      </c>
      <c r="R10" s="3"/>
      <c r="X10" s="3"/>
      <c r="Y10" s="3"/>
      <c r="Z10" s="3"/>
      <c r="AA10" s="3"/>
      <c r="AB10" s="3"/>
      <c r="AC10" s="3"/>
    </row>
    <row r="11" spans="2:29" ht="15.75" thickBot="1" x14ac:dyDescent="0.3">
      <c r="B11" s="346" t="s">
        <v>250</v>
      </c>
      <c r="C11" s="347" t="s">
        <v>272</v>
      </c>
      <c r="E11" s="366" t="s">
        <v>273</v>
      </c>
      <c r="F11" s="363">
        <v>70</v>
      </c>
      <c r="H11" s="380">
        <v>7.5</v>
      </c>
      <c r="I11" s="381">
        <v>117.25</v>
      </c>
      <c r="J11" s="381">
        <v>-1.75</v>
      </c>
      <c r="K11" s="381">
        <v>36.75</v>
      </c>
      <c r="L11" s="381">
        <v>171.25</v>
      </c>
      <c r="M11" s="381">
        <v>-132</v>
      </c>
      <c r="N11" s="381">
        <v>35</v>
      </c>
      <c r="O11" s="381">
        <v>149</v>
      </c>
      <c r="P11" s="381">
        <v>38</v>
      </c>
      <c r="Q11" s="357"/>
      <c r="R11" s="3"/>
      <c r="X11" s="3"/>
      <c r="Y11" s="3"/>
      <c r="Z11" s="3"/>
      <c r="AA11" s="3"/>
      <c r="AB11" s="3"/>
      <c r="AC11" s="3"/>
    </row>
    <row r="12" spans="2:29" ht="15.75" thickBot="1" x14ac:dyDescent="0.3">
      <c r="B12" s="346" t="s">
        <v>256</v>
      </c>
      <c r="C12" s="347" t="s">
        <v>251</v>
      </c>
      <c r="E12" s="354" t="s">
        <v>274</v>
      </c>
      <c r="F12" s="363">
        <v>742</v>
      </c>
      <c r="H12" s="3"/>
      <c r="I12" s="3"/>
      <c r="J12" s="3"/>
      <c r="K12" s="3"/>
      <c r="L12" s="3"/>
      <c r="M12" s="3"/>
      <c r="N12" s="3"/>
      <c r="O12" s="3"/>
      <c r="P12" s="3"/>
      <c r="Q12" s="3"/>
      <c r="R12" s="3"/>
    </row>
    <row r="13" spans="2:29" ht="15.75" thickBot="1" x14ac:dyDescent="0.3">
      <c r="B13" s="346" t="s">
        <v>275</v>
      </c>
      <c r="C13" s="347" t="s">
        <v>276</v>
      </c>
      <c r="E13" s="366" t="s">
        <v>277</v>
      </c>
      <c r="F13" s="363">
        <v>100</v>
      </c>
      <c r="H13" s="3"/>
      <c r="I13" s="3"/>
    </row>
    <row r="14" spans="2:29" ht="15.75" thickBot="1" x14ac:dyDescent="0.3">
      <c r="E14" s="366" t="s">
        <v>278</v>
      </c>
      <c r="F14" s="363">
        <v>355</v>
      </c>
      <c r="H14" s="3"/>
      <c r="I14" s="3"/>
    </row>
    <row r="15" spans="2:29" x14ac:dyDescent="0.2">
      <c r="B15" s="358" t="s">
        <v>253</v>
      </c>
      <c r="E15" s="366" t="s">
        <v>279</v>
      </c>
      <c r="F15" s="363">
        <v>20</v>
      </c>
      <c r="H15" s="4"/>
    </row>
    <row r="16" spans="2:29" ht="15.75" thickBot="1" x14ac:dyDescent="0.3">
      <c r="B16" s="359">
        <v>508</v>
      </c>
      <c r="E16" s="366" t="s">
        <v>280</v>
      </c>
      <c r="F16" s="363">
        <v>20</v>
      </c>
      <c r="H16" s="3"/>
      <c r="I16" s="3"/>
    </row>
    <row r="17" spans="2:17" ht="13.5" thickBot="1" x14ac:dyDescent="0.25">
      <c r="E17" s="366" t="s">
        <v>281</v>
      </c>
      <c r="F17" s="363">
        <v>20</v>
      </c>
    </row>
    <row r="18" spans="2:17" ht="13.5" thickBot="1" x14ac:dyDescent="0.25">
      <c r="E18" s="364" t="s">
        <v>282</v>
      </c>
      <c r="F18" s="359">
        <v>2003</v>
      </c>
    </row>
    <row r="19" spans="2:17" ht="15.75" customHeight="1" thickBot="1" x14ac:dyDescent="0.3">
      <c r="B19" s="134" t="s">
        <v>66</v>
      </c>
      <c r="E19"/>
      <c r="F19"/>
      <c r="H19" s="134" t="s">
        <v>283</v>
      </c>
    </row>
    <row r="20" spans="2:17" ht="15.75" thickBot="1" x14ac:dyDescent="0.3">
      <c r="B20" s="346" t="s">
        <v>256</v>
      </c>
      <c r="C20" s="347" t="s">
        <v>251</v>
      </c>
      <c r="E20" s="135" t="s">
        <v>284</v>
      </c>
      <c r="F20" s="3"/>
      <c r="H20" s="346" t="s">
        <v>250</v>
      </c>
      <c r="I20" s="347" t="s">
        <v>248</v>
      </c>
      <c r="J20" s="3"/>
      <c r="K20" s="3"/>
      <c r="L20" s="3"/>
      <c r="M20" s="3"/>
      <c r="N20" s="3"/>
      <c r="O20" s="3"/>
      <c r="P20" s="3"/>
      <c r="Q20" s="3"/>
    </row>
    <row r="21" spans="2:17" ht="15.75" thickBot="1" x14ac:dyDescent="0.3">
      <c r="B21" s="346" t="s">
        <v>250</v>
      </c>
      <c r="C21" s="347" t="s">
        <v>258</v>
      </c>
      <c r="J21" s="3"/>
      <c r="K21" s="3"/>
      <c r="L21" s="3"/>
      <c r="M21" s="3"/>
      <c r="N21" s="3"/>
      <c r="O21" s="3"/>
      <c r="P21" s="3"/>
      <c r="Q21" s="3"/>
    </row>
    <row r="22" spans="2:17" ht="15.75" thickBot="1" x14ac:dyDescent="0.3">
      <c r="B22" s="346" t="s">
        <v>275</v>
      </c>
      <c r="C22" s="347" t="s">
        <v>276</v>
      </c>
      <c r="E22" s="346" t="s">
        <v>250</v>
      </c>
      <c r="F22" s="347" t="s">
        <v>251</v>
      </c>
      <c r="H22" s="358" t="s">
        <v>285</v>
      </c>
      <c r="I22"/>
      <c r="J22"/>
      <c r="K22"/>
      <c r="L22"/>
      <c r="M22"/>
      <c r="N22"/>
      <c r="O22"/>
    </row>
    <row r="23" spans="2:17" ht="15.75" thickBot="1" x14ac:dyDescent="0.3">
      <c r="H23" s="384">
        <v>2.599315068493151</v>
      </c>
      <c r="I23"/>
      <c r="J23"/>
      <c r="K23"/>
      <c r="L23"/>
      <c r="M23"/>
      <c r="N23"/>
      <c r="O23"/>
    </row>
    <row r="24" spans="2:17" ht="15.75" thickBot="1" x14ac:dyDescent="0.3">
      <c r="B24" s="358" t="s">
        <v>253</v>
      </c>
      <c r="E24" s="348" t="s">
        <v>254</v>
      </c>
      <c r="F24" s="365" t="s">
        <v>286</v>
      </c>
      <c r="H24"/>
      <c r="I24"/>
      <c r="J24"/>
      <c r="K24"/>
      <c r="L24"/>
      <c r="M24"/>
      <c r="N24"/>
      <c r="O24"/>
    </row>
    <row r="25" spans="2:17" ht="13.5" thickBot="1" x14ac:dyDescent="0.25">
      <c r="B25" s="385">
        <v>421</v>
      </c>
      <c r="E25" s="366" t="s">
        <v>257</v>
      </c>
      <c r="F25" s="358">
        <v>107</v>
      </c>
    </row>
    <row r="26" spans="2:17" x14ac:dyDescent="0.2">
      <c r="E26" s="366" t="s">
        <v>259</v>
      </c>
      <c r="F26" s="363">
        <v>116</v>
      </c>
    </row>
    <row r="27" spans="2:17" x14ac:dyDescent="0.2">
      <c r="E27" s="366" t="s">
        <v>261</v>
      </c>
      <c r="F27" s="363">
        <v>453</v>
      </c>
    </row>
    <row r="28" spans="2:17" ht="15.75" thickBot="1" x14ac:dyDescent="0.3">
      <c r="B28" s="134" t="s">
        <v>67</v>
      </c>
      <c r="E28" s="366" t="s">
        <v>273</v>
      </c>
      <c r="F28" s="363">
        <v>70</v>
      </c>
      <c r="H28"/>
      <c r="I28" s="3"/>
    </row>
    <row r="29" spans="2:17" ht="15.75" thickBot="1" x14ac:dyDescent="0.3">
      <c r="B29" s="346" t="s">
        <v>256</v>
      </c>
      <c r="C29" s="347" t="s">
        <v>251</v>
      </c>
      <c r="E29" s="366" t="s">
        <v>287</v>
      </c>
      <c r="F29" s="363">
        <v>144</v>
      </c>
      <c r="H29"/>
      <c r="I29" s="3"/>
    </row>
    <row r="30" spans="2:17" ht="13.5" thickBot="1" x14ac:dyDescent="0.25">
      <c r="B30" s="346" t="s">
        <v>250</v>
      </c>
      <c r="C30" s="347" t="s">
        <v>272</v>
      </c>
      <c r="E30" s="366" t="s">
        <v>274</v>
      </c>
      <c r="F30" s="363">
        <v>1912</v>
      </c>
    </row>
    <row r="31" spans="2:17" ht="13.5" thickBot="1" x14ac:dyDescent="0.25">
      <c r="B31" s="346" t="s">
        <v>275</v>
      </c>
      <c r="C31" s="347" t="s">
        <v>276</v>
      </c>
      <c r="E31" s="366" t="s">
        <v>277</v>
      </c>
      <c r="F31" s="363">
        <v>100</v>
      </c>
    </row>
    <row r="32" spans="2:17" ht="13.5" thickBot="1" x14ac:dyDescent="0.25">
      <c r="E32" s="366" t="s">
        <v>278</v>
      </c>
      <c r="F32" s="363">
        <v>1071</v>
      </c>
    </row>
    <row r="33" spans="2:11" x14ac:dyDescent="0.2">
      <c r="B33" s="358" t="s">
        <v>253</v>
      </c>
      <c r="E33" s="366" t="s">
        <v>279</v>
      </c>
      <c r="F33" s="363">
        <v>20</v>
      </c>
    </row>
    <row r="34" spans="2:11" ht="13.5" thickBot="1" x14ac:dyDescent="0.25">
      <c r="B34" s="359">
        <v>145</v>
      </c>
      <c r="E34" s="366" t="s">
        <v>280</v>
      </c>
      <c r="F34" s="363">
        <v>20</v>
      </c>
      <c r="H34" s="4"/>
    </row>
    <row r="35" spans="2:11" ht="15.75" thickBot="1" x14ac:dyDescent="0.3">
      <c r="E35" s="366" t="s">
        <v>281</v>
      </c>
      <c r="F35" s="363">
        <v>20</v>
      </c>
      <c r="H35" s="3"/>
      <c r="I35" s="3"/>
    </row>
    <row r="36" spans="2:11" ht="15.75" thickBot="1" x14ac:dyDescent="0.3">
      <c r="E36" s="364" t="s">
        <v>282</v>
      </c>
      <c r="F36" s="385">
        <v>4033</v>
      </c>
      <c r="H36" s="3"/>
      <c r="I36" s="3"/>
    </row>
    <row r="37" spans="2:11" ht="13.5" thickBot="1" x14ac:dyDescent="0.25">
      <c r="B37" s="134" t="s">
        <v>68</v>
      </c>
      <c r="K37" s="229"/>
    </row>
    <row r="38" spans="2:11" ht="13.5" thickBot="1" x14ac:dyDescent="0.25">
      <c r="B38" s="346" t="s">
        <v>256</v>
      </c>
      <c r="C38" s="347" t="s">
        <v>251</v>
      </c>
    </row>
    <row r="39" spans="2:11" ht="15.75" thickBot="1" x14ac:dyDescent="0.3">
      <c r="B39" s="346" t="s">
        <v>250</v>
      </c>
      <c r="C39" s="347" t="s">
        <v>258</v>
      </c>
      <c r="H39" s="3"/>
      <c r="I39" s="3"/>
    </row>
    <row r="40" spans="2:11" ht="15.75" thickBot="1" x14ac:dyDescent="0.3">
      <c r="B40" s="346" t="s">
        <v>288</v>
      </c>
      <c r="C40" s="347" t="s">
        <v>276</v>
      </c>
      <c r="H40" s="3"/>
      <c r="I40" s="3"/>
    </row>
    <row r="41" spans="2:11" ht="15.75" thickBot="1" x14ac:dyDescent="0.3">
      <c r="B41" s="346" t="s">
        <v>275</v>
      </c>
      <c r="C41" s="347" t="s">
        <v>276</v>
      </c>
      <c r="K41"/>
    </row>
    <row r="42" spans="2:11" ht="15.75" thickBot="1" x14ac:dyDescent="0.3">
      <c r="E42" s="135" t="s">
        <v>289</v>
      </c>
      <c r="K42"/>
    </row>
    <row r="43" spans="2:11" ht="15.75" thickBot="1" x14ac:dyDescent="0.3">
      <c r="B43" s="358" t="s">
        <v>253</v>
      </c>
      <c r="E43" s="3"/>
      <c r="F43" s="3"/>
    </row>
    <row r="44" spans="2:11" ht="13.5" thickBot="1" x14ac:dyDescent="0.25">
      <c r="B44" s="359">
        <v>39</v>
      </c>
      <c r="E44" s="346" t="s">
        <v>250</v>
      </c>
      <c r="F44" s="347" t="s">
        <v>290</v>
      </c>
    </row>
    <row r="45" spans="2:11" ht="13.5" thickBot="1" x14ac:dyDescent="0.25"/>
    <row r="46" spans="2:11" ht="13.5" thickBot="1" x14ac:dyDescent="0.25">
      <c r="E46" s="348" t="s">
        <v>254</v>
      </c>
      <c r="F46" s="365" t="s">
        <v>286</v>
      </c>
    </row>
    <row r="47" spans="2:11" ht="15.75" thickBot="1" x14ac:dyDescent="0.3">
      <c r="B47" s="134" t="s">
        <v>69</v>
      </c>
      <c r="E47" s="354" t="s">
        <v>291</v>
      </c>
      <c r="F47" s="358">
        <v>250</v>
      </c>
      <c r="J47" s="3"/>
      <c r="K47" s="3"/>
    </row>
    <row r="48" spans="2:11" ht="13.5" thickBot="1" x14ac:dyDescent="0.25">
      <c r="B48" s="346" t="s">
        <v>256</v>
      </c>
      <c r="C48" s="347" t="s">
        <v>251</v>
      </c>
      <c r="E48" s="354" t="s">
        <v>292</v>
      </c>
      <c r="F48" s="363">
        <v>20</v>
      </c>
    </row>
    <row r="49" spans="2:14" ht="16.5" thickBot="1" x14ac:dyDescent="0.3">
      <c r="B49" s="346" t="s">
        <v>288</v>
      </c>
      <c r="C49" s="347" t="s">
        <v>293</v>
      </c>
      <c r="E49" s="364" t="s">
        <v>282</v>
      </c>
      <c r="F49" s="359">
        <v>270</v>
      </c>
      <c r="M49" s="131"/>
    </row>
    <row r="50" spans="2:14" ht="15.75" thickBot="1" x14ac:dyDescent="0.3">
      <c r="B50" s="346" t="s">
        <v>250</v>
      </c>
      <c r="C50" s="347" t="s">
        <v>258</v>
      </c>
      <c r="M50" s="3"/>
      <c r="N50" s="3"/>
    </row>
    <row r="51" spans="2:14" ht="13.5" thickBot="1" x14ac:dyDescent="0.25">
      <c r="B51" s="346" t="s">
        <v>275</v>
      </c>
      <c r="C51" s="347" t="s">
        <v>276</v>
      </c>
    </row>
    <row r="52" spans="2:14" ht="13.5" thickBot="1" x14ac:dyDescent="0.25"/>
    <row r="53" spans="2:14" x14ac:dyDescent="0.2">
      <c r="B53" s="358" t="s">
        <v>253</v>
      </c>
    </row>
    <row r="54" spans="2:14" ht="15.75" thickBot="1" x14ac:dyDescent="0.3">
      <c r="B54" s="359">
        <v>41</v>
      </c>
      <c r="M54" s="3"/>
    </row>
    <row r="55" spans="2:14" ht="15" x14ac:dyDescent="0.25">
      <c r="M55" s="3"/>
    </row>
    <row r="56" spans="2:14" x14ac:dyDescent="0.2">
      <c r="B56" s="4"/>
    </row>
    <row r="57" spans="2:14" x14ac:dyDescent="0.2">
      <c r="E57" s="230"/>
      <c r="F57" s="230"/>
      <c r="G57" s="230"/>
      <c r="H57" s="230"/>
      <c r="I57" s="230"/>
    </row>
    <row r="58" spans="2:14" ht="13.5" thickBot="1" x14ac:dyDescent="0.25">
      <c r="B58" s="134" t="s">
        <v>294</v>
      </c>
      <c r="E58" s="229"/>
      <c r="F58" s="230"/>
      <c r="G58" s="230"/>
      <c r="H58" s="229"/>
      <c r="I58" s="230"/>
    </row>
    <row r="59" spans="2:14" ht="15.75" thickBot="1" x14ac:dyDescent="0.3">
      <c r="B59" s="346" t="s">
        <v>250</v>
      </c>
      <c r="C59" s="347" t="s">
        <v>248</v>
      </c>
      <c r="E59" s="230"/>
      <c r="F59" s="230"/>
      <c r="G59" s="230"/>
      <c r="H59" s="230"/>
      <c r="I59" s="230"/>
      <c r="M59" s="3"/>
      <c r="N59" s="3"/>
    </row>
    <row r="60" spans="2:14" ht="13.5" thickBot="1" x14ac:dyDescent="0.25">
      <c r="B60" s="346" t="s">
        <v>256</v>
      </c>
      <c r="C60" s="347" t="s">
        <v>251</v>
      </c>
      <c r="E60" s="230"/>
      <c r="F60" s="230"/>
      <c r="G60" s="230"/>
      <c r="H60" s="230"/>
      <c r="I60" s="230"/>
    </row>
    <row r="61" spans="2:14" ht="13.5" thickBot="1" x14ac:dyDescent="0.25">
      <c r="E61" s="230"/>
      <c r="F61" s="230"/>
      <c r="G61" s="230"/>
      <c r="H61" s="230"/>
      <c r="I61" s="230"/>
    </row>
    <row r="62" spans="2:14" ht="15" x14ac:dyDescent="0.25">
      <c r="B62" s="358" t="s">
        <v>253</v>
      </c>
      <c r="E62"/>
      <c r="F62" s="230"/>
      <c r="G62" s="230"/>
      <c r="H62"/>
      <c r="I62" s="230"/>
    </row>
    <row r="63" spans="2:14" ht="15.75" thickBot="1" x14ac:dyDescent="0.3">
      <c r="B63" s="359">
        <v>51</v>
      </c>
      <c r="E63"/>
      <c r="F63" s="230"/>
      <c r="G63" s="230"/>
      <c r="H63"/>
      <c r="I63" s="230"/>
      <c r="M63" s="3"/>
    </row>
    <row r="64" spans="2:14" ht="15" x14ac:dyDescent="0.25">
      <c r="E64" s="230"/>
      <c r="F64" s="230"/>
      <c r="G64" s="230"/>
      <c r="H64" s="230"/>
      <c r="I64" s="230"/>
      <c r="M64" s="3"/>
    </row>
    <row r="65" spans="2:9" x14ac:dyDescent="0.2">
      <c r="E65" s="230"/>
      <c r="F65" s="230"/>
      <c r="G65" s="230"/>
      <c r="H65" s="230"/>
      <c r="I65" s="230"/>
    </row>
    <row r="66" spans="2:9" x14ac:dyDescent="0.2">
      <c r="E66" s="230"/>
      <c r="F66" s="230"/>
      <c r="G66" s="230"/>
      <c r="H66" s="230"/>
      <c r="I66" s="230"/>
    </row>
    <row r="67" spans="2:9" ht="13.5" thickBot="1" x14ac:dyDescent="0.25">
      <c r="B67" s="134" t="s">
        <v>295</v>
      </c>
      <c r="E67" s="229"/>
      <c r="F67" s="230"/>
      <c r="G67" s="230"/>
      <c r="H67" s="229"/>
      <c r="I67" s="230"/>
    </row>
    <row r="68" spans="2:9" ht="13.5" thickBot="1" x14ac:dyDescent="0.25">
      <c r="B68" s="346" t="s">
        <v>250</v>
      </c>
      <c r="C68" s="347" t="s">
        <v>248</v>
      </c>
      <c r="E68" s="230"/>
      <c r="F68" s="230"/>
      <c r="G68" s="230"/>
      <c r="H68" s="230"/>
      <c r="I68" s="230"/>
    </row>
    <row r="69" spans="2:9" ht="13.5" thickBot="1" x14ac:dyDescent="0.25">
      <c r="B69" s="346" t="s">
        <v>256</v>
      </c>
      <c r="C69" s="347" t="s">
        <v>251</v>
      </c>
      <c r="E69" s="230"/>
      <c r="F69" s="230"/>
      <c r="G69" s="230"/>
      <c r="H69" s="230"/>
      <c r="I69" s="230"/>
    </row>
    <row r="70" spans="2:9" ht="13.5" thickBot="1" x14ac:dyDescent="0.25">
      <c r="E70" s="230"/>
      <c r="F70" s="230"/>
      <c r="G70" s="230"/>
      <c r="H70" s="230"/>
      <c r="I70" s="230"/>
    </row>
    <row r="71" spans="2:9" ht="15" x14ac:dyDescent="0.25">
      <c r="B71" s="358" t="s">
        <v>296</v>
      </c>
      <c r="E71"/>
      <c r="F71" s="230"/>
      <c r="G71" s="230"/>
      <c r="H71"/>
      <c r="I71" s="230"/>
    </row>
    <row r="72" spans="2:9" ht="15.75" thickBot="1" x14ac:dyDescent="0.3">
      <c r="B72" s="359">
        <v>91</v>
      </c>
      <c r="E72"/>
      <c r="F72" s="230"/>
      <c r="G72" s="230"/>
      <c r="H72"/>
      <c r="I72" s="230"/>
    </row>
    <row r="73" spans="2:9" x14ac:dyDescent="0.2">
      <c r="E73" s="230"/>
      <c r="F73" s="230"/>
      <c r="G73" s="230"/>
      <c r="H73" s="230"/>
      <c r="I73" s="230"/>
    </row>
    <row r="74" spans="2:9" x14ac:dyDescent="0.2">
      <c r="E74" s="230"/>
      <c r="F74" s="230"/>
      <c r="G74" s="230"/>
      <c r="H74" s="230"/>
      <c r="I74" s="230"/>
    </row>
    <row r="75" spans="2:9" x14ac:dyDescent="0.2">
      <c r="E75" s="230"/>
      <c r="F75" s="230"/>
      <c r="G75" s="230"/>
      <c r="H75" s="230"/>
      <c r="I75" s="230"/>
    </row>
    <row r="76" spans="2:9" ht="13.5" thickBot="1" x14ac:dyDescent="0.25">
      <c r="B76" s="134" t="s">
        <v>297</v>
      </c>
      <c r="E76" s="229"/>
      <c r="F76" s="230"/>
      <c r="G76" s="230"/>
      <c r="H76" s="229"/>
      <c r="I76" s="230"/>
    </row>
    <row r="77" spans="2:9" ht="13.5" thickBot="1" x14ac:dyDescent="0.25">
      <c r="B77" s="346" t="s">
        <v>250</v>
      </c>
      <c r="C77" s="347" t="s">
        <v>248</v>
      </c>
      <c r="E77" s="230"/>
      <c r="F77" s="230"/>
      <c r="G77" s="230"/>
      <c r="H77" s="230"/>
      <c r="I77" s="230"/>
    </row>
    <row r="78" spans="2:9" ht="13.5" thickBot="1" x14ac:dyDescent="0.25">
      <c r="B78" s="346" t="s">
        <v>256</v>
      </c>
      <c r="C78" s="347" t="s">
        <v>251</v>
      </c>
      <c r="E78" s="230"/>
      <c r="F78" s="230"/>
      <c r="G78" s="230"/>
      <c r="H78" s="230"/>
      <c r="I78" s="230"/>
    </row>
    <row r="79" spans="2:9" ht="13.5" thickBot="1" x14ac:dyDescent="0.25">
      <c r="E79" s="230"/>
      <c r="F79" s="230"/>
      <c r="G79" s="230"/>
      <c r="H79" s="230"/>
      <c r="I79" s="230"/>
    </row>
    <row r="80" spans="2:9" ht="15" x14ac:dyDescent="0.25">
      <c r="B80" s="358" t="s">
        <v>253</v>
      </c>
      <c r="E80"/>
      <c r="F80" s="230"/>
      <c r="G80" s="230"/>
      <c r="H80"/>
      <c r="I80" s="230"/>
    </row>
    <row r="81" spans="2:9" ht="15.75" thickBot="1" x14ac:dyDescent="0.3">
      <c r="B81" s="359">
        <v>49</v>
      </c>
      <c r="E81"/>
      <c r="F81" s="230"/>
      <c r="G81" s="230"/>
      <c r="H81"/>
      <c r="I81" s="230"/>
    </row>
    <row r="82" spans="2:9" x14ac:dyDescent="0.2">
      <c r="E82" s="230"/>
      <c r="F82" s="230"/>
      <c r="G82" s="230"/>
      <c r="H82" s="230"/>
      <c r="I82" s="230"/>
    </row>
    <row r="83" spans="2:9" x14ac:dyDescent="0.2">
      <c r="E83" s="230"/>
      <c r="F83" s="230"/>
      <c r="G83" s="230"/>
      <c r="H83" s="230"/>
      <c r="I83" s="230"/>
    </row>
    <row r="84" spans="2:9" x14ac:dyDescent="0.2">
      <c r="B84" s="4"/>
      <c r="E84" s="229"/>
      <c r="F84" s="230"/>
      <c r="G84" s="230"/>
      <c r="H84" s="229"/>
      <c r="I84" s="230"/>
    </row>
    <row r="85" spans="2:9" ht="13.5" thickBot="1" x14ac:dyDescent="0.25">
      <c r="B85" s="134" t="s">
        <v>298</v>
      </c>
      <c r="E85" s="229"/>
      <c r="F85" s="230"/>
      <c r="G85" s="230"/>
      <c r="H85" s="229"/>
      <c r="I85" s="230"/>
    </row>
    <row r="86" spans="2:9" ht="13.5" thickBot="1" x14ac:dyDescent="0.25">
      <c r="B86" s="346" t="s">
        <v>250</v>
      </c>
      <c r="C86" s="347" t="s">
        <v>248</v>
      </c>
      <c r="E86" s="230"/>
      <c r="F86" s="230"/>
      <c r="G86" s="230"/>
      <c r="H86" s="230"/>
      <c r="I86" s="230"/>
    </row>
    <row r="87" spans="2:9" ht="13.5" thickBot="1" x14ac:dyDescent="0.25">
      <c r="B87" s="346" t="s">
        <v>256</v>
      </c>
      <c r="C87" s="347" t="s">
        <v>251</v>
      </c>
      <c r="E87" s="230"/>
      <c r="F87" s="230"/>
      <c r="G87" s="230"/>
      <c r="H87" s="230"/>
      <c r="I87" s="230"/>
    </row>
    <row r="88" spans="2:9" ht="13.5" thickBot="1" x14ac:dyDescent="0.25">
      <c r="E88" s="230"/>
      <c r="F88" s="230"/>
      <c r="G88" s="230"/>
      <c r="H88" s="230"/>
      <c r="I88" s="230"/>
    </row>
    <row r="89" spans="2:9" ht="15" x14ac:dyDescent="0.25">
      <c r="B89" s="358" t="s">
        <v>296</v>
      </c>
      <c r="E89"/>
      <c r="F89" s="230"/>
      <c r="G89" s="230"/>
      <c r="H89"/>
      <c r="I89" s="230"/>
    </row>
    <row r="90" spans="2:9" ht="15.75" thickBot="1" x14ac:dyDescent="0.3">
      <c r="B90" s="359">
        <v>78</v>
      </c>
      <c r="E90"/>
      <c r="F90" s="230"/>
      <c r="G90" s="230"/>
      <c r="H90"/>
      <c r="I90" s="230"/>
    </row>
    <row r="91" spans="2:9" x14ac:dyDescent="0.2">
      <c r="E91" s="230"/>
      <c r="F91" s="230"/>
      <c r="G91" s="230"/>
      <c r="H91" s="230"/>
      <c r="I91" s="230"/>
    </row>
    <row r="92" spans="2:9" x14ac:dyDescent="0.2">
      <c r="E92" s="230"/>
      <c r="F92" s="230"/>
      <c r="G92" s="230"/>
      <c r="H92" s="230"/>
      <c r="I92" s="230"/>
    </row>
    <row r="93" spans="2:9" x14ac:dyDescent="0.2">
      <c r="B93" s="4"/>
      <c r="E93" s="230"/>
      <c r="F93" s="230"/>
      <c r="G93" s="230"/>
      <c r="H93" s="230"/>
      <c r="I93" s="230"/>
    </row>
    <row r="94" spans="2:9" x14ac:dyDescent="0.2">
      <c r="B94" s="4"/>
      <c r="E94" s="230"/>
      <c r="F94" s="230"/>
      <c r="G94" s="229"/>
      <c r="H94" s="230"/>
      <c r="I94" s="230"/>
    </row>
    <row r="95" spans="2:9" ht="13.5" thickBot="1" x14ac:dyDescent="0.25">
      <c r="B95" s="138" t="s">
        <v>299</v>
      </c>
      <c r="C95" s="132"/>
      <c r="E95" s="231"/>
      <c r="F95" s="231"/>
      <c r="G95" s="230"/>
      <c r="H95" s="231"/>
      <c r="I95" s="231"/>
    </row>
    <row r="96" spans="2:9" ht="13.5" thickBot="1" x14ac:dyDescent="0.25">
      <c r="B96" s="346" t="s">
        <v>250</v>
      </c>
      <c r="C96" s="347" t="s">
        <v>248</v>
      </c>
      <c r="E96" s="230"/>
      <c r="F96" s="230"/>
      <c r="G96" s="230"/>
      <c r="H96" s="230"/>
      <c r="I96" s="230"/>
    </row>
    <row r="97" spans="2:9" ht="13.5" thickBot="1" x14ac:dyDescent="0.25">
      <c r="B97" s="346" t="s">
        <v>300</v>
      </c>
      <c r="C97" s="347" t="s">
        <v>208</v>
      </c>
      <c r="E97" s="230"/>
      <c r="F97" s="230"/>
      <c r="G97" s="230"/>
      <c r="H97" s="230"/>
      <c r="I97" s="230"/>
    </row>
    <row r="98" spans="2:9" ht="13.5" thickBot="1" x14ac:dyDescent="0.25">
      <c r="E98" s="230"/>
      <c r="F98" s="230"/>
      <c r="G98" s="230"/>
      <c r="H98" s="230"/>
      <c r="I98" s="230"/>
    </row>
    <row r="99" spans="2:9" ht="15" x14ac:dyDescent="0.25">
      <c r="B99" s="358" t="s">
        <v>253</v>
      </c>
      <c r="E99"/>
      <c r="F99" s="230"/>
      <c r="G99" s="230"/>
      <c r="H99"/>
      <c r="I99" s="230"/>
    </row>
    <row r="100" spans="2:9" ht="15.75" thickBot="1" x14ac:dyDescent="0.3">
      <c r="B100" s="359"/>
      <c r="E100"/>
      <c r="F100" s="230"/>
      <c r="G100" s="230"/>
      <c r="H100"/>
      <c r="I100" s="230"/>
    </row>
    <row r="101" spans="2:9" x14ac:dyDescent="0.2">
      <c r="E101" s="230"/>
      <c r="F101" s="230"/>
      <c r="G101" s="230"/>
      <c r="H101" s="230"/>
      <c r="I101" s="230"/>
    </row>
    <row r="102" spans="2:9" x14ac:dyDescent="0.2">
      <c r="E102" s="230"/>
      <c r="F102" s="230"/>
      <c r="G102" s="230"/>
      <c r="H102" s="230"/>
      <c r="I102" s="230"/>
    </row>
    <row r="103" spans="2:9" ht="13.5" thickBot="1" x14ac:dyDescent="0.25">
      <c r="B103" s="138" t="s">
        <v>301</v>
      </c>
      <c r="C103" s="132"/>
      <c r="E103" s="231"/>
      <c r="F103" s="231"/>
      <c r="G103" s="230"/>
      <c r="H103" s="231"/>
      <c r="I103" s="231"/>
    </row>
    <row r="104" spans="2:9" ht="13.5" thickBot="1" x14ac:dyDescent="0.25">
      <c r="B104" s="346" t="s">
        <v>250</v>
      </c>
      <c r="C104" s="347" t="s">
        <v>248</v>
      </c>
      <c r="E104" s="230"/>
      <c r="F104" s="230"/>
      <c r="G104" s="230"/>
      <c r="H104" s="230"/>
      <c r="I104" s="230"/>
    </row>
    <row r="105" spans="2:9" ht="13.5" thickBot="1" x14ac:dyDescent="0.25">
      <c r="B105" s="346" t="s">
        <v>300</v>
      </c>
      <c r="C105" s="347" t="s">
        <v>251</v>
      </c>
      <c r="E105" s="230"/>
      <c r="F105" s="230"/>
      <c r="G105" s="230"/>
      <c r="H105" s="230"/>
      <c r="I105" s="230"/>
    </row>
    <row r="106" spans="2:9" ht="13.5" thickBot="1" x14ac:dyDescent="0.25">
      <c r="E106" s="230"/>
      <c r="F106" s="230"/>
      <c r="G106" s="230"/>
      <c r="H106" s="230"/>
      <c r="I106" s="230"/>
    </row>
    <row r="107" spans="2:9" ht="15" x14ac:dyDescent="0.25">
      <c r="B107" s="358" t="s">
        <v>253</v>
      </c>
      <c r="E107"/>
      <c r="F107" s="230"/>
      <c r="G107" s="230"/>
      <c r="H107"/>
      <c r="I107" s="230"/>
    </row>
    <row r="108" spans="2:9" ht="15.75" thickBot="1" x14ac:dyDescent="0.3">
      <c r="B108" s="359">
        <v>10</v>
      </c>
      <c r="E108"/>
      <c r="F108" s="230"/>
      <c r="G108" s="230"/>
      <c r="H108"/>
      <c r="I108" s="230"/>
    </row>
    <row r="109" spans="2:9" x14ac:dyDescent="0.2">
      <c r="E109" s="230"/>
      <c r="F109" s="230"/>
      <c r="G109" s="230"/>
      <c r="H109" s="230"/>
      <c r="I109" s="230"/>
    </row>
    <row r="110" spans="2:9" x14ac:dyDescent="0.2">
      <c r="E110" s="230"/>
      <c r="F110" s="230"/>
      <c r="G110" s="230"/>
      <c r="H110" s="230"/>
      <c r="I110" s="230"/>
    </row>
    <row r="111" spans="2:9" ht="13.5" thickBot="1" x14ac:dyDescent="0.25">
      <c r="B111" s="138" t="s">
        <v>302</v>
      </c>
      <c r="C111" s="132"/>
      <c r="E111" s="231"/>
      <c r="F111" s="231"/>
      <c r="G111" s="230"/>
      <c r="H111" s="231"/>
      <c r="I111" s="231"/>
    </row>
    <row r="112" spans="2:9" ht="13.5" thickBot="1" x14ac:dyDescent="0.25">
      <c r="B112" s="346" t="s">
        <v>250</v>
      </c>
      <c r="C112" s="347" t="s">
        <v>248</v>
      </c>
      <c r="E112" s="230"/>
      <c r="F112" s="230"/>
      <c r="G112" s="230"/>
      <c r="H112" s="230"/>
      <c r="I112" s="230"/>
    </row>
    <row r="113" spans="2:9" ht="13.5" thickBot="1" x14ac:dyDescent="0.25">
      <c r="B113" s="346" t="s">
        <v>300</v>
      </c>
      <c r="C113" s="347" t="s">
        <v>303</v>
      </c>
      <c r="E113" s="230"/>
      <c r="F113" s="230"/>
      <c r="G113" s="230"/>
      <c r="H113" s="230"/>
      <c r="I113" s="230"/>
    </row>
    <row r="114" spans="2:9" ht="13.5" thickBot="1" x14ac:dyDescent="0.25">
      <c r="E114" s="230"/>
      <c r="F114" s="230"/>
      <c r="G114" s="230"/>
      <c r="H114" s="230"/>
      <c r="I114" s="230"/>
    </row>
    <row r="115" spans="2:9" ht="15" x14ac:dyDescent="0.25">
      <c r="B115" s="358" t="s">
        <v>253</v>
      </c>
      <c r="E115"/>
      <c r="F115" s="230"/>
      <c r="G115" s="230"/>
      <c r="H115"/>
      <c r="I115" s="230"/>
    </row>
    <row r="116" spans="2:9" ht="15.75" thickBot="1" x14ac:dyDescent="0.3">
      <c r="B116" s="359">
        <v>90</v>
      </c>
      <c r="E116"/>
      <c r="F116" s="230"/>
      <c r="G116" s="230"/>
      <c r="H116"/>
      <c r="I116" s="230"/>
    </row>
    <row r="117" spans="2:9" x14ac:dyDescent="0.2">
      <c r="E117" s="230"/>
      <c r="F117" s="230"/>
      <c r="G117" s="230"/>
      <c r="H117" s="230"/>
      <c r="I117" s="230"/>
    </row>
    <row r="118" spans="2:9" x14ac:dyDescent="0.2">
      <c r="E118" s="230"/>
      <c r="F118" s="230"/>
      <c r="G118" s="230"/>
      <c r="H118" s="230"/>
      <c r="I118" s="230"/>
    </row>
    <row r="119" spans="2:9" x14ac:dyDescent="0.2">
      <c r="E119" s="230"/>
      <c r="F119" s="230"/>
      <c r="G119" s="230"/>
      <c r="H119" s="230"/>
      <c r="I119" s="230"/>
    </row>
    <row r="120" spans="2:9" x14ac:dyDescent="0.2">
      <c r="B120" s="4"/>
      <c r="E120" s="229"/>
      <c r="F120" s="230"/>
      <c r="G120" s="230"/>
      <c r="H120" s="229"/>
      <c r="I120" s="230"/>
    </row>
    <row r="121" spans="2:9" ht="13.5" thickBot="1" x14ac:dyDescent="0.25">
      <c r="B121" s="138" t="s">
        <v>304</v>
      </c>
      <c r="C121" s="132"/>
      <c r="E121" s="231"/>
      <c r="F121" s="231"/>
      <c r="G121" s="230"/>
      <c r="H121" s="231"/>
      <c r="I121" s="231"/>
    </row>
    <row r="122" spans="2:9" ht="13.5" thickBot="1" x14ac:dyDescent="0.25">
      <c r="B122" s="346" t="s">
        <v>250</v>
      </c>
      <c r="C122" s="347" t="s">
        <v>248</v>
      </c>
      <c r="E122" s="230"/>
      <c r="F122" s="230"/>
      <c r="G122" s="230"/>
      <c r="H122" s="230"/>
      <c r="I122" s="230"/>
    </row>
    <row r="123" spans="2:9" ht="13.5" thickBot="1" x14ac:dyDescent="0.25">
      <c r="B123" s="346" t="s">
        <v>300</v>
      </c>
      <c r="C123" s="347" t="s">
        <v>208</v>
      </c>
      <c r="E123" s="230"/>
      <c r="F123" s="230"/>
      <c r="G123" s="230"/>
      <c r="H123" s="230"/>
      <c r="I123" s="230"/>
    </row>
    <row r="124" spans="2:9" ht="13.5" thickBot="1" x14ac:dyDescent="0.25">
      <c r="E124" s="230"/>
      <c r="F124" s="230"/>
      <c r="G124" s="230"/>
      <c r="H124" s="230"/>
      <c r="I124" s="230"/>
    </row>
    <row r="125" spans="2:9" ht="15" x14ac:dyDescent="0.25">
      <c r="B125" s="358" t="s">
        <v>296</v>
      </c>
      <c r="E125"/>
      <c r="F125" s="230"/>
      <c r="G125" s="230"/>
      <c r="H125"/>
      <c r="I125" s="230"/>
    </row>
    <row r="126" spans="2:9" ht="15.75" thickBot="1" x14ac:dyDescent="0.3">
      <c r="B126" s="359"/>
      <c r="E126"/>
      <c r="F126" s="230"/>
      <c r="G126" s="230"/>
      <c r="H126"/>
      <c r="I126" s="230"/>
    </row>
    <row r="127" spans="2:9" x14ac:dyDescent="0.2">
      <c r="E127" s="230"/>
      <c r="F127" s="230"/>
      <c r="G127" s="230"/>
      <c r="H127" s="230"/>
      <c r="I127" s="230"/>
    </row>
    <row r="128" spans="2:9" x14ac:dyDescent="0.2">
      <c r="E128" s="230"/>
      <c r="F128" s="230"/>
      <c r="G128" s="230"/>
      <c r="H128" s="230"/>
      <c r="I128" s="230"/>
    </row>
    <row r="129" spans="2:9" ht="13.5" thickBot="1" x14ac:dyDescent="0.25">
      <c r="B129" s="138" t="s">
        <v>305</v>
      </c>
      <c r="C129" s="132"/>
      <c r="E129" s="231"/>
      <c r="F129" s="231"/>
      <c r="G129" s="230"/>
      <c r="H129" s="231"/>
      <c r="I129" s="231"/>
    </row>
    <row r="130" spans="2:9" ht="13.5" thickBot="1" x14ac:dyDescent="0.25">
      <c r="B130" s="346" t="s">
        <v>250</v>
      </c>
      <c r="C130" s="347" t="s">
        <v>248</v>
      </c>
      <c r="E130" s="230"/>
      <c r="F130" s="230"/>
      <c r="G130" s="230"/>
      <c r="H130" s="230"/>
      <c r="I130" s="230"/>
    </row>
    <row r="131" spans="2:9" ht="13.5" thickBot="1" x14ac:dyDescent="0.25">
      <c r="B131" s="346" t="s">
        <v>300</v>
      </c>
      <c r="C131" s="347" t="s">
        <v>251</v>
      </c>
      <c r="E131" s="230"/>
      <c r="F131" s="230"/>
      <c r="G131" s="230"/>
      <c r="H131" s="230"/>
      <c r="I131" s="230"/>
    </row>
    <row r="132" spans="2:9" ht="13.5" thickBot="1" x14ac:dyDescent="0.25">
      <c r="E132" s="230"/>
      <c r="F132" s="230"/>
      <c r="G132" s="230"/>
      <c r="H132" s="230"/>
      <c r="I132" s="230"/>
    </row>
    <row r="133" spans="2:9" ht="15" x14ac:dyDescent="0.25">
      <c r="B133" s="358" t="s">
        <v>296</v>
      </c>
      <c r="E133"/>
      <c r="F133" s="230"/>
      <c r="G133" s="230"/>
      <c r="H133"/>
      <c r="I133" s="230"/>
    </row>
    <row r="134" spans="2:9" ht="15.75" thickBot="1" x14ac:dyDescent="0.3">
      <c r="B134" s="359">
        <v>21</v>
      </c>
      <c r="E134"/>
      <c r="F134" s="230"/>
      <c r="G134" s="230"/>
      <c r="H134"/>
      <c r="I134" s="230"/>
    </row>
    <row r="135" spans="2:9" x14ac:dyDescent="0.2">
      <c r="E135" s="230"/>
      <c r="F135" s="230"/>
      <c r="G135" s="230"/>
      <c r="H135" s="230"/>
      <c r="I135" s="230"/>
    </row>
    <row r="136" spans="2:9" x14ac:dyDescent="0.2">
      <c r="E136" s="230"/>
      <c r="F136" s="230"/>
      <c r="G136" s="230"/>
      <c r="H136" s="230"/>
      <c r="I136" s="230"/>
    </row>
    <row r="137" spans="2:9" ht="13.5" thickBot="1" x14ac:dyDescent="0.25">
      <c r="B137" s="138" t="s">
        <v>306</v>
      </c>
      <c r="C137" s="132"/>
      <c r="E137" s="231"/>
      <c r="F137" s="231"/>
      <c r="G137" s="230"/>
      <c r="H137" s="231"/>
      <c r="I137" s="231"/>
    </row>
    <row r="138" spans="2:9" ht="13.5" thickBot="1" x14ac:dyDescent="0.25">
      <c r="B138" s="346" t="s">
        <v>250</v>
      </c>
      <c r="C138" s="347" t="s">
        <v>248</v>
      </c>
      <c r="E138" s="230"/>
      <c r="F138" s="230"/>
      <c r="G138" s="230"/>
      <c r="H138" s="230"/>
      <c r="I138" s="230"/>
    </row>
    <row r="139" spans="2:9" ht="13.5" thickBot="1" x14ac:dyDescent="0.25">
      <c r="B139" s="346" t="s">
        <v>300</v>
      </c>
      <c r="C139" s="347" t="s">
        <v>303</v>
      </c>
      <c r="E139" s="230"/>
      <c r="F139" s="230"/>
      <c r="G139" s="230"/>
      <c r="H139" s="230"/>
      <c r="I139" s="230"/>
    </row>
    <row r="140" spans="2:9" ht="13.5" thickBot="1" x14ac:dyDescent="0.25">
      <c r="E140" s="230"/>
      <c r="F140" s="230"/>
      <c r="G140" s="230"/>
      <c r="H140" s="230"/>
      <c r="I140" s="230"/>
    </row>
    <row r="141" spans="2:9" ht="15" x14ac:dyDescent="0.25">
      <c r="B141" s="358" t="s">
        <v>296</v>
      </c>
      <c r="E141"/>
      <c r="F141" s="230"/>
      <c r="G141" s="230"/>
      <c r="H141"/>
      <c r="I141" s="230"/>
    </row>
    <row r="142" spans="2:9" ht="15.75" thickBot="1" x14ac:dyDescent="0.3">
      <c r="B142" s="359">
        <v>129</v>
      </c>
      <c r="E142"/>
      <c r="F142" s="230"/>
      <c r="G142" s="230"/>
      <c r="H142"/>
      <c r="I142" s="230"/>
    </row>
    <row r="143" spans="2:9" x14ac:dyDescent="0.2">
      <c r="E143" s="230"/>
      <c r="F143" s="230"/>
      <c r="G143" s="230"/>
      <c r="H143" s="230"/>
      <c r="I143" s="230"/>
    </row>
    <row r="144" spans="2:9" x14ac:dyDescent="0.2">
      <c r="E144" s="230"/>
      <c r="F144" s="230"/>
      <c r="G144" s="230"/>
      <c r="H144" s="230"/>
      <c r="I144" s="230"/>
    </row>
    <row r="145" spans="2:11" x14ac:dyDescent="0.2">
      <c r="E145" s="230"/>
      <c r="F145" s="230"/>
      <c r="G145" s="230"/>
      <c r="H145" s="230"/>
      <c r="I145" s="230"/>
    </row>
    <row r="146" spans="2:11" x14ac:dyDescent="0.2">
      <c r="E146" s="230"/>
      <c r="F146" s="230"/>
      <c r="G146" s="230"/>
      <c r="H146" s="230"/>
      <c r="I146" s="230"/>
    </row>
    <row r="147" spans="2:11" x14ac:dyDescent="0.2">
      <c r="E147" s="230"/>
      <c r="F147" s="230"/>
      <c r="G147" s="230"/>
      <c r="H147" s="230"/>
      <c r="I147" s="230"/>
    </row>
    <row r="148" spans="2:11" x14ac:dyDescent="0.2">
      <c r="E148" s="230"/>
      <c r="F148" s="230"/>
      <c r="G148" s="230"/>
      <c r="H148" s="230"/>
      <c r="I148" s="230"/>
    </row>
    <row r="149" spans="2:11" x14ac:dyDescent="0.2">
      <c r="B149" s="4"/>
      <c r="C149" s="4"/>
      <c r="E149" s="229"/>
      <c r="F149" s="230"/>
      <c r="G149" s="230"/>
      <c r="H149" s="230"/>
      <c r="I149" s="230"/>
    </row>
    <row r="150" spans="2:11" ht="13.5" thickBot="1" x14ac:dyDescent="0.25">
      <c r="B150" s="134" t="s">
        <v>307</v>
      </c>
      <c r="E150" s="229"/>
      <c r="F150" s="230"/>
      <c r="G150" s="230"/>
      <c r="H150" s="229"/>
      <c r="I150" s="230"/>
      <c r="K150" s="4"/>
    </row>
    <row r="151" spans="2:11" ht="13.5" thickBot="1" x14ac:dyDescent="0.25">
      <c r="B151" s="346" t="s">
        <v>250</v>
      </c>
      <c r="C151" s="347" t="s">
        <v>248</v>
      </c>
      <c r="E151" s="230"/>
      <c r="F151" s="230"/>
      <c r="G151" s="230"/>
      <c r="H151" s="230"/>
      <c r="I151" s="230"/>
    </row>
    <row r="152" spans="2:11" ht="13.5" thickBot="1" x14ac:dyDescent="0.25">
      <c r="B152" s="346" t="s">
        <v>256</v>
      </c>
      <c r="C152" s="347" t="s">
        <v>251</v>
      </c>
      <c r="E152" s="230"/>
      <c r="F152" s="230"/>
      <c r="G152" s="230"/>
      <c r="H152" s="230"/>
      <c r="I152" s="230"/>
    </row>
    <row r="153" spans="2:11" ht="13.5" thickBot="1" x14ac:dyDescent="0.25">
      <c r="B153" s="346" t="s">
        <v>300</v>
      </c>
      <c r="C153" s="347" t="s">
        <v>303</v>
      </c>
      <c r="E153" s="230"/>
      <c r="F153" s="230"/>
      <c r="G153" s="230"/>
      <c r="H153" s="230"/>
      <c r="I153" s="230"/>
    </row>
    <row r="154" spans="2:11" ht="13.5" thickBot="1" x14ac:dyDescent="0.25">
      <c r="E154" s="230"/>
      <c r="F154" s="230"/>
      <c r="G154" s="230"/>
      <c r="H154" s="230"/>
      <c r="I154" s="230"/>
    </row>
    <row r="155" spans="2:11" ht="15" x14ac:dyDescent="0.25">
      <c r="B155" s="358" t="s">
        <v>253</v>
      </c>
      <c r="E155"/>
      <c r="F155" s="230"/>
      <c r="G155" s="230"/>
      <c r="H155"/>
      <c r="I155" s="230"/>
    </row>
    <row r="156" spans="2:11" ht="15.75" thickBot="1" x14ac:dyDescent="0.3">
      <c r="B156" s="359">
        <v>41</v>
      </c>
      <c r="E156"/>
      <c r="F156" s="230"/>
      <c r="G156" s="230"/>
      <c r="H156"/>
      <c r="I156" s="230"/>
    </row>
    <row r="157" spans="2:11" x14ac:dyDescent="0.2">
      <c r="E157" s="230"/>
      <c r="F157" s="230"/>
      <c r="G157" s="230"/>
      <c r="H157" s="230"/>
      <c r="I157" s="230"/>
    </row>
    <row r="158" spans="2:11" x14ac:dyDescent="0.2">
      <c r="E158" s="230"/>
      <c r="F158" s="230"/>
      <c r="G158" s="230"/>
      <c r="H158" s="230"/>
      <c r="I158" s="230"/>
    </row>
    <row r="159" spans="2:11" ht="13.5" thickBot="1" x14ac:dyDescent="0.25">
      <c r="B159" s="134" t="s">
        <v>308</v>
      </c>
      <c r="E159" s="229"/>
      <c r="F159" s="230"/>
      <c r="G159" s="230"/>
      <c r="H159" s="229"/>
      <c r="I159" s="230"/>
      <c r="K159" s="4"/>
    </row>
    <row r="160" spans="2:11" ht="13.5" thickBot="1" x14ac:dyDescent="0.25">
      <c r="B160" s="346" t="s">
        <v>250</v>
      </c>
      <c r="C160" s="347" t="s">
        <v>248</v>
      </c>
      <c r="E160" s="230"/>
      <c r="F160" s="230"/>
      <c r="G160" s="230"/>
      <c r="H160" s="230"/>
      <c r="I160" s="230"/>
    </row>
    <row r="161" spans="2:11" ht="13.5" thickBot="1" x14ac:dyDescent="0.25">
      <c r="B161" s="346" t="s">
        <v>256</v>
      </c>
      <c r="C161" s="347" t="s">
        <v>251</v>
      </c>
      <c r="E161" s="230"/>
      <c r="F161" s="230"/>
      <c r="G161" s="230"/>
      <c r="H161" s="230"/>
      <c r="I161" s="230"/>
    </row>
    <row r="162" spans="2:11" ht="13.5" thickBot="1" x14ac:dyDescent="0.25">
      <c r="B162" s="346" t="s">
        <v>300</v>
      </c>
      <c r="C162" s="347" t="s">
        <v>303</v>
      </c>
      <c r="E162" s="230"/>
      <c r="F162" s="230"/>
      <c r="G162" s="230"/>
      <c r="H162" s="230"/>
      <c r="I162" s="230"/>
    </row>
    <row r="163" spans="2:11" ht="13.5" thickBot="1" x14ac:dyDescent="0.25">
      <c r="E163" s="230"/>
      <c r="F163" s="230"/>
      <c r="G163" s="230"/>
      <c r="H163" s="230"/>
      <c r="I163" s="230"/>
    </row>
    <row r="164" spans="2:11" ht="15" x14ac:dyDescent="0.25">
      <c r="B164" s="358" t="s">
        <v>296</v>
      </c>
      <c r="E164"/>
      <c r="F164" s="230"/>
      <c r="G164" s="230"/>
      <c r="H164"/>
      <c r="I164" s="230"/>
    </row>
    <row r="165" spans="2:11" ht="15.75" thickBot="1" x14ac:dyDescent="0.3">
      <c r="B165" s="359">
        <v>51</v>
      </c>
      <c r="E165"/>
      <c r="F165" s="230"/>
      <c r="G165" s="230"/>
      <c r="H165"/>
      <c r="I165" s="230"/>
    </row>
    <row r="166" spans="2:11" x14ac:dyDescent="0.2">
      <c r="E166" s="230"/>
      <c r="F166" s="230"/>
      <c r="G166" s="230"/>
      <c r="H166" s="230"/>
      <c r="I166" s="230"/>
    </row>
    <row r="167" spans="2:11" x14ac:dyDescent="0.2">
      <c r="E167" s="230"/>
      <c r="F167" s="230"/>
      <c r="G167" s="230"/>
      <c r="H167" s="230"/>
      <c r="I167" s="230"/>
    </row>
    <row r="168" spans="2:11" ht="13.5" thickBot="1" x14ac:dyDescent="0.25">
      <c r="B168" s="134" t="s">
        <v>309</v>
      </c>
      <c r="E168" s="229"/>
      <c r="F168" s="230"/>
      <c r="G168" s="230"/>
      <c r="H168" s="229"/>
      <c r="I168" s="230"/>
      <c r="K168" s="4"/>
    </row>
    <row r="169" spans="2:11" ht="13.5" thickBot="1" x14ac:dyDescent="0.25">
      <c r="B169" s="346" t="s">
        <v>250</v>
      </c>
      <c r="C169" s="347" t="s">
        <v>248</v>
      </c>
      <c r="E169" s="230"/>
      <c r="F169" s="230"/>
      <c r="G169" s="230"/>
      <c r="H169" s="230"/>
      <c r="I169" s="230"/>
    </row>
    <row r="170" spans="2:11" ht="13.5" thickBot="1" x14ac:dyDescent="0.25">
      <c r="B170" s="346" t="s">
        <v>256</v>
      </c>
      <c r="C170" s="347" t="s">
        <v>251</v>
      </c>
      <c r="E170" s="230"/>
      <c r="F170" s="230"/>
      <c r="G170" s="230"/>
      <c r="H170" s="230"/>
      <c r="I170" s="230"/>
    </row>
    <row r="171" spans="2:11" ht="13.5" thickBot="1" x14ac:dyDescent="0.25">
      <c r="B171" s="346" t="s">
        <v>300</v>
      </c>
      <c r="C171" s="347" t="s">
        <v>208</v>
      </c>
      <c r="E171" s="230"/>
      <c r="F171" s="230"/>
      <c r="G171" s="230"/>
      <c r="H171" s="230"/>
      <c r="I171" s="230"/>
    </row>
    <row r="172" spans="2:11" ht="13.5" thickBot="1" x14ac:dyDescent="0.25">
      <c r="E172" s="230"/>
      <c r="F172" s="230"/>
      <c r="G172" s="230"/>
      <c r="H172" s="230"/>
      <c r="I172" s="230"/>
    </row>
    <row r="173" spans="2:11" ht="15" x14ac:dyDescent="0.25">
      <c r="B173" s="358" t="s">
        <v>253</v>
      </c>
      <c r="E173"/>
      <c r="F173" s="230"/>
      <c r="G173" s="230"/>
      <c r="H173"/>
      <c r="I173" s="230"/>
    </row>
    <row r="174" spans="2:11" ht="15.75" thickBot="1" x14ac:dyDescent="0.3">
      <c r="B174" s="359"/>
      <c r="E174"/>
      <c r="F174" s="230"/>
      <c r="G174" s="230"/>
      <c r="H174"/>
      <c r="I174" s="230"/>
    </row>
    <row r="175" spans="2:11" x14ac:dyDescent="0.2">
      <c r="E175" s="230"/>
      <c r="F175" s="230"/>
      <c r="G175" s="230"/>
      <c r="H175" s="230"/>
      <c r="I175" s="230"/>
    </row>
    <row r="176" spans="2:11" x14ac:dyDescent="0.2">
      <c r="E176" s="230"/>
      <c r="F176" s="230"/>
      <c r="G176" s="230"/>
      <c r="H176" s="230"/>
      <c r="I176" s="230"/>
    </row>
    <row r="177" spans="2:11" ht="13.5" thickBot="1" x14ac:dyDescent="0.25">
      <c r="B177" s="134" t="s">
        <v>310</v>
      </c>
      <c r="E177" s="229"/>
      <c r="F177" s="230"/>
      <c r="G177" s="230"/>
      <c r="H177" s="229"/>
      <c r="I177" s="230"/>
      <c r="K177" s="4"/>
    </row>
    <row r="178" spans="2:11" ht="13.5" thickBot="1" x14ac:dyDescent="0.25">
      <c r="B178" s="346" t="s">
        <v>250</v>
      </c>
      <c r="C178" s="347" t="s">
        <v>248</v>
      </c>
      <c r="E178" s="230"/>
      <c r="F178" s="230"/>
      <c r="G178" s="230"/>
      <c r="H178" s="230"/>
      <c r="I178" s="230"/>
    </row>
    <row r="179" spans="2:11" ht="13.5" thickBot="1" x14ac:dyDescent="0.25">
      <c r="B179" s="346" t="s">
        <v>256</v>
      </c>
      <c r="C179" s="347" t="s">
        <v>251</v>
      </c>
      <c r="E179" s="230"/>
      <c r="F179" s="230"/>
      <c r="G179" s="230"/>
      <c r="H179" s="230"/>
      <c r="I179" s="230"/>
    </row>
    <row r="180" spans="2:11" ht="13.5" thickBot="1" x14ac:dyDescent="0.25">
      <c r="B180" s="346" t="s">
        <v>300</v>
      </c>
      <c r="C180" s="347" t="s">
        <v>208</v>
      </c>
      <c r="E180" s="230"/>
      <c r="F180" s="230"/>
      <c r="G180" s="230"/>
      <c r="H180" s="230"/>
      <c r="I180" s="230"/>
    </row>
    <row r="181" spans="2:11" ht="13.5" thickBot="1" x14ac:dyDescent="0.25">
      <c r="E181" s="230"/>
      <c r="F181" s="230"/>
      <c r="G181" s="230"/>
      <c r="H181" s="230"/>
      <c r="I181" s="230"/>
    </row>
    <row r="182" spans="2:11" ht="15" x14ac:dyDescent="0.25">
      <c r="B182" s="358" t="s">
        <v>296</v>
      </c>
      <c r="E182"/>
      <c r="F182" s="230"/>
      <c r="G182" s="230"/>
      <c r="H182"/>
      <c r="I182" s="230"/>
    </row>
    <row r="183" spans="2:11" ht="15.75" thickBot="1" x14ac:dyDescent="0.3">
      <c r="B183" s="359"/>
      <c r="E183"/>
      <c r="F183" s="230"/>
      <c r="G183" s="230"/>
      <c r="H183"/>
      <c r="I183" s="230"/>
    </row>
    <row r="184" spans="2:11" x14ac:dyDescent="0.2">
      <c r="E184" s="230"/>
      <c r="F184" s="230"/>
      <c r="G184" s="230"/>
      <c r="H184" s="230"/>
      <c r="I184" s="230"/>
    </row>
    <row r="185" spans="2:11" x14ac:dyDescent="0.2">
      <c r="E185" s="230"/>
      <c r="F185" s="230"/>
      <c r="G185" s="230"/>
      <c r="H185" s="230"/>
      <c r="I185" s="230"/>
    </row>
    <row r="186" spans="2:11" x14ac:dyDescent="0.2">
      <c r="E186" s="230"/>
      <c r="F186" s="230"/>
      <c r="G186" s="230"/>
      <c r="H186" s="230"/>
      <c r="I186" s="230"/>
    </row>
    <row r="187" spans="2:11" ht="13.5" thickBot="1" x14ac:dyDescent="0.25">
      <c r="B187" s="134" t="s">
        <v>311</v>
      </c>
      <c r="E187" s="229"/>
      <c r="F187" s="230"/>
      <c r="G187" s="230"/>
      <c r="H187" s="229"/>
      <c r="I187" s="230"/>
      <c r="K187" s="4"/>
    </row>
    <row r="188" spans="2:11" ht="13.5" thickBot="1" x14ac:dyDescent="0.25">
      <c r="B188" s="346" t="s">
        <v>250</v>
      </c>
      <c r="C188" s="347" t="s">
        <v>248</v>
      </c>
      <c r="E188" s="230"/>
      <c r="F188" s="230"/>
      <c r="G188" s="230"/>
      <c r="H188" s="230"/>
      <c r="I188" s="230"/>
    </row>
    <row r="189" spans="2:11" ht="13.5" thickBot="1" x14ac:dyDescent="0.25">
      <c r="B189" s="346" t="s">
        <v>256</v>
      </c>
      <c r="C189" s="347" t="s">
        <v>251</v>
      </c>
      <c r="E189" s="230"/>
      <c r="F189" s="230"/>
      <c r="G189" s="230"/>
      <c r="H189" s="230"/>
      <c r="I189" s="230"/>
    </row>
    <row r="190" spans="2:11" ht="13.5" thickBot="1" x14ac:dyDescent="0.25">
      <c r="B190" s="346" t="s">
        <v>300</v>
      </c>
      <c r="C190" s="347" t="s">
        <v>312</v>
      </c>
      <c r="E190" s="230"/>
      <c r="F190" s="230"/>
      <c r="G190" s="230"/>
      <c r="H190" s="230"/>
      <c r="I190" s="230"/>
    </row>
    <row r="191" spans="2:11" ht="13.5" thickBot="1" x14ac:dyDescent="0.25">
      <c r="E191" s="230"/>
      <c r="F191" s="230"/>
      <c r="G191" s="230"/>
      <c r="H191" s="230"/>
      <c r="I191" s="230"/>
    </row>
    <row r="192" spans="2:11" ht="15" x14ac:dyDescent="0.25">
      <c r="B192" s="358" t="s">
        <v>253</v>
      </c>
      <c r="E192"/>
      <c r="F192" s="230"/>
      <c r="G192" s="230"/>
      <c r="H192"/>
      <c r="I192" s="230"/>
    </row>
    <row r="193" spans="2:11" ht="15.75" thickBot="1" x14ac:dyDescent="0.3">
      <c r="B193" s="359"/>
      <c r="E193"/>
      <c r="F193" s="230"/>
      <c r="G193" s="230"/>
      <c r="H193"/>
      <c r="I193" s="230"/>
    </row>
    <row r="194" spans="2:11" x14ac:dyDescent="0.2">
      <c r="E194" s="230"/>
      <c r="F194" s="230"/>
      <c r="G194" s="230"/>
      <c r="H194" s="230"/>
      <c r="I194" s="230"/>
    </row>
    <row r="195" spans="2:11" x14ac:dyDescent="0.2">
      <c r="E195" s="230"/>
      <c r="F195" s="230"/>
      <c r="G195" s="230"/>
      <c r="H195" s="230"/>
      <c r="I195" s="230"/>
    </row>
    <row r="196" spans="2:11" ht="13.5" thickBot="1" x14ac:dyDescent="0.25">
      <c r="B196" s="134" t="s">
        <v>313</v>
      </c>
      <c r="E196" s="229"/>
      <c r="F196" s="230"/>
      <c r="G196" s="230"/>
      <c r="H196" s="229"/>
      <c r="I196" s="230"/>
      <c r="K196" s="4"/>
    </row>
    <row r="197" spans="2:11" ht="13.5" thickBot="1" x14ac:dyDescent="0.25">
      <c r="B197" s="346" t="s">
        <v>250</v>
      </c>
      <c r="C197" s="347" t="s">
        <v>248</v>
      </c>
      <c r="E197" s="230"/>
      <c r="F197" s="230"/>
      <c r="G197" s="230"/>
      <c r="H197" s="230"/>
      <c r="I197" s="230"/>
    </row>
    <row r="198" spans="2:11" ht="13.5" thickBot="1" x14ac:dyDescent="0.25">
      <c r="B198" s="346" t="s">
        <v>256</v>
      </c>
      <c r="C198" s="347" t="s">
        <v>251</v>
      </c>
      <c r="E198" s="230"/>
      <c r="F198" s="230"/>
      <c r="G198" s="230"/>
      <c r="H198" s="230"/>
      <c r="I198" s="230"/>
    </row>
    <row r="199" spans="2:11" ht="13.5" thickBot="1" x14ac:dyDescent="0.25">
      <c r="B199" s="346" t="s">
        <v>300</v>
      </c>
      <c r="C199" s="347" t="s">
        <v>312</v>
      </c>
      <c r="E199" s="230"/>
      <c r="F199" s="230"/>
      <c r="G199" s="230"/>
      <c r="H199" s="230"/>
      <c r="I199" s="230"/>
    </row>
    <row r="200" spans="2:11" ht="13.5" thickBot="1" x14ac:dyDescent="0.25">
      <c r="E200" s="230"/>
      <c r="F200" s="230"/>
      <c r="G200" s="230"/>
      <c r="H200" s="230"/>
      <c r="I200" s="230"/>
    </row>
    <row r="201" spans="2:11" ht="15" x14ac:dyDescent="0.25">
      <c r="B201" s="358" t="s">
        <v>296</v>
      </c>
      <c r="E201"/>
      <c r="F201" s="230"/>
      <c r="G201" s="230"/>
      <c r="H201"/>
      <c r="I201" s="230"/>
    </row>
    <row r="202" spans="2:11" ht="15.75" thickBot="1" x14ac:dyDescent="0.3">
      <c r="B202" s="359"/>
      <c r="E202"/>
      <c r="F202" s="230"/>
      <c r="G202" s="230"/>
      <c r="H202"/>
      <c r="I202" s="230"/>
    </row>
    <row r="203" spans="2:11" x14ac:dyDescent="0.2">
      <c r="E203" s="230"/>
      <c r="F203" s="230"/>
      <c r="G203" s="230"/>
      <c r="H203" s="230"/>
      <c r="I203" s="230"/>
    </row>
    <row r="204" spans="2:11" x14ac:dyDescent="0.2">
      <c r="E204" s="230"/>
      <c r="F204" s="230"/>
      <c r="G204" s="230"/>
      <c r="H204" s="230"/>
      <c r="I204" s="230"/>
    </row>
    <row r="205" spans="2:11" x14ac:dyDescent="0.2">
      <c r="E205" s="230"/>
      <c r="F205" s="230"/>
      <c r="G205" s="230"/>
      <c r="H205" s="230"/>
      <c r="I205" s="230"/>
    </row>
    <row r="206" spans="2:11" x14ac:dyDescent="0.2">
      <c r="E206" s="230"/>
      <c r="F206" s="230"/>
      <c r="G206" s="230"/>
      <c r="H206" s="230"/>
      <c r="I206" s="230"/>
    </row>
    <row r="207" spans="2:11" x14ac:dyDescent="0.2">
      <c r="B207" s="4"/>
      <c r="E207" s="4"/>
    </row>
    <row r="208" spans="2:11" x14ac:dyDescent="0.2">
      <c r="E208" s="4"/>
      <c r="H208" s="4"/>
    </row>
    <row r="210" spans="2:11" ht="13.5" thickBot="1" x14ac:dyDescent="0.25">
      <c r="B210" s="134" t="s">
        <v>314</v>
      </c>
    </row>
    <row r="211" spans="2:11" ht="13.5" thickBot="1" x14ac:dyDescent="0.25">
      <c r="B211" s="346" t="s">
        <v>250</v>
      </c>
      <c r="C211" s="347" t="s">
        <v>248</v>
      </c>
    </row>
    <row r="212" spans="2:11" ht="13.5" thickBot="1" x14ac:dyDescent="0.25"/>
    <row r="213" spans="2:11" ht="15" x14ac:dyDescent="0.25">
      <c r="B213" s="348" t="s">
        <v>315</v>
      </c>
      <c r="C213" s="349" t="s">
        <v>316</v>
      </c>
      <c r="D213" s="349" t="s">
        <v>317</v>
      </c>
      <c r="E213" s="349" t="s">
        <v>318</v>
      </c>
      <c r="F213" s="349" t="s">
        <v>319</v>
      </c>
      <c r="G213" s="349" t="s">
        <v>320</v>
      </c>
      <c r="H213" s="349" t="s">
        <v>321</v>
      </c>
      <c r="I213" s="349" t="s">
        <v>322</v>
      </c>
      <c r="J213" s="350" t="s">
        <v>323</v>
      </c>
      <c r="K213" s="3"/>
    </row>
    <row r="214" spans="2:11" ht="15" x14ac:dyDescent="0.25">
      <c r="B214" s="354" t="s">
        <v>293</v>
      </c>
      <c r="C214" s="1">
        <v>17</v>
      </c>
      <c r="D214" s="1">
        <v>5</v>
      </c>
      <c r="E214" s="1">
        <v>1</v>
      </c>
      <c r="F214" s="1">
        <v>0</v>
      </c>
      <c r="G214" s="1">
        <v>2</v>
      </c>
      <c r="H214" s="1">
        <v>0</v>
      </c>
      <c r="I214" s="1">
        <v>0</v>
      </c>
      <c r="J214" s="355">
        <v>0</v>
      </c>
      <c r="K214" s="3"/>
    </row>
    <row r="215" spans="2:11" ht="15" x14ac:dyDescent="0.25">
      <c r="B215" s="354" t="s">
        <v>276</v>
      </c>
      <c r="C215" s="1">
        <v>40</v>
      </c>
      <c r="D215" s="1">
        <v>27</v>
      </c>
      <c r="E215" s="1">
        <v>-3</v>
      </c>
      <c r="F215" s="1">
        <v>8</v>
      </c>
      <c r="G215" s="1">
        <v>4</v>
      </c>
      <c r="H215" s="1">
        <v>0</v>
      </c>
      <c r="I215" s="1">
        <v>0</v>
      </c>
      <c r="J215" s="355">
        <v>-1</v>
      </c>
      <c r="K215" s="3"/>
    </row>
    <row r="216" spans="2:11" ht="15.75" thickBot="1" x14ac:dyDescent="0.3">
      <c r="B216" s="356" t="s">
        <v>282</v>
      </c>
      <c r="C216" s="381">
        <v>57</v>
      </c>
      <c r="D216" s="381">
        <v>32</v>
      </c>
      <c r="E216" s="381">
        <v>-2</v>
      </c>
      <c r="F216" s="381">
        <v>8</v>
      </c>
      <c r="G216" s="381">
        <v>6</v>
      </c>
      <c r="H216" s="381">
        <v>0</v>
      </c>
      <c r="I216" s="381">
        <v>0</v>
      </c>
      <c r="J216" s="357">
        <v>-1</v>
      </c>
      <c r="K216" s="3"/>
    </row>
    <row r="221" spans="2:11" x14ac:dyDescent="0.2">
      <c r="B221" s="4"/>
      <c r="E221" s="4"/>
      <c r="H221" s="4"/>
    </row>
    <row r="222" spans="2:11" x14ac:dyDescent="0.2">
      <c r="B222" s="134" t="s">
        <v>135</v>
      </c>
      <c r="E222" s="134" t="s">
        <v>137</v>
      </c>
      <c r="H222" s="134" t="s">
        <v>137</v>
      </c>
      <c r="K222" s="134" t="s">
        <v>137</v>
      </c>
    </row>
    <row r="223" spans="2:11" ht="13.5" thickBot="1" x14ac:dyDescent="0.25">
      <c r="E223" s="134" t="s">
        <v>151</v>
      </c>
      <c r="H223" s="134" t="s">
        <v>142</v>
      </c>
      <c r="K223" s="134" t="s">
        <v>324</v>
      </c>
    </row>
    <row r="224" spans="2:11" ht="13.5" thickBot="1" x14ac:dyDescent="0.25">
      <c r="B224" s="346" t="s">
        <v>250</v>
      </c>
      <c r="C224" s="347" t="s">
        <v>248</v>
      </c>
    </row>
    <row r="225" spans="2:12" ht="13.5" thickBot="1" x14ac:dyDescent="0.25">
      <c r="E225" s="346" t="s">
        <v>250</v>
      </c>
      <c r="F225" s="347" t="s">
        <v>248</v>
      </c>
      <c r="H225" s="346" t="s">
        <v>250</v>
      </c>
      <c r="I225" s="347" t="s">
        <v>248</v>
      </c>
      <c r="K225" s="346" t="s">
        <v>250</v>
      </c>
      <c r="L225" s="347" t="s">
        <v>248</v>
      </c>
    </row>
    <row r="226" spans="2:12" ht="13.5" thickBot="1" x14ac:dyDescent="0.25">
      <c r="B226" s="348" t="s">
        <v>315</v>
      </c>
      <c r="C226" s="350" t="s">
        <v>253</v>
      </c>
    </row>
    <row r="227" spans="2:12" x14ac:dyDescent="0.2">
      <c r="B227" s="354" t="s">
        <v>140</v>
      </c>
      <c r="C227" s="355">
        <v>2</v>
      </c>
      <c r="E227" s="348" t="s">
        <v>315</v>
      </c>
      <c r="F227" s="350" t="s">
        <v>253</v>
      </c>
      <c r="H227" s="348" t="s">
        <v>315</v>
      </c>
      <c r="I227" s="350" t="s">
        <v>253</v>
      </c>
      <c r="K227" s="348" t="s">
        <v>315</v>
      </c>
      <c r="L227" s="350" t="s">
        <v>253</v>
      </c>
    </row>
    <row r="228" spans="2:12" x14ac:dyDescent="0.2">
      <c r="B228" s="354" t="s">
        <v>141</v>
      </c>
      <c r="C228" s="355">
        <v>5</v>
      </c>
      <c r="E228" s="354" t="s">
        <v>276</v>
      </c>
      <c r="F228" s="355">
        <v>77</v>
      </c>
      <c r="H228" s="354" t="s">
        <v>142</v>
      </c>
      <c r="I228" s="355">
        <v>-1</v>
      </c>
      <c r="K228" s="354">
        <v>0</v>
      </c>
      <c r="L228" s="355">
        <v>101</v>
      </c>
    </row>
    <row r="229" spans="2:12" x14ac:dyDescent="0.2">
      <c r="B229" s="354" t="s">
        <v>143</v>
      </c>
      <c r="C229" s="355">
        <v>3</v>
      </c>
      <c r="E229" s="354" t="s">
        <v>325</v>
      </c>
      <c r="F229" s="355">
        <v>23</v>
      </c>
      <c r="H229" s="354" t="s">
        <v>276</v>
      </c>
      <c r="I229" s="355">
        <v>101</v>
      </c>
      <c r="K229" s="354" t="s">
        <v>326</v>
      </c>
      <c r="L229" s="355">
        <v>-1</v>
      </c>
    </row>
    <row r="230" spans="2:12" ht="13.5" thickBot="1" x14ac:dyDescent="0.25">
      <c r="B230" s="354" t="s">
        <v>145</v>
      </c>
      <c r="C230" s="355">
        <v>3</v>
      </c>
      <c r="E230" s="356" t="s">
        <v>282</v>
      </c>
      <c r="F230" s="357">
        <v>100</v>
      </c>
      <c r="H230" s="356" t="s">
        <v>282</v>
      </c>
      <c r="I230" s="357">
        <v>100</v>
      </c>
      <c r="K230" s="356" t="s">
        <v>282</v>
      </c>
      <c r="L230" s="357">
        <v>100</v>
      </c>
    </row>
    <row r="231" spans="2:12" x14ac:dyDescent="0.2">
      <c r="B231" s="354" t="s">
        <v>276</v>
      </c>
      <c r="C231" s="355">
        <v>87</v>
      </c>
    </row>
    <row r="232" spans="2:12" ht="13.5" thickBot="1" x14ac:dyDescent="0.25">
      <c r="B232" s="356" t="s">
        <v>282</v>
      </c>
      <c r="C232" s="357">
        <v>100</v>
      </c>
    </row>
    <row r="234" spans="2:12" x14ac:dyDescent="0.2">
      <c r="B234" s="4"/>
      <c r="E234" s="4"/>
      <c r="H234" s="4"/>
      <c r="K234" s="4"/>
    </row>
    <row r="235" spans="2:12" x14ac:dyDescent="0.2">
      <c r="E235" s="134" t="s">
        <v>137</v>
      </c>
      <c r="H235" s="134" t="s">
        <v>137</v>
      </c>
      <c r="K235" s="4"/>
    </row>
    <row r="236" spans="2:12" x14ac:dyDescent="0.2">
      <c r="E236" s="134" t="s">
        <v>144</v>
      </c>
      <c r="H236" s="134" t="s">
        <v>150</v>
      </c>
      <c r="K236" s="4"/>
    </row>
    <row r="237" spans="2:12" ht="13.5" thickBot="1" x14ac:dyDescent="0.25">
      <c r="B237" s="135" t="s">
        <v>122</v>
      </c>
    </row>
    <row r="238" spans="2:12" ht="13.5" thickBot="1" x14ac:dyDescent="0.25">
      <c r="B238" s="346" t="s">
        <v>250</v>
      </c>
      <c r="C238" s="347" t="s">
        <v>248</v>
      </c>
      <c r="E238" s="346" t="s">
        <v>250</v>
      </c>
      <c r="F238" s="347" t="s">
        <v>248</v>
      </c>
      <c r="H238" s="346" t="s">
        <v>250</v>
      </c>
      <c r="I238" s="347" t="s">
        <v>248</v>
      </c>
    </row>
    <row r="239" spans="2:12" ht="13.5" thickBot="1" x14ac:dyDescent="0.25"/>
    <row r="240" spans="2:12" ht="15" x14ac:dyDescent="0.25">
      <c r="B240" s="348" t="s">
        <v>315</v>
      </c>
      <c r="C240" s="350" t="s">
        <v>253</v>
      </c>
      <c r="E240" s="348" t="s">
        <v>315</v>
      </c>
      <c r="F240" s="350" t="s">
        <v>253</v>
      </c>
      <c r="H240" s="348" t="s">
        <v>315</v>
      </c>
      <c r="I240" s="350" t="s">
        <v>253</v>
      </c>
      <c r="K240"/>
      <c r="L240"/>
    </row>
    <row r="241" spans="2:12" ht="15" x14ac:dyDescent="0.25">
      <c r="B241" s="354" t="s">
        <v>325</v>
      </c>
      <c r="C241" s="355">
        <v>23</v>
      </c>
      <c r="E241" s="354" t="s">
        <v>276</v>
      </c>
      <c r="F241" s="355">
        <v>74</v>
      </c>
      <c r="H241" s="354" t="s">
        <v>325</v>
      </c>
      <c r="I241" s="355">
        <v>10</v>
      </c>
      <c r="K241"/>
      <c r="L241"/>
    </row>
    <row r="242" spans="2:12" ht="15" x14ac:dyDescent="0.25">
      <c r="B242" s="354" t="s">
        <v>276</v>
      </c>
      <c r="C242" s="355">
        <v>77</v>
      </c>
      <c r="E242" s="354" t="s">
        <v>325</v>
      </c>
      <c r="F242" s="355">
        <v>26</v>
      </c>
      <c r="H242" s="354" t="s">
        <v>327</v>
      </c>
      <c r="I242" s="355">
        <v>90</v>
      </c>
      <c r="K242"/>
      <c r="L242"/>
    </row>
    <row r="243" spans="2:12" ht="15.75" thickBot="1" x14ac:dyDescent="0.3">
      <c r="B243" s="356" t="s">
        <v>282</v>
      </c>
      <c r="C243" s="357">
        <v>100</v>
      </c>
      <c r="E243" s="356" t="s">
        <v>282</v>
      </c>
      <c r="F243" s="357">
        <v>100</v>
      </c>
      <c r="H243" s="356" t="s">
        <v>282</v>
      </c>
      <c r="I243" s="357">
        <v>100</v>
      </c>
      <c r="K243"/>
      <c r="L243"/>
    </row>
    <row r="244" spans="2:12" ht="15" x14ac:dyDescent="0.25">
      <c r="H244"/>
      <c r="I244"/>
    </row>
    <row r="248" spans="2:12" x14ac:dyDescent="0.2">
      <c r="B248" s="4"/>
      <c r="E248" s="4"/>
      <c r="H248" s="4"/>
    </row>
    <row r="249" spans="2:12" ht="13.5" thickBot="1" x14ac:dyDescent="0.25">
      <c r="B249" s="134" t="s">
        <v>328</v>
      </c>
      <c r="E249" s="134" t="s">
        <v>329</v>
      </c>
      <c r="H249" s="134" t="s">
        <v>330</v>
      </c>
    </row>
    <row r="250" spans="2:12" ht="13.5" thickBot="1" x14ac:dyDescent="0.25">
      <c r="B250" s="346" t="s">
        <v>250</v>
      </c>
      <c r="C250" s="347" t="s">
        <v>258</v>
      </c>
      <c r="E250" s="346" t="s">
        <v>250</v>
      </c>
      <c r="F250" s="347" t="s">
        <v>272</v>
      </c>
      <c r="H250" s="346" t="s">
        <v>250</v>
      </c>
      <c r="I250" s="347" t="s">
        <v>248</v>
      </c>
    </row>
    <row r="251" spans="2:12" ht="13.5" thickBot="1" x14ac:dyDescent="0.25"/>
    <row r="252" spans="2:12" x14ac:dyDescent="0.2">
      <c r="B252" s="348" t="s">
        <v>315</v>
      </c>
      <c r="C252" s="350" t="s">
        <v>253</v>
      </c>
      <c r="E252" s="348" t="s">
        <v>315</v>
      </c>
      <c r="F252" s="350" t="s">
        <v>253</v>
      </c>
      <c r="H252" s="348" t="s">
        <v>315</v>
      </c>
      <c r="I252" s="350" t="s">
        <v>253</v>
      </c>
    </row>
    <row r="253" spans="2:12" x14ac:dyDescent="0.2">
      <c r="B253" s="354" t="s">
        <v>158</v>
      </c>
      <c r="C253" s="355">
        <v>1</v>
      </c>
      <c r="E253" s="354" t="s">
        <v>158</v>
      </c>
      <c r="F253" s="355">
        <v>2</v>
      </c>
      <c r="H253" s="354" t="s">
        <v>158</v>
      </c>
      <c r="I253" s="355">
        <v>-2</v>
      </c>
    </row>
    <row r="254" spans="2:12" x14ac:dyDescent="0.2">
      <c r="B254" s="354" t="s">
        <v>140</v>
      </c>
      <c r="C254" s="355">
        <v>12</v>
      </c>
      <c r="E254" s="354" t="s">
        <v>140</v>
      </c>
      <c r="F254" s="355">
        <v>3</v>
      </c>
      <c r="H254" s="354" t="s">
        <v>140</v>
      </c>
      <c r="I254" s="355">
        <v>7</v>
      </c>
    </row>
    <row r="255" spans="2:12" x14ac:dyDescent="0.2">
      <c r="B255" s="354" t="s">
        <v>159</v>
      </c>
      <c r="C255" s="355">
        <v>31</v>
      </c>
      <c r="E255" s="354" t="s">
        <v>159</v>
      </c>
      <c r="F255" s="355">
        <v>56</v>
      </c>
      <c r="H255" s="354" t="s">
        <v>159</v>
      </c>
      <c r="I255" s="355">
        <v>15</v>
      </c>
    </row>
    <row r="256" spans="2:12" x14ac:dyDescent="0.2">
      <c r="B256" s="354" t="s">
        <v>160</v>
      </c>
      <c r="C256" s="355">
        <v>263</v>
      </c>
      <c r="E256" s="354" t="s">
        <v>160</v>
      </c>
      <c r="F256" s="355">
        <v>1</v>
      </c>
      <c r="H256" s="354" t="s">
        <v>160</v>
      </c>
      <c r="I256" s="355">
        <v>2</v>
      </c>
    </row>
    <row r="257" spans="2:9" x14ac:dyDescent="0.2">
      <c r="B257" s="354" t="s">
        <v>161</v>
      </c>
      <c r="C257" s="355">
        <v>11</v>
      </c>
      <c r="E257" s="354" t="s">
        <v>161</v>
      </c>
      <c r="F257" s="355">
        <v>10</v>
      </c>
      <c r="H257" s="354" t="s">
        <v>161</v>
      </c>
      <c r="I257" s="355">
        <v>4</v>
      </c>
    </row>
    <row r="258" spans="2:9" x14ac:dyDescent="0.2">
      <c r="B258" s="354" t="s">
        <v>162</v>
      </c>
      <c r="C258" s="355">
        <v>1</v>
      </c>
      <c r="E258" s="354" t="s">
        <v>162</v>
      </c>
      <c r="F258" s="355">
        <v>4</v>
      </c>
      <c r="H258" s="354" t="s">
        <v>162</v>
      </c>
      <c r="I258" s="355">
        <v>10</v>
      </c>
    </row>
    <row r="259" spans="2:9" x14ac:dyDescent="0.2">
      <c r="B259" s="354" t="s">
        <v>163</v>
      </c>
      <c r="C259" s="355">
        <v>19</v>
      </c>
      <c r="E259" s="354" t="s">
        <v>163</v>
      </c>
      <c r="F259" s="355">
        <v>41</v>
      </c>
      <c r="H259" s="354" t="s">
        <v>163</v>
      </c>
      <c r="I259" s="355">
        <v>2</v>
      </c>
    </row>
    <row r="260" spans="2:9" x14ac:dyDescent="0.2">
      <c r="B260" s="354" t="s">
        <v>164</v>
      </c>
      <c r="C260" s="355">
        <v>5</v>
      </c>
      <c r="E260" s="354" t="s">
        <v>164</v>
      </c>
      <c r="F260" s="355">
        <v>5</v>
      </c>
      <c r="H260" s="354" t="s">
        <v>164</v>
      </c>
      <c r="I260" s="355">
        <v>16</v>
      </c>
    </row>
    <row r="261" spans="2:9" x14ac:dyDescent="0.2">
      <c r="B261" s="354" t="s">
        <v>165</v>
      </c>
      <c r="C261" s="355">
        <v>4</v>
      </c>
      <c r="E261" s="354" t="s">
        <v>165</v>
      </c>
      <c r="F261" s="355">
        <v>88</v>
      </c>
      <c r="H261" s="354" t="s">
        <v>165</v>
      </c>
      <c r="I261" s="355">
        <v>4</v>
      </c>
    </row>
    <row r="262" spans="2:9" x14ac:dyDescent="0.2">
      <c r="B262" s="354" t="s">
        <v>166</v>
      </c>
      <c r="C262" s="355">
        <v>9</v>
      </c>
      <c r="E262" s="354" t="s">
        <v>166</v>
      </c>
      <c r="F262" s="355">
        <v>18</v>
      </c>
      <c r="H262" s="354" t="s">
        <v>166</v>
      </c>
      <c r="I262" s="355">
        <v>1</v>
      </c>
    </row>
    <row r="263" spans="2:9" x14ac:dyDescent="0.2">
      <c r="B263" s="354" t="s">
        <v>167</v>
      </c>
      <c r="C263" s="355">
        <v>1</v>
      </c>
      <c r="E263" s="354" t="s">
        <v>167</v>
      </c>
      <c r="F263" s="355">
        <v>97</v>
      </c>
      <c r="H263" s="354" t="s">
        <v>167</v>
      </c>
      <c r="I263" s="355">
        <v>11</v>
      </c>
    </row>
    <row r="264" spans="2:9" x14ac:dyDescent="0.2">
      <c r="B264" s="354" t="s">
        <v>168</v>
      </c>
      <c r="C264" s="355">
        <v>24</v>
      </c>
      <c r="E264" s="354" t="s">
        <v>168</v>
      </c>
      <c r="F264" s="355">
        <v>32</v>
      </c>
      <c r="H264" s="354" t="s">
        <v>168</v>
      </c>
      <c r="I264" s="355">
        <v>9</v>
      </c>
    </row>
    <row r="265" spans="2:9" x14ac:dyDescent="0.2">
      <c r="B265" s="354" t="s">
        <v>169</v>
      </c>
      <c r="C265" s="355">
        <v>19</v>
      </c>
      <c r="E265" s="354" t="s">
        <v>169</v>
      </c>
      <c r="F265" s="355">
        <v>26</v>
      </c>
      <c r="H265" s="354" t="s">
        <v>169</v>
      </c>
      <c r="I265" s="355">
        <v>2</v>
      </c>
    </row>
    <row r="266" spans="2:9" x14ac:dyDescent="0.2">
      <c r="B266" s="354" t="s">
        <v>170</v>
      </c>
      <c r="C266" s="355">
        <v>9</v>
      </c>
      <c r="E266" s="354" t="s">
        <v>170</v>
      </c>
      <c r="F266" s="355">
        <v>213</v>
      </c>
      <c r="H266" s="354" t="s">
        <v>170</v>
      </c>
      <c r="I266" s="355">
        <v>19</v>
      </c>
    </row>
    <row r="267" spans="2:9" x14ac:dyDescent="0.2">
      <c r="B267" s="354" t="s">
        <v>143</v>
      </c>
      <c r="C267" s="355">
        <v>39</v>
      </c>
      <c r="E267" s="354" t="s">
        <v>143</v>
      </c>
      <c r="F267" s="355">
        <v>13</v>
      </c>
      <c r="H267" s="354" t="s">
        <v>143</v>
      </c>
      <c r="I267" s="355">
        <v>1</v>
      </c>
    </row>
    <row r="268" spans="2:9" x14ac:dyDescent="0.2">
      <c r="B268" s="354" t="s">
        <v>171</v>
      </c>
      <c r="C268" s="355">
        <v>61</v>
      </c>
      <c r="E268" s="354" t="s">
        <v>171</v>
      </c>
      <c r="F268" s="355">
        <v>58</v>
      </c>
      <c r="H268" s="354" t="s">
        <v>171</v>
      </c>
      <c r="I268" s="355">
        <v>5</v>
      </c>
    </row>
    <row r="269" spans="2:9" x14ac:dyDescent="0.2">
      <c r="B269" s="354" t="s">
        <v>172</v>
      </c>
      <c r="C269" s="355">
        <v>-2</v>
      </c>
      <c r="E269" s="354" t="s">
        <v>172</v>
      </c>
      <c r="F269" s="355">
        <v>2</v>
      </c>
      <c r="H269" s="354" t="s">
        <v>147</v>
      </c>
      <c r="I269" s="355">
        <v>-6</v>
      </c>
    </row>
    <row r="270" spans="2:9" ht="13.5" thickBot="1" x14ac:dyDescent="0.25">
      <c r="B270" s="354" t="s">
        <v>147</v>
      </c>
      <c r="C270" s="355">
        <v>4</v>
      </c>
      <c r="E270" s="354" t="s">
        <v>147</v>
      </c>
      <c r="F270" s="355">
        <v>15</v>
      </c>
      <c r="H270" s="356" t="s">
        <v>282</v>
      </c>
      <c r="I270" s="357">
        <v>100</v>
      </c>
    </row>
    <row r="271" spans="2:9" ht="15.75" thickBot="1" x14ac:dyDescent="0.3">
      <c r="B271" s="356" t="s">
        <v>282</v>
      </c>
      <c r="C271" s="357">
        <v>511</v>
      </c>
      <c r="E271" s="356" t="s">
        <v>282</v>
      </c>
      <c r="F271" s="357">
        <v>684</v>
      </c>
      <c r="H271"/>
      <c r="I271"/>
    </row>
    <row r="276" spans="2:20" ht="13.5" thickBot="1" x14ac:dyDescent="0.25">
      <c r="B276" s="4"/>
    </row>
    <row r="277" spans="2:20" ht="15.75" thickBot="1" x14ac:dyDescent="0.3">
      <c r="B277" s="134" t="s">
        <v>331</v>
      </c>
      <c r="G277" s="134" t="s">
        <v>332</v>
      </c>
      <c r="L277" s="134" t="s">
        <v>333</v>
      </c>
      <c r="Q277"/>
      <c r="R277"/>
    </row>
    <row r="278" spans="2:20" ht="13.5" thickBot="1" x14ac:dyDescent="0.25">
      <c r="B278" s="346" t="s">
        <v>250</v>
      </c>
      <c r="C278" s="347" t="s">
        <v>248</v>
      </c>
      <c r="G278" s="346" t="s">
        <v>250</v>
      </c>
      <c r="H278" s="347" t="s">
        <v>248</v>
      </c>
      <c r="L278" s="346" t="s">
        <v>250</v>
      </c>
      <c r="M278" s="347" t="s">
        <v>248</v>
      </c>
      <c r="Q278" s="346" t="s">
        <v>334</v>
      </c>
      <c r="R278" s="347" t="s">
        <v>251</v>
      </c>
    </row>
    <row r="279" spans="2:20" ht="13.5" thickBot="1" x14ac:dyDescent="0.25"/>
    <row r="280" spans="2:20" ht="25.5" x14ac:dyDescent="0.2">
      <c r="B280" s="348" t="s">
        <v>315</v>
      </c>
      <c r="C280" s="382" t="s">
        <v>296</v>
      </c>
      <c r="D280" s="349" t="s">
        <v>335</v>
      </c>
      <c r="E280" s="383" t="s">
        <v>253</v>
      </c>
      <c r="G280" s="348" t="s">
        <v>315</v>
      </c>
      <c r="H280" s="382" t="s">
        <v>296</v>
      </c>
      <c r="I280" s="349" t="s">
        <v>335</v>
      </c>
      <c r="J280" s="383" t="s">
        <v>253</v>
      </c>
      <c r="L280" s="348" t="s">
        <v>315</v>
      </c>
      <c r="M280" s="382" t="s">
        <v>296</v>
      </c>
      <c r="N280" s="349" t="s">
        <v>335</v>
      </c>
      <c r="O280" s="383" t="s">
        <v>253</v>
      </c>
      <c r="Q280" s="348" t="s">
        <v>315</v>
      </c>
      <c r="R280" s="382" t="s">
        <v>296</v>
      </c>
      <c r="S280" s="349" t="s">
        <v>335</v>
      </c>
      <c r="T280" s="383" t="s">
        <v>253</v>
      </c>
    </row>
    <row r="281" spans="2:20" x14ac:dyDescent="0.2">
      <c r="B281" s="354" t="s">
        <v>158</v>
      </c>
      <c r="C281" s="1">
        <v>3</v>
      </c>
      <c r="D281" s="1">
        <v>5</v>
      </c>
      <c r="E281" s="355">
        <v>-2</v>
      </c>
      <c r="G281" s="354" t="s">
        <v>181</v>
      </c>
      <c r="H281" s="1">
        <v>19</v>
      </c>
      <c r="I281" s="1">
        <v>13</v>
      </c>
      <c r="J281" s="355">
        <v>6</v>
      </c>
      <c r="L281" s="354" t="s">
        <v>158</v>
      </c>
      <c r="M281" s="1">
        <v>4</v>
      </c>
      <c r="N281" s="1">
        <v>5</v>
      </c>
      <c r="O281" s="355">
        <v>-1</v>
      </c>
      <c r="Q281" s="354" t="s">
        <v>158</v>
      </c>
      <c r="R281" s="1">
        <v>19</v>
      </c>
      <c r="S281" s="1">
        <v>6</v>
      </c>
      <c r="T281" s="355">
        <v>13</v>
      </c>
    </row>
    <row r="282" spans="2:20" x14ac:dyDescent="0.2">
      <c r="B282" s="354" t="s">
        <v>140</v>
      </c>
      <c r="C282" s="1">
        <v>14</v>
      </c>
      <c r="D282" s="1">
        <v>7</v>
      </c>
      <c r="E282" s="355">
        <v>7</v>
      </c>
      <c r="G282" s="354" t="s">
        <v>182</v>
      </c>
      <c r="H282" s="1">
        <v>2</v>
      </c>
      <c r="I282" s="1">
        <v>0</v>
      </c>
      <c r="J282" s="355">
        <v>2</v>
      </c>
      <c r="L282" s="354" t="s">
        <v>188</v>
      </c>
      <c r="M282" s="1">
        <v>2</v>
      </c>
      <c r="N282" s="1">
        <v>0</v>
      </c>
      <c r="O282" s="355">
        <v>2</v>
      </c>
      <c r="Q282" s="354" t="s">
        <v>188</v>
      </c>
      <c r="R282" s="1">
        <v>4</v>
      </c>
      <c r="S282" s="1">
        <v>1</v>
      </c>
      <c r="T282" s="355">
        <v>3</v>
      </c>
    </row>
    <row r="283" spans="2:20" x14ac:dyDescent="0.2">
      <c r="B283" s="354" t="s">
        <v>159</v>
      </c>
      <c r="C283" s="1">
        <v>16</v>
      </c>
      <c r="D283" s="1">
        <v>1</v>
      </c>
      <c r="E283" s="355">
        <v>15</v>
      </c>
      <c r="G283" s="354" t="s">
        <v>141</v>
      </c>
      <c r="H283" s="1">
        <v>32</v>
      </c>
      <c r="I283" s="1">
        <v>8</v>
      </c>
      <c r="J283" s="355">
        <v>24</v>
      </c>
      <c r="L283" s="354" t="s">
        <v>189</v>
      </c>
      <c r="M283" s="1">
        <v>18</v>
      </c>
      <c r="N283" s="1">
        <v>4</v>
      </c>
      <c r="O283" s="355">
        <v>14</v>
      </c>
      <c r="Q283" s="354" t="s">
        <v>189</v>
      </c>
      <c r="R283" s="1">
        <v>20</v>
      </c>
      <c r="S283" s="1">
        <v>5</v>
      </c>
      <c r="T283" s="355">
        <v>15</v>
      </c>
    </row>
    <row r="284" spans="2:20" x14ac:dyDescent="0.2">
      <c r="B284" s="354" t="s">
        <v>160</v>
      </c>
      <c r="C284" s="1">
        <v>2</v>
      </c>
      <c r="D284" s="1">
        <v>0</v>
      </c>
      <c r="E284" s="355">
        <v>2</v>
      </c>
      <c r="G284" s="354" t="s">
        <v>183</v>
      </c>
      <c r="H284" s="1">
        <v>41</v>
      </c>
      <c r="I284" s="1">
        <v>9</v>
      </c>
      <c r="J284" s="355">
        <v>32</v>
      </c>
      <c r="L284" s="354" t="s">
        <v>165</v>
      </c>
      <c r="M284" s="1">
        <v>5</v>
      </c>
      <c r="N284" s="1">
        <v>1</v>
      </c>
      <c r="O284" s="355">
        <v>4</v>
      </c>
      <c r="Q284" s="354" t="s">
        <v>165</v>
      </c>
      <c r="R284" s="1">
        <v>3</v>
      </c>
      <c r="S284" s="1">
        <v>2</v>
      </c>
      <c r="T284" s="355">
        <v>1</v>
      </c>
    </row>
    <row r="285" spans="2:20" x14ac:dyDescent="0.2">
      <c r="B285" s="354" t="s">
        <v>161</v>
      </c>
      <c r="C285" s="1">
        <v>6</v>
      </c>
      <c r="D285" s="1">
        <v>2</v>
      </c>
      <c r="E285" s="355">
        <v>4</v>
      </c>
      <c r="G285" s="354" t="s">
        <v>145</v>
      </c>
      <c r="H285" s="1">
        <v>34</v>
      </c>
      <c r="I285" s="1">
        <v>8</v>
      </c>
      <c r="J285" s="355">
        <v>26</v>
      </c>
      <c r="L285" s="354" t="s">
        <v>190</v>
      </c>
      <c r="M285" s="1">
        <v>19</v>
      </c>
      <c r="N285" s="1">
        <v>10</v>
      </c>
      <c r="O285" s="355">
        <v>9</v>
      </c>
      <c r="Q285" s="354" t="s">
        <v>190</v>
      </c>
      <c r="R285" s="1">
        <v>12</v>
      </c>
      <c r="S285" s="1">
        <v>7</v>
      </c>
      <c r="T285" s="355">
        <v>5</v>
      </c>
    </row>
    <row r="286" spans="2:20" x14ac:dyDescent="0.2">
      <c r="B286" s="354" t="s">
        <v>162</v>
      </c>
      <c r="C286" s="1">
        <v>12</v>
      </c>
      <c r="D286" s="1">
        <v>2</v>
      </c>
      <c r="E286" s="355">
        <v>10</v>
      </c>
      <c r="G286" s="354" t="s">
        <v>147</v>
      </c>
      <c r="H286" s="1">
        <v>41</v>
      </c>
      <c r="I286" s="1">
        <v>31</v>
      </c>
      <c r="J286" s="355">
        <v>10</v>
      </c>
      <c r="L286" s="354" t="s">
        <v>191</v>
      </c>
      <c r="M286" s="1">
        <v>23</v>
      </c>
      <c r="N286" s="1">
        <v>5</v>
      </c>
      <c r="O286" s="355">
        <v>18</v>
      </c>
      <c r="Q286" s="354" t="s">
        <v>191</v>
      </c>
      <c r="R286" s="1">
        <v>20</v>
      </c>
      <c r="S286" s="1">
        <v>1</v>
      </c>
      <c r="T286" s="355">
        <v>19</v>
      </c>
    </row>
    <row r="287" spans="2:20" ht="13.5" thickBot="1" x14ac:dyDescent="0.25">
      <c r="B287" s="354" t="s">
        <v>163</v>
      </c>
      <c r="C287" s="1">
        <v>3</v>
      </c>
      <c r="D287" s="1">
        <v>1</v>
      </c>
      <c r="E287" s="355">
        <v>2</v>
      </c>
      <c r="G287" s="356" t="s">
        <v>282</v>
      </c>
      <c r="H287" s="381">
        <v>169</v>
      </c>
      <c r="I287" s="381">
        <v>69</v>
      </c>
      <c r="J287" s="357">
        <v>100</v>
      </c>
      <c r="L287" s="354" t="s">
        <v>192</v>
      </c>
      <c r="M287" s="1">
        <v>23</v>
      </c>
      <c r="N287" s="1">
        <v>5</v>
      </c>
      <c r="O287" s="355">
        <v>18</v>
      </c>
      <c r="Q287" s="354" t="s">
        <v>192</v>
      </c>
      <c r="R287" s="1">
        <v>45</v>
      </c>
      <c r="S287" s="1">
        <v>5</v>
      </c>
      <c r="T287" s="355">
        <v>40</v>
      </c>
    </row>
    <row r="288" spans="2:20" ht="15" x14ac:dyDescent="0.25">
      <c r="B288" s="354" t="s">
        <v>164</v>
      </c>
      <c r="C288" s="1">
        <v>17</v>
      </c>
      <c r="D288" s="1">
        <v>1</v>
      </c>
      <c r="E288" s="355">
        <v>16</v>
      </c>
      <c r="G288"/>
      <c r="H288"/>
      <c r="I288"/>
      <c r="J288"/>
      <c r="L288" s="354" t="s">
        <v>193</v>
      </c>
      <c r="M288" s="1">
        <v>34</v>
      </c>
      <c r="N288" s="1">
        <v>8</v>
      </c>
      <c r="O288" s="355">
        <v>26</v>
      </c>
      <c r="Q288" s="354" t="s">
        <v>193</v>
      </c>
      <c r="R288" s="1">
        <v>30</v>
      </c>
      <c r="S288" s="1">
        <v>7</v>
      </c>
      <c r="T288" s="355">
        <v>23</v>
      </c>
    </row>
    <row r="289" spans="2:20" ht="15" x14ac:dyDescent="0.25">
      <c r="B289" s="354" t="s">
        <v>165</v>
      </c>
      <c r="C289" s="1">
        <v>5</v>
      </c>
      <c r="D289" s="1">
        <v>1</v>
      </c>
      <c r="E289" s="355">
        <v>4</v>
      </c>
      <c r="G289"/>
      <c r="H289"/>
      <c r="I289"/>
      <c r="J289"/>
      <c r="L289" s="354" t="s">
        <v>194</v>
      </c>
      <c r="M289" s="1">
        <v>41</v>
      </c>
      <c r="N289" s="1">
        <v>31</v>
      </c>
      <c r="O289" s="355">
        <v>10</v>
      </c>
      <c r="Q289" s="354" t="s">
        <v>194</v>
      </c>
      <c r="R289" s="1">
        <v>13</v>
      </c>
      <c r="S289" s="1">
        <v>4</v>
      </c>
      <c r="T289" s="355">
        <v>9</v>
      </c>
    </row>
    <row r="290" spans="2:20" ht="15.75" thickBot="1" x14ac:dyDescent="0.3">
      <c r="B290" s="354" t="s">
        <v>166</v>
      </c>
      <c r="C290" s="1">
        <v>2</v>
      </c>
      <c r="D290" s="1">
        <v>1</v>
      </c>
      <c r="E290" s="355">
        <v>1</v>
      </c>
      <c r="G290"/>
      <c r="H290"/>
      <c r="I290"/>
      <c r="J290"/>
      <c r="L290" s="356" t="s">
        <v>282</v>
      </c>
      <c r="M290" s="381">
        <v>169</v>
      </c>
      <c r="N290" s="381">
        <v>69</v>
      </c>
      <c r="O290" s="357">
        <v>100</v>
      </c>
      <c r="Q290" s="356" t="s">
        <v>282</v>
      </c>
      <c r="R290" s="381">
        <v>166</v>
      </c>
      <c r="S290" s="381">
        <v>38</v>
      </c>
      <c r="T290" s="357">
        <v>128</v>
      </c>
    </row>
    <row r="291" spans="2:20" ht="15" x14ac:dyDescent="0.25">
      <c r="B291" s="354" t="s">
        <v>167</v>
      </c>
      <c r="C291" s="1">
        <v>15</v>
      </c>
      <c r="D291" s="1">
        <v>4</v>
      </c>
      <c r="E291" s="355">
        <v>11</v>
      </c>
      <c r="G291"/>
      <c r="H291"/>
      <c r="I291"/>
      <c r="J291"/>
      <c r="Q291"/>
      <c r="R291"/>
      <c r="S291"/>
      <c r="T291"/>
    </row>
    <row r="292" spans="2:20" ht="15" x14ac:dyDescent="0.25">
      <c r="B292" s="354" t="s">
        <v>168</v>
      </c>
      <c r="C292" s="1">
        <v>12</v>
      </c>
      <c r="D292" s="1">
        <v>3</v>
      </c>
      <c r="E292" s="355">
        <v>9</v>
      </c>
      <c r="G292"/>
      <c r="H292"/>
      <c r="I292"/>
      <c r="J292"/>
    </row>
    <row r="293" spans="2:20" ht="15" x14ac:dyDescent="0.25">
      <c r="B293" s="354" t="s">
        <v>169</v>
      </c>
      <c r="C293" s="1">
        <v>4</v>
      </c>
      <c r="D293" s="1">
        <v>2</v>
      </c>
      <c r="E293" s="355">
        <v>2</v>
      </c>
      <c r="G293"/>
      <c r="H293"/>
      <c r="I293"/>
      <c r="J293"/>
    </row>
    <row r="294" spans="2:20" ht="15" x14ac:dyDescent="0.25">
      <c r="B294" s="354" t="s">
        <v>170</v>
      </c>
      <c r="C294" s="1">
        <v>22</v>
      </c>
      <c r="D294" s="1">
        <v>3</v>
      </c>
      <c r="E294" s="355">
        <v>19</v>
      </c>
      <c r="G294"/>
      <c r="H294"/>
      <c r="I294"/>
      <c r="J294"/>
    </row>
    <row r="295" spans="2:20" ht="15" x14ac:dyDescent="0.25">
      <c r="B295" s="354" t="s">
        <v>143</v>
      </c>
      <c r="C295" s="1">
        <v>4</v>
      </c>
      <c r="D295" s="1">
        <v>3</v>
      </c>
      <c r="E295" s="355">
        <v>1</v>
      </c>
      <c r="G295"/>
      <c r="H295"/>
      <c r="I295"/>
      <c r="J295"/>
    </row>
    <row r="296" spans="2:20" ht="15" x14ac:dyDescent="0.25">
      <c r="B296" s="354" t="s">
        <v>171</v>
      </c>
      <c r="C296" s="1">
        <v>8</v>
      </c>
      <c r="D296" s="1">
        <v>3</v>
      </c>
      <c r="E296" s="355">
        <v>5</v>
      </c>
      <c r="G296"/>
      <c r="H296"/>
      <c r="I296"/>
      <c r="J296"/>
    </row>
    <row r="297" spans="2:20" ht="15" x14ac:dyDescent="0.25">
      <c r="B297" s="354" t="s">
        <v>147</v>
      </c>
      <c r="C297" s="1">
        <v>24</v>
      </c>
      <c r="D297" s="1">
        <v>30</v>
      </c>
      <c r="E297" s="355">
        <v>-6</v>
      </c>
      <c r="G297"/>
      <c r="H297"/>
      <c r="I297"/>
      <c r="J297"/>
    </row>
    <row r="298" spans="2:20" ht="15.75" thickBot="1" x14ac:dyDescent="0.3">
      <c r="B298" s="356" t="s">
        <v>282</v>
      </c>
      <c r="C298" s="381">
        <v>169</v>
      </c>
      <c r="D298" s="381">
        <v>69</v>
      </c>
      <c r="E298" s="357">
        <v>100</v>
      </c>
      <c r="G298"/>
      <c r="H298"/>
      <c r="I298"/>
      <c r="J298"/>
    </row>
    <row r="299" spans="2:20" ht="15" x14ac:dyDescent="0.25">
      <c r="B299"/>
      <c r="C299"/>
      <c r="D299"/>
      <c r="E299"/>
    </row>
    <row r="303" spans="2:20" ht="13.5" thickBot="1" x14ac:dyDescent="0.25">
      <c r="B303" s="134" t="s">
        <v>336</v>
      </c>
    </row>
    <row r="304" spans="2:20" ht="13.5" thickBot="1" x14ac:dyDescent="0.25">
      <c r="B304" s="346" t="s">
        <v>250</v>
      </c>
      <c r="C304" s="347" t="s">
        <v>248</v>
      </c>
    </row>
    <row r="305" spans="2:11" ht="13.5" thickBot="1" x14ac:dyDescent="0.25">
      <c r="B305" s="346" t="s">
        <v>256</v>
      </c>
      <c r="C305" s="347" t="s">
        <v>251</v>
      </c>
    </row>
    <row r="306" spans="2:11" ht="13.5" thickBot="1" x14ac:dyDescent="0.25"/>
    <row r="307" spans="2:11" ht="15" x14ac:dyDescent="0.25">
      <c r="B307" s="348" t="s">
        <v>315</v>
      </c>
      <c r="C307" s="349" t="s">
        <v>316</v>
      </c>
      <c r="D307" s="349" t="s">
        <v>317</v>
      </c>
      <c r="E307" s="349" t="s">
        <v>318</v>
      </c>
      <c r="F307" s="349" t="s">
        <v>319</v>
      </c>
      <c r="G307" s="349" t="s">
        <v>320</v>
      </c>
      <c r="H307" s="349" t="s">
        <v>321</v>
      </c>
      <c r="I307" s="349" t="s">
        <v>322</v>
      </c>
      <c r="J307" s="350" t="s">
        <v>323</v>
      </c>
      <c r="K307" s="3"/>
    </row>
    <row r="308" spans="2:11" ht="15" x14ac:dyDescent="0.25">
      <c r="B308" s="354" t="s">
        <v>303</v>
      </c>
      <c r="C308" s="1">
        <v>7</v>
      </c>
      <c r="D308" s="1">
        <v>18</v>
      </c>
      <c r="E308" s="1">
        <v>7</v>
      </c>
      <c r="F308" s="1">
        <v>3</v>
      </c>
      <c r="G308" s="1">
        <v>7</v>
      </c>
      <c r="H308" s="1">
        <v>-1</v>
      </c>
      <c r="I308" s="1">
        <v>0</v>
      </c>
      <c r="J308" s="355">
        <v>0</v>
      </c>
      <c r="K308" s="3"/>
    </row>
    <row r="309" spans="2:11" ht="15" x14ac:dyDescent="0.25">
      <c r="B309" s="354" t="s">
        <v>337</v>
      </c>
      <c r="C309" s="1">
        <v>-29</v>
      </c>
      <c r="D309" s="1">
        <v>-1</v>
      </c>
      <c r="E309" s="1">
        <v>0</v>
      </c>
      <c r="F309" s="1">
        <v>0</v>
      </c>
      <c r="G309" s="1">
        <v>0</v>
      </c>
      <c r="H309" s="1">
        <v>0</v>
      </c>
      <c r="I309" s="1">
        <v>0</v>
      </c>
      <c r="J309" s="355">
        <v>0</v>
      </c>
      <c r="K309" s="3"/>
    </row>
    <row r="310" spans="2:11" ht="15" x14ac:dyDescent="0.25">
      <c r="B310" s="354" t="s">
        <v>338</v>
      </c>
      <c r="C310" s="1">
        <v>19</v>
      </c>
      <c r="D310" s="1">
        <v>0</v>
      </c>
      <c r="E310" s="1">
        <v>0</v>
      </c>
      <c r="F310" s="1">
        <v>2</v>
      </c>
      <c r="G310" s="1">
        <v>0</v>
      </c>
      <c r="H310" s="1">
        <v>0</v>
      </c>
      <c r="I310" s="1">
        <v>0</v>
      </c>
      <c r="J310" s="355">
        <v>0</v>
      </c>
      <c r="K310" s="3"/>
    </row>
    <row r="311" spans="2:11" x14ac:dyDescent="0.2">
      <c r="B311" s="354" t="s">
        <v>339</v>
      </c>
      <c r="C311" s="1">
        <v>10</v>
      </c>
      <c r="D311" s="1">
        <v>3</v>
      </c>
      <c r="E311" s="1">
        <v>0</v>
      </c>
      <c r="F311" s="1">
        <v>0</v>
      </c>
      <c r="G311" s="1">
        <v>0</v>
      </c>
      <c r="H311" s="1">
        <v>0</v>
      </c>
      <c r="I311" s="1">
        <v>0</v>
      </c>
      <c r="J311" s="355">
        <v>0</v>
      </c>
    </row>
    <row r="312" spans="2:11" x14ac:dyDescent="0.2">
      <c r="B312" s="354" t="s">
        <v>340</v>
      </c>
      <c r="C312" s="1">
        <v>6</v>
      </c>
      <c r="D312" s="1">
        <v>0</v>
      </c>
      <c r="E312" s="1">
        <v>0</v>
      </c>
      <c r="F312" s="1">
        <v>0</v>
      </c>
      <c r="G312" s="1">
        <v>0</v>
      </c>
      <c r="H312" s="1">
        <v>0</v>
      </c>
      <c r="I312" s="1">
        <v>0</v>
      </c>
      <c r="J312" s="355">
        <v>0</v>
      </c>
    </row>
    <row r="313" spans="2:11" ht="13.5" thickBot="1" x14ac:dyDescent="0.25">
      <c r="B313" s="356" t="s">
        <v>282</v>
      </c>
      <c r="C313" s="381">
        <v>13</v>
      </c>
      <c r="D313" s="381">
        <v>20</v>
      </c>
      <c r="E313" s="381">
        <v>7</v>
      </c>
      <c r="F313" s="381">
        <v>5</v>
      </c>
      <c r="G313" s="381">
        <v>7</v>
      </c>
      <c r="H313" s="381">
        <v>-1</v>
      </c>
      <c r="I313" s="381">
        <v>0</v>
      </c>
      <c r="J313" s="357">
        <v>0</v>
      </c>
    </row>
    <row r="314" spans="2:11" x14ac:dyDescent="0.2">
      <c r="B314" s="133"/>
    </row>
    <row r="315" spans="2:11" x14ac:dyDescent="0.2">
      <c r="B315" s="133"/>
    </row>
    <row r="316" spans="2:11" x14ac:dyDescent="0.2">
      <c r="B316" s="133"/>
    </row>
    <row r="317" spans="2:11" ht="13.5" thickBot="1" x14ac:dyDescent="0.25">
      <c r="B317" s="134" t="s">
        <v>341</v>
      </c>
    </row>
    <row r="318" spans="2:11" ht="13.5" thickBot="1" x14ac:dyDescent="0.25">
      <c r="B318" s="346" t="s">
        <v>250</v>
      </c>
      <c r="C318" s="347" t="s">
        <v>272</v>
      </c>
    </row>
    <row r="319" spans="2:11" ht="13.5" thickBot="1" x14ac:dyDescent="0.25">
      <c r="B319" s="346" t="s">
        <v>256</v>
      </c>
      <c r="C319" s="347" t="s">
        <v>251</v>
      </c>
    </row>
    <row r="320" spans="2:11" ht="13.5" thickBot="1" x14ac:dyDescent="0.25"/>
    <row r="321" spans="2:9" x14ac:dyDescent="0.2">
      <c r="B321" s="348" t="s">
        <v>315</v>
      </c>
      <c r="C321" s="349" t="s">
        <v>316</v>
      </c>
      <c r="D321" s="349" t="s">
        <v>317</v>
      </c>
      <c r="E321" s="349" t="s">
        <v>318</v>
      </c>
      <c r="F321" s="349" t="s">
        <v>319</v>
      </c>
      <c r="G321" s="349" t="s">
        <v>320</v>
      </c>
      <c r="H321" s="349" t="s">
        <v>321</v>
      </c>
      <c r="I321" s="350" t="s">
        <v>322</v>
      </c>
    </row>
    <row r="322" spans="2:9" x14ac:dyDescent="0.2">
      <c r="B322" s="354" t="s">
        <v>303</v>
      </c>
      <c r="C322" s="1">
        <v>91</v>
      </c>
      <c r="D322" s="1">
        <v>152</v>
      </c>
      <c r="E322" s="1">
        <v>43</v>
      </c>
      <c r="F322" s="1">
        <v>21</v>
      </c>
      <c r="G322" s="1">
        <v>2</v>
      </c>
      <c r="H322" s="1">
        <v>1</v>
      </c>
      <c r="I322" s="355">
        <v>0</v>
      </c>
    </row>
    <row r="323" spans="2:9" x14ac:dyDescent="0.2">
      <c r="B323" s="354" t="s">
        <v>312</v>
      </c>
      <c r="C323" s="1">
        <v>17</v>
      </c>
      <c r="D323" s="1">
        <v>13</v>
      </c>
      <c r="E323" s="1">
        <v>7</v>
      </c>
      <c r="F323" s="1">
        <v>0</v>
      </c>
      <c r="G323" s="1">
        <v>0</v>
      </c>
      <c r="H323" s="1">
        <v>0</v>
      </c>
      <c r="I323" s="355">
        <v>0</v>
      </c>
    </row>
    <row r="324" spans="2:9" x14ac:dyDescent="0.2">
      <c r="B324" s="354" t="s">
        <v>208</v>
      </c>
      <c r="C324" s="1">
        <v>31</v>
      </c>
      <c r="D324" s="1">
        <v>45</v>
      </c>
      <c r="E324" s="1">
        <v>10</v>
      </c>
      <c r="F324" s="1">
        <v>0</v>
      </c>
      <c r="G324" s="1">
        <v>0</v>
      </c>
      <c r="H324" s="1">
        <v>0</v>
      </c>
      <c r="I324" s="355">
        <v>0</v>
      </c>
    </row>
    <row r="325" spans="2:9" x14ac:dyDescent="0.2">
      <c r="B325" s="354" t="s">
        <v>339</v>
      </c>
      <c r="C325" s="1">
        <v>6</v>
      </c>
      <c r="D325" s="1">
        <v>6</v>
      </c>
      <c r="E325" s="1">
        <v>3</v>
      </c>
      <c r="F325" s="1">
        <v>0</v>
      </c>
      <c r="G325" s="1">
        <v>0</v>
      </c>
      <c r="H325" s="1">
        <v>0</v>
      </c>
      <c r="I325" s="355">
        <v>0</v>
      </c>
    </row>
    <row r="326" spans="2:9" x14ac:dyDescent="0.2">
      <c r="B326" s="354" t="s">
        <v>338</v>
      </c>
      <c r="C326" s="1">
        <v>14</v>
      </c>
      <c r="D326" s="1">
        <v>17</v>
      </c>
      <c r="E326" s="1">
        <v>7</v>
      </c>
      <c r="F326" s="1">
        <v>0</v>
      </c>
      <c r="G326" s="1">
        <v>0</v>
      </c>
      <c r="H326" s="1">
        <v>0</v>
      </c>
      <c r="I326" s="355">
        <v>0</v>
      </c>
    </row>
    <row r="327" spans="2:9" x14ac:dyDescent="0.2">
      <c r="B327" s="354" t="s">
        <v>340</v>
      </c>
      <c r="C327" s="1">
        <v>20</v>
      </c>
      <c r="D327" s="1">
        <v>0</v>
      </c>
      <c r="E327" s="1">
        <v>0</v>
      </c>
      <c r="F327" s="1">
        <v>0</v>
      </c>
      <c r="G327" s="1">
        <v>0</v>
      </c>
      <c r="H327" s="1">
        <v>0</v>
      </c>
      <c r="I327" s="355">
        <v>0</v>
      </c>
    </row>
    <row r="328" spans="2:9" x14ac:dyDescent="0.2">
      <c r="B328" s="354" t="s">
        <v>342</v>
      </c>
      <c r="C328" s="1">
        <v>14</v>
      </c>
      <c r="D328" s="1">
        <v>0</v>
      </c>
      <c r="E328" s="1">
        <v>0</v>
      </c>
      <c r="F328" s="1">
        <v>0</v>
      </c>
      <c r="G328" s="1">
        <v>0</v>
      </c>
      <c r="H328" s="1">
        <v>0</v>
      </c>
      <c r="I328" s="355">
        <v>0</v>
      </c>
    </row>
    <row r="329" spans="2:9" ht="13.5" thickBot="1" x14ac:dyDescent="0.25">
      <c r="B329" s="356" t="s">
        <v>282</v>
      </c>
      <c r="C329" s="381">
        <v>193</v>
      </c>
      <c r="D329" s="381">
        <v>233</v>
      </c>
      <c r="E329" s="381">
        <v>70</v>
      </c>
      <c r="F329" s="381">
        <v>21</v>
      </c>
      <c r="G329" s="381">
        <v>2</v>
      </c>
      <c r="H329" s="381">
        <v>1</v>
      </c>
      <c r="I329" s="357">
        <v>0</v>
      </c>
    </row>
    <row r="330" spans="2:9" ht="15" x14ac:dyDescent="0.25">
      <c r="B330" s="3"/>
      <c r="C330" s="3"/>
      <c r="D330" s="3"/>
      <c r="E330" s="3"/>
      <c r="F330" s="3"/>
      <c r="G330" s="3"/>
      <c r="H330" s="3"/>
      <c r="I330" s="3"/>
    </row>
    <row r="331" spans="2:9" x14ac:dyDescent="0.2">
      <c r="B331" s="133"/>
    </row>
    <row r="332" spans="2:9" x14ac:dyDescent="0.2">
      <c r="B332" s="133"/>
    </row>
    <row r="333" spans="2:9" x14ac:dyDescent="0.2">
      <c r="B333" s="4"/>
    </row>
    <row r="334" spans="2:9" ht="13.5" thickBot="1" x14ac:dyDescent="0.25">
      <c r="B334" s="134" t="s">
        <v>343</v>
      </c>
    </row>
    <row r="335" spans="2:9" ht="13.5" thickBot="1" x14ac:dyDescent="0.25">
      <c r="B335" s="346" t="s">
        <v>250</v>
      </c>
      <c r="C335" s="347" t="s">
        <v>258</v>
      </c>
    </row>
    <row r="336" spans="2:9" ht="13.5" thickBot="1" x14ac:dyDescent="0.25">
      <c r="B336" s="346" t="s">
        <v>256</v>
      </c>
      <c r="C336" s="347" t="s">
        <v>251</v>
      </c>
    </row>
    <row r="337" spans="2:9" ht="13.5" thickBot="1" x14ac:dyDescent="0.25"/>
    <row r="338" spans="2:9" x14ac:dyDescent="0.2">
      <c r="B338" s="348" t="s">
        <v>315</v>
      </c>
      <c r="C338" s="349" t="s">
        <v>316</v>
      </c>
      <c r="D338" s="349" t="s">
        <v>317</v>
      </c>
      <c r="E338" s="349" t="s">
        <v>318</v>
      </c>
      <c r="F338" s="349" t="s">
        <v>319</v>
      </c>
      <c r="G338" s="349" t="s">
        <v>320</v>
      </c>
      <c r="H338" s="349" t="s">
        <v>321</v>
      </c>
      <c r="I338" s="350" t="s">
        <v>322</v>
      </c>
    </row>
    <row r="339" spans="2:9" x14ac:dyDescent="0.2">
      <c r="B339" s="354" t="s">
        <v>303</v>
      </c>
      <c r="C339" s="1">
        <v>118</v>
      </c>
      <c r="D339" s="1">
        <v>103</v>
      </c>
      <c r="E339" s="1">
        <v>11</v>
      </c>
      <c r="F339" s="1">
        <v>36</v>
      </c>
      <c r="G339" s="1">
        <v>15</v>
      </c>
      <c r="H339" s="1">
        <v>1</v>
      </c>
      <c r="I339" s="355">
        <v>0</v>
      </c>
    </row>
    <row r="340" spans="2:9" x14ac:dyDescent="0.2">
      <c r="B340" s="354" t="s">
        <v>312</v>
      </c>
      <c r="C340" s="1">
        <v>-81</v>
      </c>
      <c r="D340" s="1">
        <v>-32</v>
      </c>
      <c r="E340" s="1">
        <v>-13</v>
      </c>
      <c r="F340" s="1">
        <v>0</v>
      </c>
      <c r="G340" s="1">
        <v>0</v>
      </c>
      <c r="H340" s="1">
        <v>0</v>
      </c>
      <c r="I340" s="355">
        <v>0</v>
      </c>
    </row>
    <row r="341" spans="2:9" x14ac:dyDescent="0.2">
      <c r="B341" s="354" t="s">
        <v>208</v>
      </c>
      <c r="C341" s="1">
        <v>16</v>
      </c>
      <c r="D341" s="1">
        <v>4</v>
      </c>
      <c r="E341" s="1">
        <v>0</v>
      </c>
      <c r="F341" s="1">
        <v>0</v>
      </c>
      <c r="G341" s="1">
        <v>0</v>
      </c>
      <c r="H341" s="1">
        <v>0</v>
      </c>
      <c r="I341" s="355">
        <v>0</v>
      </c>
    </row>
    <row r="342" spans="2:9" x14ac:dyDescent="0.2">
      <c r="B342" s="354" t="s">
        <v>337</v>
      </c>
      <c r="C342" s="1">
        <v>103</v>
      </c>
      <c r="D342" s="1">
        <v>38</v>
      </c>
      <c r="E342" s="1">
        <v>16</v>
      </c>
      <c r="F342" s="1">
        <v>3</v>
      </c>
      <c r="G342" s="1">
        <v>0</v>
      </c>
      <c r="H342" s="1">
        <v>0</v>
      </c>
      <c r="I342" s="355">
        <v>0</v>
      </c>
    </row>
    <row r="343" spans="2:9" x14ac:dyDescent="0.2">
      <c r="B343" s="354" t="s">
        <v>339</v>
      </c>
      <c r="C343" s="1">
        <v>22</v>
      </c>
      <c r="D343" s="1">
        <v>24</v>
      </c>
      <c r="E343" s="1">
        <v>1</v>
      </c>
      <c r="F343" s="1">
        <v>0</v>
      </c>
      <c r="G343" s="1">
        <v>0</v>
      </c>
      <c r="H343" s="1">
        <v>0</v>
      </c>
      <c r="I343" s="355">
        <v>0</v>
      </c>
    </row>
    <row r="344" spans="2:9" x14ac:dyDescent="0.2">
      <c r="B344" s="354" t="s">
        <v>338</v>
      </c>
      <c r="C344" s="1">
        <v>8</v>
      </c>
      <c r="D344" s="1">
        <v>10</v>
      </c>
      <c r="E344" s="1">
        <v>3</v>
      </c>
      <c r="F344" s="1">
        <v>0</v>
      </c>
      <c r="G344" s="1">
        <v>0</v>
      </c>
      <c r="H344" s="1">
        <v>0</v>
      </c>
      <c r="I344" s="355">
        <v>0</v>
      </c>
    </row>
    <row r="345" spans="2:9" x14ac:dyDescent="0.2">
      <c r="B345" s="354" t="s">
        <v>340</v>
      </c>
      <c r="C345" s="1">
        <v>9</v>
      </c>
      <c r="D345" s="1">
        <v>6</v>
      </c>
      <c r="E345" s="1">
        <v>0</v>
      </c>
      <c r="F345" s="1">
        <v>0</v>
      </c>
      <c r="G345" s="1">
        <v>0</v>
      </c>
      <c r="H345" s="1">
        <v>0</v>
      </c>
      <c r="I345" s="355">
        <v>0</v>
      </c>
    </row>
    <row r="346" spans="2:9" ht="13.5" thickBot="1" x14ac:dyDescent="0.25">
      <c r="B346" s="356" t="s">
        <v>282</v>
      </c>
      <c r="C346" s="381">
        <v>195</v>
      </c>
      <c r="D346" s="381">
        <v>153</v>
      </c>
      <c r="E346" s="381">
        <v>18</v>
      </c>
      <c r="F346" s="381">
        <v>39</v>
      </c>
      <c r="G346" s="381">
        <v>15</v>
      </c>
      <c r="H346" s="381">
        <v>1</v>
      </c>
      <c r="I346" s="357">
        <v>0</v>
      </c>
    </row>
    <row r="347" spans="2:9" ht="15" x14ac:dyDescent="0.25">
      <c r="B347" s="3"/>
      <c r="C347" s="3"/>
      <c r="D347" s="3"/>
      <c r="E347" s="3"/>
      <c r="F347" s="3"/>
      <c r="G347" s="3"/>
      <c r="H347" s="3"/>
      <c r="I347" s="3"/>
    </row>
    <row r="348" spans="2:9" ht="15" x14ac:dyDescent="0.25">
      <c r="B348" s="3"/>
      <c r="C348" s="3"/>
      <c r="D348" s="3"/>
      <c r="E348" s="3"/>
      <c r="F348" s="3"/>
      <c r="G348" s="3"/>
      <c r="H348" s="3"/>
      <c r="I348" s="3"/>
    </row>
    <row r="349" spans="2:9" x14ac:dyDescent="0.2">
      <c r="B349" s="133"/>
    </row>
    <row r="350" spans="2:9" x14ac:dyDescent="0.2">
      <c r="B350" s="133"/>
    </row>
    <row r="351" spans="2:9" ht="13.5" thickBot="1" x14ac:dyDescent="0.25">
      <c r="B351" s="135" t="s">
        <v>222</v>
      </c>
      <c r="E351" s="135" t="s">
        <v>66</v>
      </c>
      <c r="H351" s="135" t="s">
        <v>223</v>
      </c>
    </row>
    <row r="352" spans="2:9" ht="13.5" thickBot="1" x14ac:dyDescent="0.25">
      <c r="B352" s="346" t="s">
        <v>275</v>
      </c>
      <c r="C352" s="347" t="s">
        <v>251</v>
      </c>
      <c r="E352" s="346" t="s">
        <v>275</v>
      </c>
      <c r="F352" s="347" t="s">
        <v>251</v>
      </c>
      <c r="H352" s="346" t="s">
        <v>275</v>
      </c>
      <c r="I352" s="347" t="s">
        <v>251</v>
      </c>
    </row>
    <row r="353" spans="2:9" ht="13.5" thickBot="1" x14ac:dyDescent="0.25">
      <c r="B353" s="346" t="s">
        <v>250</v>
      </c>
      <c r="C353" s="347" t="s">
        <v>272</v>
      </c>
      <c r="E353" s="346" t="s">
        <v>250</v>
      </c>
      <c r="F353" s="347" t="s">
        <v>258</v>
      </c>
      <c r="H353" s="346" t="s">
        <v>250</v>
      </c>
      <c r="I353" s="347" t="s">
        <v>272</v>
      </c>
    </row>
    <row r="354" spans="2:9" ht="13.5" thickBot="1" x14ac:dyDescent="0.25">
      <c r="B354" s="346" t="s">
        <v>288</v>
      </c>
      <c r="C354" s="347" t="s">
        <v>344</v>
      </c>
      <c r="E354" s="346" t="s">
        <v>288</v>
      </c>
      <c r="F354" s="347" t="s">
        <v>344</v>
      </c>
      <c r="H354" s="346" t="s">
        <v>288</v>
      </c>
      <c r="I354" s="347" t="s">
        <v>344</v>
      </c>
    </row>
    <row r="355" spans="2:9" ht="13.5" thickBot="1" x14ac:dyDescent="0.25">
      <c r="B355" s="346" t="s">
        <v>256</v>
      </c>
      <c r="C355" s="347" t="s">
        <v>251</v>
      </c>
      <c r="E355" s="346" t="s">
        <v>256</v>
      </c>
      <c r="F355" s="347" t="s">
        <v>251</v>
      </c>
      <c r="H355" s="346" t="s">
        <v>256</v>
      </c>
      <c r="I355" s="347" t="s">
        <v>251</v>
      </c>
    </row>
    <row r="356" spans="2:9" ht="13.5" thickBot="1" x14ac:dyDescent="0.25"/>
    <row r="357" spans="2:9" x14ac:dyDescent="0.2">
      <c r="B357" s="348" t="s">
        <v>315</v>
      </c>
      <c r="C357" s="350" t="s">
        <v>253</v>
      </c>
      <c r="E357" s="348" t="s">
        <v>315</v>
      </c>
      <c r="F357" s="350" t="s">
        <v>253</v>
      </c>
      <c r="H357" s="348" t="s">
        <v>315</v>
      </c>
      <c r="I357" s="350" t="s">
        <v>253</v>
      </c>
    </row>
    <row r="358" spans="2:9" x14ac:dyDescent="0.2">
      <c r="B358" s="354" t="s">
        <v>158</v>
      </c>
      <c r="C358" s="355">
        <v>2</v>
      </c>
      <c r="E358" s="354" t="s">
        <v>158</v>
      </c>
      <c r="F358" s="355">
        <v>1</v>
      </c>
      <c r="H358" s="354" t="s">
        <v>140</v>
      </c>
      <c r="I358" s="355">
        <v>1</v>
      </c>
    </row>
    <row r="359" spans="2:9" x14ac:dyDescent="0.2">
      <c r="B359" s="354" t="s">
        <v>140</v>
      </c>
      <c r="C359" s="355">
        <v>2</v>
      </c>
      <c r="E359" s="354" t="s">
        <v>140</v>
      </c>
      <c r="F359" s="355">
        <v>4</v>
      </c>
      <c r="H359" s="354" t="s">
        <v>159</v>
      </c>
      <c r="I359" s="355">
        <v>2</v>
      </c>
    </row>
    <row r="360" spans="2:9" x14ac:dyDescent="0.2">
      <c r="B360" s="354" t="s">
        <v>159</v>
      </c>
      <c r="C360" s="355">
        <v>42</v>
      </c>
      <c r="E360" s="354" t="s">
        <v>161</v>
      </c>
      <c r="F360" s="355">
        <v>5</v>
      </c>
      <c r="H360" s="354" t="s">
        <v>160</v>
      </c>
      <c r="I360" s="355">
        <v>1</v>
      </c>
    </row>
    <row r="361" spans="2:9" x14ac:dyDescent="0.2">
      <c r="B361" s="354" t="s">
        <v>161</v>
      </c>
      <c r="C361" s="355">
        <v>4</v>
      </c>
      <c r="E361" s="354" t="s">
        <v>162</v>
      </c>
      <c r="F361" s="355">
        <v>0</v>
      </c>
      <c r="H361" s="354" t="s">
        <v>161</v>
      </c>
      <c r="I361" s="355">
        <v>4</v>
      </c>
    </row>
    <row r="362" spans="2:9" x14ac:dyDescent="0.2">
      <c r="B362" s="354" t="s">
        <v>162</v>
      </c>
      <c r="C362" s="355">
        <v>4</v>
      </c>
      <c r="E362" s="354" t="s">
        <v>164</v>
      </c>
      <c r="F362" s="355">
        <v>2</v>
      </c>
      <c r="H362" s="354" t="s">
        <v>163</v>
      </c>
      <c r="I362" s="355">
        <v>13</v>
      </c>
    </row>
    <row r="363" spans="2:9" x14ac:dyDescent="0.2">
      <c r="B363" s="354" t="s">
        <v>164</v>
      </c>
      <c r="C363" s="355">
        <v>4</v>
      </c>
      <c r="E363" s="354" t="s">
        <v>165</v>
      </c>
      <c r="F363" s="355">
        <v>5</v>
      </c>
      <c r="H363" s="354" t="s">
        <v>164</v>
      </c>
      <c r="I363" s="355">
        <v>1</v>
      </c>
    </row>
    <row r="364" spans="2:9" x14ac:dyDescent="0.2">
      <c r="B364" s="354" t="s">
        <v>165</v>
      </c>
      <c r="C364" s="355">
        <v>88</v>
      </c>
      <c r="E364" s="354" t="s">
        <v>167</v>
      </c>
      <c r="F364" s="355">
        <v>1</v>
      </c>
      <c r="H364" s="354" t="s">
        <v>166</v>
      </c>
      <c r="I364" s="355">
        <v>2</v>
      </c>
    </row>
    <row r="365" spans="2:9" x14ac:dyDescent="0.2">
      <c r="B365" s="354" t="s">
        <v>166</v>
      </c>
      <c r="C365" s="355">
        <v>16</v>
      </c>
      <c r="E365" s="354" t="s">
        <v>168</v>
      </c>
      <c r="F365" s="355">
        <v>15</v>
      </c>
      <c r="H365" s="354" t="s">
        <v>167</v>
      </c>
      <c r="I365" s="355">
        <v>78</v>
      </c>
    </row>
    <row r="366" spans="2:9" x14ac:dyDescent="0.2">
      <c r="B366" s="354" t="s">
        <v>167</v>
      </c>
      <c r="C366" s="355">
        <v>19</v>
      </c>
      <c r="E366" s="354" t="s">
        <v>169</v>
      </c>
      <c r="F366" s="355">
        <v>7</v>
      </c>
      <c r="H366" s="354" t="s">
        <v>168</v>
      </c>
      <c r="I366" s="355">
        <v>19</v>
      </c>
    </row>
    <row r="367" spans="2:9" x14ac:dyDescent="0.2">
      <c r="B367" s="354" t="s">
        <v>168</v>
      </c>
      <c r="C367" s="355">
        <v>13</v>
      </c>
      <c r="E367" s="354" t="s">
        <v>143</v>
      </c>
      <c r="F367" s="355">
        <v>19</v>
      </c>
      <c r="H367" s="354" t="s">
        <v>169</v>
      </c>
      <c r="I367" s="355">
        <v>4</v>
      </c>
    </row>
    <row r="368" spans="2:9" x14ac:dyDescent="0.2">
      <c r="B368" s="354" t="s">
        <v>169</v>
      </c>
      <c r="C368" s="355">
        <v>16</v>
      </c>
      <c r="E368" s="354" t="s">
        <v>171</v>
      </c>
      <c r="F368" s="355">
        <v>57</v>
      </c>
      <c r="H368" s="354" t="s">
        <v>143</v>
      </c>
      <c r="I368" s="355">
        <v>10</v>
      </c>
    </row>
    <row r="369" spans="2:9" x14ac:dyDescent="0.2">
      <c r="B369" s="354" t="s">
        <v>143</v>
      </c>
      <c r="C369" s="355">
        <v>3</v>
      </c>
      <c r="E369" s="354" t="s">
        <v>172</v>
      </c>
      <c r="F369" s="355">
        <v>2</v>
      </c>
      <c r="H369" s="354" t="s">
        <v>171</v>
      </c>
      <c r="I369" s="355">
        <v>8</v>
      </c>
    </row>
    <row r="370" spans="2:9" x14ac:dyDescent="0.2">
      <c r="B370" s="354" t="s">
        <v>171</v>
      </c>
      <c r="C370" s="355">
        <v>49</v>
      </c>
      <c r="E370" s="354" t="s">
        <v>147</v>
      </c>
      <c r="F370" s="355">
        <v>1</v>
      </c>
      <c r="H370" s="354" t="s">
        <v>147</v>
      </c>
      <c r="I370" s="355">
        <v>2</v>
      </c>
    </row>
    <row r="371" spans="2:9" ht="13.5" thickBot="1" x14ac:dyDescent="0.25">
      <c r="B371" s="354" t="s">
        <v>172</v>
      </c>
      <c r="C371" s="355">
        <v>2</v>
      </c>
      <c r="E371" s="354" t="s">
        <v>159</v>
      </c>
      <c r="F371" s="355">
        <v>10</v>
      </c>
      <c r="H371" s="356" t="s">
        <v>282</v>
      </c>
      <c r="I371" s="357">
        <v>145</v>
      </c>
    </row>
    <row r="372" spans="2:9" ht="15" x14ac:dyDescent="0.25">
      <c r="B372" s="354" t="s">
        <v>147</v>
      </c>
      <c r="C372" s="355">
        <v>13</v>
      </c>
      <c r="E372" s="354" t="s">
        <v>166</v>
      </c>
      <c r="F372" s="355">
        <v>6</v>
      </c>
      <c r="H372"/>
      <c r="I372"/>
    </row>
    <row r="373" spans="2:9" ht="15" x14ac:dyDescent="0.25">
      <c r="B373" s="354" t="s">
        <v>160</v>
      </c>
      <c r="C373" s="355">
        <v>1</v>
      </c>
      <c r="E373" s="354" t="s">
        <v>160</v>
      </c>
      <c r="F373" s="355">
        <v>263</v>
      </c>
      <c r="H373"/>
      <c r="I373"/>
    </row>
    <row r="374" spans="2:9" ht="15" x14ac:dyDescent="0.25">
      <c r="B374" s="354" t="s">
        <v>163</v>
      </c>
      <c r="C374" s="355">
        <v>17</v>
      </c>
      <c r="E374" s="354" t="s">
        <v>163</v>
      </c>
      <c r="F374" s="355">
        <v>19</v>
      </c>
      <c r="H374"/>
      <c r="I374"/>
    </row>
    <row r="375" spans="2:9" x14ac:dyDescent="0.2">
      <c r="B375" s="354" t="s">
        <v>170</v>
      </c>
      <c r="C375" s="355">
        <v>213</v>
      </c>
      <c r="E375" s="354" t="s">
        <v>170</v>
      </c>
      <c r="F375" s="355">
        <v>4</v>
      </c>
    </row>
    <row r="376" spans="2:9" ht="13.5" thickBot="1" x14ac:dyDescent="0.25">
      <c r="B376" s="356" t="s">
        <v>282</v>
      </c>
      <c r="C376" s="357">
        <v>508</v>
      </c>
      <c r="E376" s="356" t="s">
        <v>282</v>
      </c>
      <c r="F376" s="357">
        <v>421</v>
      </c>
    </row>
    <row r="383" spans="2:9" ht="13.5" thickBot="1" x14ac:dyDescent="0.25">
      <c r="B383" s="4"/>
      <c r="E383" s="135" t="s">
        <v>345</v>
      </c>
      <c r="H383" s="135" t="s">
        <v>346</v>
      </c>
    </row>
    <row r="384" spans="2:9" ht="13.5" thickBot="1" x14ac:dyDescent="0.25">
      <c r="B384" s="135" t="s">
        <v>224</v>
      </c>
      <c r="E384" s="346" t="s">
        <v>275</v>
      </c>
      <c r="F384" s="347" t="s">
        <v>251</v>
      </c>
      <c r="H384" s="346" t="s">
        <v>275</v>
      </c>
      <c r="I384" s="347" t="s">
        <v>251</v>
      </c>
    </row>
    <row r="385" spans="2:9" ht="13.5" thickBot="1" x14ac:dyDescent="0.25">
      <c r="B385" s="346" t="s">
        <v>250</v>
      </c>
      <c r="C385" s="347" t="s">
        <v>258</v>
      </c>
      <c r="E385" s="346" t="s">
        <v>250</v>
      </c>
      <c r="F385" s="347" t="s">
        <v>272</v>
      </c>
      <c r="H385" s="346" t="s">
        <v>250</v>
      </c>
      <c r="I385" s="347" t="s">
        <v>258</v>
      </c>
    </row>
    <row r="386" spans="2:9" ht="13.5" thickBot="1" x14ac:dyDescent="0.25">
      <c r="B386" s="346" t="s">
        <v>288</v>
      </c>
      <c r="C386" s="347" t="s">
        <v>276</v>
      </c>
      <c r="E386" s="346" t="s">
        <v>288</v>
      </c>
      <c r="F386" s="347" t="s">
        <v>293</v>
      </c>
      <c r="H386" s="346" t="s">
        <v>288</v>
      </c>
      <c r="I386" s="347" t="s">
        <v>293</v>
      </c>
    </row>
    <row r="387" spans="2:9" ht="13.5" thickBot="1" x14ac:dyDescent="0.25">
      <c r="B387" s="346" t="s">
        <v>256</v>
      </c>
      <c r="C387" s="347" t="s">
        <v>251</v>
      </c>
      <c r="E387" s="346" t="s">
        <v>256</v>
      </c>
      <c r="F387" s="347" t="s">
        <v>344</v>
      </c>
      <c r="H387" s="346" t="s">
        <v>256</v>
      </c>
      <c r="I387" s="347" t="s">
        <v>344</v>
      </c>
    </row>
    <row r="388" spans="2:9" ht="13.5" thickBot="1" x14ac:dyDescent="0.25"/>
    <row r="389" spans="2:9" x14ac:dyDescent="0.2">
      <c r="B389" s="348" t="s">
        <v>315</v>
      </c>
      <c r="C389" s="350" t="s">
        <v>253</v>
      </c>
      <c r="E389" s="348" t="s">
        <v>315</v>
      </c>
      <c r="F389" s="350" t="s">
        <v>253</v>
      </c>
      <c r="H389" s="348" t="s">
        <v>315</v>
      </c>
      <c r="I389" s="350" t="s">
        <v>253</v>
      </c>
    </row>
    <row r="390" spans="2:9" x14ac:dyDescent="0.2">
      <c r="B390" s="354" t="s">
        <v>158</v>
      </c>
      <c r="C390" s="355">
        <v>0</v>
      </c>
      <c r="E390" s="354" t="s">
        <v>167</v>
      </c>
      <c r="F390" s="355">
        <v>3</v>
      </c>
      <c r="H390" s="354" t="s">
        <v>140</v>
      </c>
      <c r="I390" s="355">
        <v>2</v>
      </c>
    </row>
    <row r="391" spans="2:9" x14ac:dyDescent="0.2">
      <c r="B391" s="354" t="s">
        <v>140</v>
      </c>
      <c r="C391" s="355">
        <v>6</v>
      </c>
      <c r="E391" s="354" t="s">
        <v>168</v>
      </c>
      <c r="F391" s="355">
        <v>6</v>
      </c>
      <c r="H391" s="354" t="s">
        <v>161</v>
      </c>
      <c r="I391" s="355">
        <v>2</v>
      </c>
    </row>
    <row r="392" spans="2:9" x14ac:dyDescent="0.2">
      <c r="B392" s="354" t="s">
        <v>159</v>
      </c>
      <c r="C392" s="355">
        <v>7</v>
      </c>
      <c r="E392" s="354" t="s">
        <v>169</v>
      </c>
      <c r="F392" s="355">
        <v>4</v>
      </c>
      <c r="H392" s="354" t="s">
        <v>164</v>
      </c>
      <c r="I392" s="355">
        <v>1</v>
      </c>
    </row>
    <row r="393" spans="2:9" x14ac:dyDescent="0.2">
      <c r="B393" s="354" t="s">
        <v>160</v>
      </c>
      <c r="C393" s="355">
        <v>0</v>
      </c>
      <c r="E393" s="354" t="s">
        <v>143</v>
      </c>
      <c r="F393" s="355">
        <v>9</v>
      </c>
      <c r="H393" s="354" t="s">
        <v>165</v>
      </c>
      <c r="I393" s="355">
        <v>1</v>
      </c>
    </row>
    <row r="394" spans="2:9" x14ac:dyDescent="0.2">
      <c r="B394" s="354" t="s">
        <v>161</v>
      </c>
      <c r="C394" s="355">
        <v>4</v>
      </c>
      <c r="E394" s="354" t="s">
        <v>171</v>
      </c>
      <c r="F394" s="355">
        <v>2</v>
      </c>
      <c r="H394" s="354" t="s">
        <v>168</v>
      </c>
      <c r="I394" s="355">
        <v>7</v>
      </c>
    </row>
    <row r="395" spans="2:9" x14ac:dyDescent="0.2">
      <c r="B395" s="354" t="s">
        <v>162</v>
      </c>
      <c r="C395" s="355">
        <v>1</v>
      </c>
      <c r="E395" s="354" t="s">
        <v>166</v>
      </c>
      <c r="F395" s="355">
        <v>2</v>
      </c>
      <c r="H395" s="354" t="s">
        <v>143</v>
      </c>
      <c r="I395" s="355">
        <v>8</v>
      </c>
    </row>
    <row r="396" spans="2:9" x14ac:dyDescent="0.2">
      <c r="B396" s="354" t="s">
        <v>163</v>
      </c>
      <c r="C396" s="355">
        <v>0</v>
      </c>
      <c r="E396" s="354" t="s">
        <v>163</v>
      </c>
      <c r="F396" s="355">
        <v>5</v>
      </c>
      <c r="H396" s="354" t="s">
        <v>172</v>
      </c>
      <c r="I396" s="355">
        <v>1</v>
      </c>
    </row>
    <row r="397" spans="2:9" ht="13.5" thickBot="1" x14ac:dyDescent="0.25">
      <c r="B397" s="354" t="s">
        <v>164</v>
      </c>
      <c r="C397" s="355">
        <v>2</v>
      </c>
      <c r="E397" s="356" t="s">
        <v>282</v>
      </c>
      <c r="F397" s="357">
        <v>31</v>
      </c>
      <c r="H397" s="354" t="s">
        <v>147</v>
      </c>
      <c r="I397" s="355">
        <v>3</v>
      </c>
    </row>
    <row r="398" spans="2:9" ht="15" x14ac:dyDescent="0.25">
      <c r="B398" s="354" t="s">
        <v>165</v>
      </c>
      <c r="C398" s="355">
        <v>-2</v>
      </c>
      <c r="E398"/>
      <c r="F398"/>
      <c r="H398" s="354" t="s">
        <v>159</v>
      </c>
      <c r="I398" s="355">
        <v>14</v>
      </c>
    </row>
    <row r="399" spans="2:9" ht="15" x14ac:dyDescent="0.25">
      <c r="B399" s="354" t="s">
        <v>166</v>
      </c>
      <c r="C399" s="355">
        <v>2</v>
      </c>
      <c r="E399" s="3"/>
      <c r="F399" s="3"/>
      <c r="H399" s="354" t="s">
        <v>166</v>
      </c>
      <c r="I399" s="355">
        <v>1</v>
      </c>
    </row>
    <row r="400" spans="2:9" ht="15" x14ac:dyDescent="0.25">
      <c r="B400" s="354" t="s">
        <v>168</v>
      </c>
      <c r="C400" s="355">
        <v>2</v>
      </c>
      <c r="E400" s="3"/>
      <c r="F400" s="3"/>
      <c r="H400" s="354" t="s">
        <v>170</v>
      </c>
      <c r="I400" s="355">
        <v>1</v>
      </c>
    </row>
    <row r="401" spans="2:11" ht="15.75" thickBot="1" x14ac:dyDescent="0.3">
      <c r="B401" s="354" t="s">
        <v>169</v>
      </c>
      <c r="C401" s="355">
        <v>12</v>
      </c>
      <c r="E401" s="3"/>
      <c r="F401" s="3"/>
      <c r="H401" s="356" t="s">
        <v>282</v>
      </c>
      <c r="I401" s="357">
        <v>41</v>
      </c>
    </row>
    <row r="402" spans="2:11" ht="15" x14ac:dyDescent="0.25">
      <c r="B402" s="354" t="s">
        <v>170</v>
      </c>
      <c r="C402" s="355">
        <v>4</v>
      </c>
      <c r="H402"/>
      <c r="I402"/>
    </row>
    <row r="403" spans="2:11" ht="15" x14ac:dyDescent="0.25">
      <c r="B403" s="354" t="s">
        <v>143</v>
      </c>
      <c r="C403" s="355">
        <v>2</v>
      </c>
      <c r="H403" s="3"/>
      <c r="I403" s="3"/>
    </row>
    <row r="404" spans="2:11" x14ac:dyDescent="0.2">
      <c r="B404" s="354" t="s">
        <v>171</v>
      </c>
      <c r="C404" s="355">
        <v>4</v>
      </c>
    </row>
    <row r="405" spans="2:11" x14ac:dyDescent="0.2">
      <c r="B405" s="354" t="s">
        <v>172</v>
      </c>
      <c r="C405" s="355">
        <v>-5</v>
      </c>
    </row>
    <row r="406" spans="2:11" ht="13.5" thickBot="1" x14ac:dyDescent="0.25">
      <c r="B406" s="356" t="s">
        <v>282</v>
      </c>
      <c r="C406" s="357">
        <v>39</v>
      </c>
    </row>
    <row r="407" spans="2:11" ht="15" x14ac:dyDescent="0.25">
      <c r="B407" s="3"/>
      <c r="C407" s="3"/>
    </row>
    <row r="408" spans="2:11" ht="15" x14ac:dyDescent="0.25">
      <c r="B408" s="3"/>
      <c r="C408" s="3"/>
    </row>
    <row r="411" spans="2:11" ht="15.75" thickBot="1" x14ac:dyDescent="0.3">
      <c r="B411" s="180" t="s">
        <v>347</v>
      </c>
      <c r="C411" s="3"/>
    </row>
    <row r="412" spans="2:11" ht="13.5" thickBot="1" x14ac:dyDescent="0.25">
      <c r="B412" s="346" t="s">
        <v>250</v>
      </c>
      <c r="C412" s="347" t="s">
        <v>251</v>
      </c>
    </row>
    <row r="413" spans="2:11" ht="13.5" thickBot="1" x14ac:dyDescent="0.25">
      <c r="B413" s="346" t="s">
        <v>275</v>
      </c>
      <c r="C413" s="347" t="s">
        <v>251</v>
      </c>
    </row>
    <row r="414" spans="2:11" ht="13.5" thickBot="1" x14ac:dyDescent="0.25"/>
    <row r="415" spans="2:11" x14ac:dyDescent="0.2">
      <c r="B415" s="348" t="s">
        <v>262</v>
      </c>
      <c r="C415" s="349" t="s">
        <v>263</v>
      </c>
      <c r="D415" s="349" t="s">
        <v>264</v>
      </c>
      <c r="E415" s="349" t="s">
        <v>265</v>
      </c>
      <c r="F415" s="349" t="s">
        <v>266</v>
      </c>
      <c r="G415" s="349" t="s">
        <v>267</v>
      </c>
      <c r="H415" s="349" t="s">
        <v>268</v>
      </c>
      <c r="I415" s="349" t="s">
        <v>269</v>
      </c>
      <c r="J415" s="349" t="s">
        <v>270</v>
      </c>
      <c r="K415" s="350" t="s">
        <v>271</v>
      </c>
    </row>
    <row r="416" spans="2:11" ht="13.5" thickBot="1" x14ac:dyDescent="0.25">
      <c r="B416" s="351">
        <v>239</v>
      </c>
      <c r="C416" s="352">
        <v>405.95</v>
      </c>
      <c r="D416" s="352">
        <v>560.21666666666681</v>
      </c>
      <c r="E416" s="352">
        <v>703.41666666666674</v>
      </c>
      <c r="F416" s="352">
        <v>1157.4166666666665</v>
      </c>
      <c r="G416" s="352">
        <v>845</v>
      </c>
      <c r="H416" s="352">
        <v>324</v>
      </c>
      <c r="I416" s="352">
        <v>461</v>
      </c>
      <c r="J416" s="352">
        <v>399</v>
      </c>
      <c r="K416" s="353">
        <v>361</v>
      </c>
    </row>
    <row r="420" spans="2:14" ht="13.5" thickBot="1" x14ac:dyDescent="0.25">
      <c r="B420" s="180" t="s">
        <v>348</v>
      </c>
      <c r="C420" s="2"/>
    </row>
    <row r="421" spans="2:14" ht="13.5" thickBot="1" x14ac:dyDescent="0.25">
      <c r="B421" s="346" t="s">
        <v>250</v>
      </c>
      <c r="C421" s="347" t="s">
        <v>251</v>
      </c>
    </row>
    <row r="422" spans="2:14" ht="13.5" thickBot="1" x14ac:dyDescent="0.25"/>
    <row r="423" spans="2:14" x14ac:dyDescent="0.2">
      <c r="B423" s="348" t="s">
        <v>262</v>
      </c>
      <c r="C423" s="349" t="s">
        <v>263</v>
      </c>
      <c r="D423" s="349" t="s">
        <v>264</v>
      </c>
      <c r="E423" s="349" t="s">
        <v>265</v>
      </c>
      <c r="F423" s="349" t="s">
        <v>266</v>
      </c>
      <c r="G423" s="349" t="s">
        <v>267</v>
      </c>
      <c r="H423" s="349" t="s">
        <v>268</v>
      </c>
      <c r="I423" s="349" t="s">
        <v>269</v>
      </c>
      <c r="J423" s="349" t="s">
        <v>270</v>
      </c>
      <c r="K423" s="350" t="s">
        <v>271</v>
      </c>
    </row>
    <row r="424" spans="2:14" ht="13.5" thickBot="1" x14ac:dyDescent="0.25">
      <c r="B424" s="351"/>
      <c r="C424" s="352">
        <v>2.7999999999999972</v>
      </c>
      <c r="D424" s="352">
        <v>-8.8666666666666707</v>
      </c>
      <c r="E424" s="352">
        <v>34.333333333333329</v>
      </c>
      <c r="F424" s="352">
        <v>34.333333333333329</v>
      </c>
      <c r="G424" s="352"/>
      <c r="H424" s="352"/>
      <c r="I424" s="352"/>
      <c r="J424" s="352"/>
      <c r="K424" s="353"/>
    </row>
    <row r="425" spans="2:14" ht="15" x14ac:dyDescent="0.25">
      <c r="B425"/>
      <c r="C425"/>
      <c r="D425"/>
      <c r="E425"/>
      <c r="F425"/>
      <c r="G425"/>
      <c r="H425"/>
      <c r="I425"/>
      <c r="J425"/>
      <c r="K425"/>
    </row>
    <row r="426" spans="2:14" ht="15" x14ac:dyDescent="0.25">
      <c r="B426"/>
      <c r="C426"/>
      <c r="D426"/>
      <c r="E426"/>
      <c r="F426"/>
      <c r="G426"/>
      <c r="H426"/>
      <c r="I426"/>
      <c r="J426"/>
      <c r="K426"/>
    </row>
    <row r="427" spans="2:14" ht="15" x14ac:dyDescent="0.25">
      <c r="B427"/>
      <c r="C427"/>
      <c r="D427"/>
      <c r="E427"/>
      <c r="F427"/>
      <c r="G427"/>
      <c r="H427"/>
      <c r="I427"/>
      <c r="J427"/>
      <c r="K427"/>
    </row>
    <row r="428" spans="2:14" ht="15" x14ac:dyDescent="0.25">
      <c r="B428"/>
      <c r="C428"/>
      <c r="D428"/>
      <c r="E428"/>
      <c r="F428"/>
      <c r="G428"/>
      <c r="H428"/>
      <c r="I428"/>
      <c r="J428"/>
    </row>
    <row r="429" spans="2:14" ht="13.5" thickBot="1" x14ac:dyDescent="0.25">
      <c r="B429" s="180" t="s">
        <v>349</v>
      </c>
    </row>
    <row r="430" spans="2:14" ht="13.5" thickBot="1" x14ac:dyDescent="0.25">
      <c r="B430" s="346" t="s">
        <v>250</v>
      </c>
      <c r="C430" s="347" t="s">
        <v>251</v>
      </c>
    </row>
    <row r="431" spans="2:14" ht="13.5" thickBot="1" x14ac:dyDescent="0.25"/>
    <row r="432" spans="2:14" ht="15" x14ac:dyDescent="0.25">
      <c r="B432" s="348" t="s">
        <v>315</v>
      </c>
      <c r="C432" s="349" t="s">
        <v>262</v>
      </c>
      <c r="D432" s="349" t="s">
        <v>263</v>
      </c>
      <c r="E432" s="349" t="s">
        <v>264</v>
      </c>
      <c r="F432" s="349" t="s">
        <v>265</v>
      </c>
      <c r="G432" s="349" t="s">
        <v>266</v>
      </c>
      <c r="H432" s="349" t="s">
        <v>267</v>
      </c>
      <c r="I432" s="349" t="s">
        <v>268</v>
      </c>
      <c r="J432" s="349" t="s">
        <v>269</v>
      </c>
      <c r="K432" s="349" t="s">
        <v>270</v>
      </c>
      <c r="L432" s="349" t="s">
        <v>271</v>
      </c>
      <c r="M432" s="350" t="s">
        <v>286</v>
      </c>
      <c r="N432"/>
    </row>
    <row r="433" spans="2:14" ht="15" x14ac:dyDescent="0.25">
      <c r="B433" s="354" t="s">
        <v>159</v>
      </c>
      <c r="C433" s="45"/>
      <c r="D433" s="45"/>
      <c r="E433" s="45">
        <v>33.333333333333336</v>
      </c>
      <c r="F433" s="45">
        <v>33.333333333333336</v>
      </c>
      <c r="G433" s="45">
        <v>33.333333333333336</v>
      </c>
      <c r="H433" s="45"/>
      <c r="I433" s="45"/>
      <c r="J433" s="45"/>
      <c r="K433" s="45"/>
      <c r="L433" s="45"/>
      <c r="M433" s="360">
        <v>100</v>
      </c>
      <c r="N433"/>
    </row>
    <row r="434" spans="2:14" ht="15" x14ac:dyDescent="0.25">
      <c r="B434" s="354" t="s">
        <v>163</v>
      </c>
      <c r="C434" s="45"/>
      <c r="D434" s="45">
        <v>35</v>
      </c>
      <c r="E434" s="45">
        <v>35</v>
      </c>
      <c r="F434" s="45"/>
      <c r="G434" s="45"/>
      <c r="H434" s="45"/>
      <c r="I434" s="45"/>
      <c r="J434" s="45"/>
      <c r="K434" s="45"/>
      <c r="L434" s="45"/>
      <c r="M434" s="360">
        <v>70</v>
      </c>
      <c r="N434"/>
    </row>
    <row r="435" spans="2:14" ht="15" x14ac:dyDescent="0.25">
      <c r="B435" s="354" t="s">
        <v>166</v>
      </c>
      <c r="C435" s="45"/>
      <c r="D435" s="45"/>
      <c r="E435" s="45">
        <v>35.666666666666664</v>
      </c>
      <c r="F435" s="45">
        <v>35.666666666666664</v>
      </c>
      <c r="G435" s="45">
        <v>390.66666666666669</v>
      </c>
      <c r="H435" s="45">
        <v>693</v>
      </c>
      <c r="I435" s="45"/>
      <c r="J435" s="45">
        <v>23</v>
      </c>
      <c r="K435" s="45"/>
      <c r="L435" s="45"/>
      <c r="M435" s="360">
        <v>1178</v>
      </c>
      <c r="N435"/>
    </row>
    <row r="436" spans="2:14" ht="15" x14ac:dyDescent="0.25">
      <c r="B436" s="354" t="s">
        <v>167</v>
      </c>
      <c r="C436" s="45"/>
      <c r="D436" s="45"/>
      <c r="E436" s="45"/>
      <c r="F436" s="45">
        <v>226.5</v>
      </c>
      <c r="G436" s="45">
        <v>226.5</v>
      </c>
      <c r="H436" s="45">
        <v>50</v>
      </c>
      <c r="I436" s="45">
        <v>50</v>
      </c>
      <c r="J436" s="45">
        <v>50</v>
      </c>
      <c r="K436" s="45">
        <v>50</v>
      </c>
      <c r="L436" s="45">
        <v>50</v>
      </c>
      <c r="M436" s="360">
        <v>703</v>
      </c>
      <c r="N436"/>
    </row>
    <row r="437" spans="2:14" ht="15" x14ac:dyDescent="0.25">
      <c r="B437" s="354" t="s">
        <v>169</v>
      </c>
      <c r="C437" s="45"/>
      <c r="D437" s="45"/>
      <c r="E437" s="45">
        <v>38.666666666666664</v>
      </c>
      <c r="F437" s="45">
        <v>38.666666666666664</v>
      </c>
      <c r="G437" s="45">
        <v>38.666666666666664</v>
      </c>
      <c r="H437" s="45"/>
      <c r="I437" s="45"/>
      <c r="J437" s="45"/>
      <c r="K437" s="45"/>
      <c r="L437" s="45"/>
      <c r="M437" s="360">
        <v>116</v>
      </c>
      <c r="N437"/>
    </row>
    <row r="438" spans="2:14" ht="15" x14ac:dyDescent="0.25">
      <c r="B438" s="354" t="s">
        <v>143</v>
      </c>
      <c r="C438" s="45"/>
      <c r="D438" s="45"/>
      <c r="E438" s="45"/>
      <c r="F438" s="45"/>
      <c r="G438" s="45">
        <v>20</v>
      </c>
      <c r="H438" s="45"/>
      <c r="I438" s="45">
        <v>5</v>
      </c>
      <c r="J438" s="45">
        <v>5</v>
      </c>
      <c r="K438" s="45">
        <v>5</v>
      </c>
      <c r="L438" s="45">
        <v>5</v>
      </c>
      <c r="M438" s="360">
        <v>40</v>
      </c>
      <c r="N438"/>
    </row>
    <row r="439" spans="2:14" ht="15" x14ac:dyDescent="0.25">
      <c r="B439" s="354" t="s">
        <v>171</v>
      </c>
      <c r="C439" s="45"/>
      <c r="D439" s="45"/>
      <c r="E439" s="45"/>
      <c r="F439" s="45">
        <v>10</v>
      </c>
      <c r="G439" s="45">
        <v>10</v>
      </c>
      <c r="H439" s="45"/>
      <c r="I439" s="45"/>
      <c r="J439" s="45"/>
      <c r="K439" s="45"/>
      <c r="L439" s="45"/>
      <c r="M439" s="360">
        <v>20</v>
      </c>
      <c r="N439"/>
    </row>
    <row r="440" spans="2:14" ht="15" x14ac:dyDescent="0.25">
      <c r="B440" s="354" t="s">
        <v>147</v>
      </c>
      <c r="C440" s="45"/>
      <c r="D440" s="45"/>
      <c r="E440" s="45"/>
      <c r="F440" s="45">
        <v>10</v>
      </c>
      <c r="G440" s="45">
        <v>10</v>
      </c>
      <c r="H440" s="45"/>
      <c r="I440" s="45"/>
      <c r="J440" s="45"/>
      <c r="K440" s="45"/>
      <c r="L440" s="45"/>
      <c r="M440" s="360">
        <v>20</v>
      </c>
      <c r="N440"/>
    </row>
    <row r="441" spans="2:14" ht="15" x14ac:dyDescent="0.25">
      <c r="B441" s="354" t="s">
        <v>350</v>
      </c>
      <c r="C441" s="45">
        <v>20</v>
      </c>
      <c r="D441" s="45">
        <v>20</v>
      </c>
      <c r="E441" s="45">
        <v>234</v>
      </c>
      <c r="F441" s="45">
        <v>234</v>
      </c>
      <c r="G441" s="45">
        <v>234</v>
      </c>
      <c r="H441" s="45">
        <v>234</v>
      </c>
      <c r="I441" s="45">
        <v>234</v>
      </c>
      <c r="J441" s="45">
        <v>234</v>
      </c>
      <c r="K441" s="45">
        <v>306</v>
      </c>
      <c r="L441" s="45">
        <v>306</v>
      </c>
      <c r="M441" s="360">
        <v>2056</v>
      </c>
      <c r="N441"/>
    </row>
    <row r="442" spans="2:14" ht="15.75" thickBot="1" x14ac:dyDescent="0.3">
      <c r="B442" s="356" t="s">
        <v>282</v>
      </c>
      <c r="C442" s="361">
        <v>20</v>
      </c>
      <c r="D442" s="361">
        <v>55</v>
      </c>
      <c r="E442" s="361">
        <v>376.66666666666663</v>
      </c>
      <c r="F442" s="361">
        <v>588.16666666666674</v>
      </c>
      <c r="G442" s="361">
        <v>963.16666666666663</v>
      </c>
      <c r="H442" s="361">
        <v>977</v>
      </c>
      <c r="I442" s="361">
        <v>289</v>
      </c>
      <c r="J442" s="361">
        <v>312</v>
      </c>
      <c r="K442" s="361">
        <v>361</v>
      </c>
      <c r="L442" s="361">
        <v>361</v>
      </c>
      <c r="M442" s="362">
        <v>4303</v>
      </c>
      <c r="N442"/>
    </row>
    <row r="443" spans="2:14" ht="15" x14ac:dyDescent="0.25">
      <c r="B443" s="3"/>
      <c r="C443" s="3"/>
      <c r="D443" s="3"/>
      <c r="E443" s="3"/>
      <c r="F443" s="3"/>
      <c r="G443" s="3"/>
      <c r="H443" s="3"/>
    </row>
    <row r="444" spans="2:14" ht="15" x14ac:dyDescent="0.25">
      <c r="B444" s="3"/>
      <c r="C444" s="3"/>
      <c r="D444" s="3"/>
      <c r="E444" s="3"/>
      <c r="F444" s="3"/>
      <c r="G444" s="3"/>
      <c r="H444" s="3"/>
    </row>
    <row r="445" spans="2:14" x14ac:dyDescent="0.2">
      <c r="B445" s="133"/>
      <c r="C445" s="45"/>
      <c r="D445" s="45"/>
      <c r="E445" s="45"/>
      <c r="F445" s="45"/>
      <c r="G445" s="45"/>
      <c r="H445" s="45"/>
    </row>
    <row r="450" spans="1:9" x14ac:dyDescent="0.2">
      <c r="A450" s="323"/>
    </row>
    <row r="451" spans="1:9" x14ac:dyDescent="0.2">
      <c r="A451" s="323"/>
      <c r="B451" s="135" t="s">
        <v>351</v>
      </c>
      <c r="E451" s="135" t="s">
        <v>352</v>
      </c>
    </row>
    <row r="452" spans="1:9" x14ac:dyDescent="0.2">
      <c r="A452" s="323"/>
      <c r="B452" s="367" t="s">
        <v>275</v>
      </c>
      <c r="C452" s="368" t="s">
        <v>251</v>
      </c>
      <c r="E452" s="367" t="s">
        <v>275</v>
      </c>
      <c r="F452" s="368" t="s">
        <v>251</v>
      </c>
      <c r="H452" s="135" t="s">
        <v>353</v>
      </c>
    </row>
    <row r="453" spans="1:9" x14ac:dyDescent="0.2">
      <c r="A453" s="323"/>
      <c r="B453" s="367" t="s">
        <v>250</v>
      </c>
      <c r="C453" s="368" t="s">
        <v>272</v>
      </c>
      <c r="E453" s="367" t="s">
        <v>250</v>
      </c>
      <c r="F453" s="368" t="s">
        <v>258</v>
      </c>
      <c r="H453" s="367" t="s">
        <v>275</v>
      </c>
      <c r="I453" s="368" t="s">
        <v>251</v>
      </c>
    </row>
    <row r="454" spans="1:9" x14ac:dyDescent="0.2">
      <c r="A454" s="323"/>
      <c r="B454" s="367" t="s">
        <v>288</v>
      </c>
      <c r="C454" s="368" t="s">
        <v>344</v>
      </c>
      <c r="E454" s="367" t="s">
        <v>288</v>
      </c>
      <c r="F454" s="368" t="s">
        <v>344</v>
      </c>
      <c r="H454" s="367" t="s">
        <v>250</v>
      </c>
      <c r="I454" s="368" t="s">
        <v>272</v>
      </c>
    </row>
    <row r="455" spans="1:9" x14ac:dyDescent="0.2">
      <c r="A455" s="323"/>
      <c r="B455" s="367" t="s">
        <v>256</v>
      </c>
      <c r="C455" s="368" t="s">
        <v>251</v>
      </c>
      <c r="E455" s="367" t="s">
        <v>256</v>
      </c>
      <c r="F455" s="368" t="s">
        <v>251</v>
      </c>
      <c r="H455" s="367" t="s">
        <v>288</v>
      </c>
      <c r="I455" s="368" t="s">
        <v>344</v>
      </c>
    </row>
    <row r="456" spans="1:9" x14ac:dyDescent="0.2">
      <c r="A456" s="323"/>
      <c r="H456" s="367" t="s">
        <v>256</v>
      </c>
      <c r="I456" s="368" t="s">
        <v>251</v>
      </c>
    </row>
    <row r="457" spans="1:9" x14ac:dyDescent="0.2">
      <c r="A457" s="323"/>
      <c r="B457" s="374" t="s">
        <v>315</v>
      </c>
      <c r="C457" s="374" t="s">
        <v>253</v>
      </c>
      <c r="E457" s="374" t="s">
        <v>315</v>
      </c>
      <c r="F457" s="374" t="s">
        <v>253</v>
      </c>
    </row>
    <row r="458" spans="1:9" x14ac:dyDescent="0.2">
      <c r="A458" s="323"/>
      <c r="B458" s="375" t="s">
        <v>181</v>
      </c>
      <c r="C458" s="371">
        <v>20</v>
      </c>
      <c r="E458" s="375" t="s">
        <v>181</v>
      </c>
      <c r="F458" s="371">
        <v>11</v>
      </c>
      <c r="H458" s="374" t="s">
        <v>315</v>
      </c>
      <c r="I458" s="374" t="s">
        <v>253</v>
      </c>
    </row>
    <row r="459" spans="1:9" x14ac:dyDescent="0.2">
      <c r="A459" s="323"/>
      <c r="B459" s="376" t="s">
        <v>182</v>
      </c>
      <c r="C459" s="372">
        <v>1</v>
      </c>
      <c r="E459" s="376" t="s">
        <v>182</v>
      </c>
      <c r="F459" s="372">
        <v>263</v>
      </c>
      <c r="H459" s="375" t="s">
        <v>181</v>
      </c>
      <c r="I459" s="371">
        <v>3</v>
      </c>
    </row>
    <row r="460" spans="1:9" x14ac:dyDescent="0.2">
      <c r="A460" s="323"/>
      <c r="B460" s="376" t="s">
        <v>141</v>
      </c>
      <c r="C460" s="372">
        <v>120</v>
      </c>
      <c r="E460" s="376" t="s">
        <v>141</v>
      </c>
      <c r="F460" s="372">
        <v>21</v>
      </c>
      <c r="H460" s="376" t="s">
        <v>182</v>
      </c>
      <c r="I460" s="372">
        <v>1</v>
      </c>
    </row>
    <row r="461" spans="1:9" x14ac:dyDescent="0.2">
      <c r="A461" s="323"/>
      <c r="B461" s="376" t="s">
        <v>183</v>
      </c>
      <c r="C461" s="372">
        <v>70</v>
      </c>
      <c r="E461" s="376" t="s">
        <v>183</v>
      </c>
      <c r="F461" s="372">
        <v>53</v>
      </c>
      <c r="H461" s="376" t="s">
        <v>141</v>
      </c>
      <c r="I461" s="372">
        <v>97</v>
      </c>
    </row>
    <row r="462" spans="1:9" x14ac:dyDescent="0.2">
      <c r="A462" s="323"/>
      <c r="B462" s="376" t="s">
        <v>145</v>
      </c>
      <c r="C462" s="372">
        <v>280</v>
      </c>
      <c r="E462" s="376" t="s">
        <v>145</v>
      </c>
      <c r="F462" s="372">
        <v>70</v>
      </c>
      <c r="H462" s="376" t="s">
        <v>183</v>
      </c>
      <c r="I462" s="372">
        <v>29</v>
      </c>
    </row>
    <row r="463" spans="1:9" x14ac:dyDescent="0.2">
      <c r="A463" s="323"/>
      <c r="B463" s="377" t="s">
        <v>147</v>
      </c>
      <c r="C463" s="372">
        <v>17</v>
      </c>
      <c r="E463" s="377" t="s">
        <v>147</v>
      </c>
      <c r="F463" s="372">
        <v>3</v>
      </c>
      <c r="H463" s="376" t="s">
        <v>145</v>
      </c>
      <c r="I463" s="372">
        <v>12</v>
      </c>
    </row>
    <row r="464" spans="1:9" x14ac:dyDescent="0.2">
      <c r="A464" s="323"/>
      <c r="B464" s="378" t="s">
        <v>282</v>
      </c>
      <c r="C464" s="373">
        <v>508</v>
      </c>
      <c r="E464" s="378" t="s">
        <v>282</v>
      </c>
      <c r="F464" s="373">
        <v>421</v>
      </c>
      <c r="H464" s="377" t="s">
        <v>147</v>
      </c>
      <c r="I464" s="372">
        <v>3</v>
      </c>
    </row>
    <row r="465" spans="1:10" ht="15" x14ac:dyDescent="0.25">
      <c r="A465" s="323"/>
      <c r="B465"/>
      <c r="C465"/>
      <c r="E465"/>
      <c r="F465"/>
      <c r="H465" s="378" t="s">
        <v>282</v>
      </c>
      <c r="I465" s="373">
        <v>145</v>
      </c>
    </row>
    <row r="466" spans="1:10" ht="15" x14ac:dyDescent="0.25">
      <c r="A466" s="323"/>
      <c r="B466"/>
      <c r="C466"/>
      <c r="E466"/>
      <c r="F466"/>
      <c r="H466"/>
      <c r="I466"/>
      <c r="J466"/>
    </row>
    <row r="467" spans="1:10" ht="15" x14ac:dyDescent="0.25">
      <c r="A467" s="323"/>
      <c r="B467"/>
      <c r="C467"/>
      <c r="E467"/>
      <c r="F467"/>
      <c r="H467"/>
      <c r="I467"/>
      <c r="J467"/>
    </row>
    <row r="468" spans="1:10" ht="15" x14ac:dyDescent="0.25">
      <c r="A468" s="323"/>
      <c r="B468"/>
      <c r="C468"/>
      <c r="E468"/>
      <c r="F468"/>
      <c r="H468"/>
      <c r="I468"/>
      <c r="J468"/>
    </row>
    <row r="469" spans="1:10" x14ac:dyDescent="0.2">
      <c r="A469" s="323"/>
    </row>
    <row r="470" spans="1:10" x14ac:dyDescent="0.2">
      <c r="A470" s="323"/>
    </row>
    <row r="471" spans="1:10" x14ac:dyDescent="0.2">
      <c r="A471" s="323"/>
    </row>
    <row r="472" spans="1:10" x14ac:dyDescent="0.2">
      <c r="A472" s="323"/>
      <c r="B472" s="4"/>
      <c r="H472" s="135" t="s">
        <v>354</v>
      </c>
    </row>
    <row r="473" spans="1:10" x14ac:dyDescent="0.2">
      <c r="A473" s="323"/>
      <c r="B473" s="135" t="s">
        <v>355</v>
      </c>
      <c r="H473" s="367" t="s">
        <v>275</v>
      </c>
      <c r="I473" s="368" t="s">
        <v>251</v>
      </c>
    </row>
    <row r="474" spans="1:10" x14ac:dyDescent="0.2">
      <c r="A474" s="323"/>
      <c r="B474" s="367" t="s">
        <v>250</v>
      </c>
      <c r="C474" s="368" t="s">
        <v>258</v>
      </c>
      <c r="H474" s="367" t="s">
        <v>250</v>
      </c>
      <c r="I474" s="368" t="s">
        <v>258</v>
      </c>
    </row>
    <row r="475" spans="1:10" x14ac:dyDescent="0.2">
      <c r="A475" s="323"/>
      <c r="B475" s="367" t="s">
        <v>288</v>
      </c>
      <c r="C475" s="368" t="s">
        <v>276</v>
      </c>
      <c r="H475" s="367" t="s">
        <v>288</v>
      </c>
      <c r="I475" s="368" t="s">
        <v>293</v>
      </c>
    </row>
    <row r="476" spans="1:10" x14ac:dyDescent="0.2">
      <c r="A476" s="323"/>
      <c r="B476" s="367" t="s">
        <v>256</v>
      </c>
      <c r="C476" s="368" t="s">
        <v>251</v>
      </c>
      <c r="H476" s="367" t="s">
        <v>256</v>
      </c>
      <c r="I476" s="368" t="s">
        <v>344</v>
      </c>
    </row>
    <row r="477" spans="1:10" x14ac:dyDescent="0.2">
      <c r="A477" s="323"/>
    </row>
    <row r="478" spans="1:10" ht="15" x14ac:dyDescent="0.25">
      <c r="A478" s="323"/>
      <c r="B478" s="374" t="s">
        <v>315</v>
      </c>
      <c r="C478" s="374" t="s">
        <v>253</v>
      </c>
      <c r="E478"/>
      <c r="F478"/>
      <c r="H478" s="374" t="s">
        <v>315</v>
      </c>
      <c r="I478" s="374" t="s">
        <v>253</v>
      </c>
    </row>
    <row r="479" spans="1:10" ht="15" x14ac:dyDescent="0.25">
      <c r="A479" s="323"/>
      <c r="B479" s="375" t="s">
        <v>181</v>
      </c>
      <c r="C479" s="371">
        <v>8</v>
      </c>
      <c r="E479"/>
      <c r="F479"/>
      <c r="H479" s="375" t="s">
        <v>181</v>
      </c>
      <c r="I479" s="371">
        <v>3</v>
      </c>
    </row>
    <row r="480" spans="1:10" ht="15" x14ac:dyDescent="0.25">
      <c r="A480" s="323"/>
      <c r="B480" s="376" t="s">
        <v>182</v>
      </c>
      <c r="C480" s="372">
        <v>0</v>
      </c>
      <c r="E480"/>
      <c r="F480"/>
      <c r="H480" s="376" t="s">
        <v>141</v>
      </c>
      <c r="I480" s="372">
        <v>8</v>
      </c>
    </row>
    <row r="481" spans="1:10" ht="15" x14ac:dyDescent="0.25">
      <c r="A481" s="323"/>
      <c r="B481" s="376" t="s">
        <v>141</v>
      </c>
      <c r="C481" s="372">
        <v>0</v>
      </c>
      <c r="E481"/>
      <c r="F481"/>
      <c r="H481" s="376" t="s">
        <v>183</v>
      </c>
      <c r="I481" s="372">
        <v>24</v>
      </c>
    </row>
    <row r="482" spans="1:10" ht="15" x14ac:dyDescent="0.25">
      <c r="A482" s="323"/>
      <c r="B482" s="376" t="s">
        <v>183</v>
      </c>
      <c r="C482" s="372">
        <v>14</v>
      </c>
      <c r="E482"/>
      <c r="F482"/>
      <c r="H482" s="376" t="s">
        <v>145</v>
      </c>
      <c r="I482" s="372">
        <v>2</v>
      </c>
    </row>
    <row r="483" spans="1:10" ht="15" x14ac:dyDescent="0.25">
      <c r="A483" s="323"/>
      <c r="B483" s="376" t="s">
        <v>145</v>
      </c>
      <c r="C483" s="372">
        <v>15</v>
      </c>
      <c r="E483"/>
      <c r="F483"/>
      <c r="H483" s="377" t="s">
        <v>147</v>
      </c>
      <c r="I483" s="372">
        <v>4</v>
      </c>
    </row>
    <row r="484" spans="1:10" ht="15" x14ac:dyDescent="0.25">
      <c r="A484" s="323"/>
      <c r="B484" s="377" t="s">
        <v>147</v>
      </c>
      <c r="C484" s="372">
        <v>2</v>
      </c>
      <c r="E484"/>
      <c r="F484"/>
      <c r="H484" s="378" t="s">
        <v>282</v>
      </c>
      <c r="I484" s="373">
        <v>41</v>
      </c>
    </row>
    <row r="485" spans="1:10" ht="15" x14ac:dyDescent="0.25">
      <c r="A485" s="323"/>
      <c r="B485" s="378" t="s">
        <v>282</v>
      </c>
      <c r="C485" s="373">
        <v>39</v>
      </c>
      <c r="E485"/>
      <c r="F485"/>
      <c r="H485"/>
      <c r="I485"/>
      <c r="J485"/>
    </row>
    <row r="486" spans="1:10" ht="15" x14ac:dyDescent="0.25">
      <c r="A486" s="323"/>
      <c r="B486"/>
      <c r="C486"/>
      <c r="E486"/>
      <c r="F486"/>
      <c r="H486"/>
      <c r="I486"/>
      <c r="J486"/>
    </row>
    <row r="487" spans="1:10" ht="15" x14ac:dyDescent="0.25">
      <c r="A487" s="323"/>
      <c r="B487"/>
      <c r="C487"/>
      <c r="E487"/>
      <c r="F487"/>
      <c r="H487"/>
      <c r="I487"/>
      <c r="J487"/>
    </row>
    <row r="488" spans="1:10" ht="15" x14ac:dyDescent="0.25">
      <c r="B488"/>
      <c r="C488"/>
      <c r="E488" s="3"/>
      <c r="F488" s="3"/>
      <c r="H488"/>
      <c r="I488"/>
    </row>
    <row r="489" spans="1:10" ht="15" x14ac:dyDescent="0.25">
      <c r="B489"/>
      <c r="C489"/>
      <c r="E489" s="3"/>
      <c r="F489" s="3"/>
      <c r="H489"/>
      <c r="I489"/>
    </row>
    <row r="490" spans="1:10" ht="15" x14ac:dyDescent="0.25">
      <c r="B490"/>
      <c r="C490"/>
      <c r="E490" s="3"/>
      <c r="F490" s="3"/>
      <c r="H490"/>
      <c r="I490"/>
    </row>
    <row r="491" spans="1:10" ht="15" x14ac:dyDescent="0.25">
      <c r="B491"/>
      <c r="C491"/>
      <c r="E491" s="3"/>
      <c r="F491" s="3"/>
      <c r="H491"/>
      <c r="I491"/>
    </row>
    <row r="493" spans="1:10" x14ac:dyDescent="0.2">
      <c r="A493" s="323"/>
    </row>
    <row r="494" spans="1:10" x14ac:dyDescent="0.2">
      <c r="A494" s="323"/>
      <c r="B494" s="135" t="s">
        <v>356</v>
      </c>
      <c r="E494" s="135" t="s">
        <v>357</v>
      </c>
    </row>
    <row r="495" spans="1:10" x14ac:dyDescent="0.2">
      <c r="A495" s="323"/>
      <c r="B495" s="367" t="s">
        <v>275</v>
      </c>
      <c r="C495" s="368" t="s">
        <v>251</v>
      </c>
      <c r="E495" s="367" t="s">
        <v>275</v>
      </c>
      <c r="F495" s="368" t="s">
        <v>251</v>
      </c>
      <c r="H495" s="135" t="s">
        <v>358</v>
      </c>
    </row>
    <row r="496" spans="1:10" x14ac:dyDescent="0.2">
      <c r="A496" s="323"/>
      <c r="B496" s="367" t="s">
        <v>250</v>
      </c>
      <c r="C496" s="368" t="s">
        <v>272</v>
      </c>
      <c r="E496" s="367" t="s">
        <v>250</v>
      </c>
      <c r="F496" s="368" t="s">
        <v>258</v>
      </c>
      <c r="H496" s="367" t="s">
        <v>275</v>
      </c>
      <c r="I496" s="368" t="s">
        <v>251</v>
      </c>
    </row>
    <row r="497" spans="1:9" x14ac:dyDescent="0.2">
      <c r="A497" s="323"/>
      <c r="B497" s="367" t="s">
        <v>288</v>
      </c>
      <c r="C497" s="368" t="s">
        <v>344</v>
      </c>
      <c r="E497" s="367" t="s">
        <v>288</v>
      </c>
      <c r="F497" s="368" t="s">
        <v>344</v>
      </c>
      <c r="H497" s="367" t="s">
        <v>250</v>
      </c>
      <c r="I497" s="368" t="s">
        <v>272</v>
      </c>
    </row>
    <row r="498" spans="1:9" x14ac:dyDescent="0.2">
      <c r="A498" s="323"/>
      <c r="B498" s="367" t="s">
        <v>256</v>
      </c>
      <c r="C498" s="368" t="s">
        <v>251</v>
      </c>
      <c r="E498" s="367" t="s">
        <v>256</v>
      </c>
      <c r="F498" s="368" t="s">
        <v>251</v>
      </c>
      <c r="H498" s="367" t="s">
        <v>288</v>
      </c>
      <c r="I498" s="368" t="s">
        <v>344</v>
      </c>
    </row>
    <row r="499" spans="1:9" x14ac:dyDescent="0.2">
      <c r="A499" s="323"/>
      <c r="H499" s="367" t="s">
        <v>256</v>
      </c>
      <c r="I499" s="368" t="s">
        <v>251</v>
      </c>
    </row>
    <row r="500" spans="1:9" x14ac:dyDescent="0.2">
      <c r="A500" s="323"/>
      <c r="B500" s="369" t="s">
        <v>315</v>
      </c>
      <c r="C500" s="374" t="s">
        <v>253</v>
      </c>
      <c r="E500" s="369" t="s">
        <v>315</v>
      </c>
      <c r="F500" s="374" t="s">
        <v>253</v>
      </c>
    </row>
    <row r="501" spans="1:9" x14ac:dyDescent="0.2">
      <c r="A501" s="323"/>
      <c r="B501" s="370" t="s">
        <v>158</v>
      </c>
      <c r="C501" s="371">
        <v>16</v>
      </c>
      <c r="E501" s="370" t="s">
        <v>158</v>
      </c>
      <c r="F501" s="371">
        <v>1</v>
      </c>
      <c r="H501" s="369" t="s">
        <v>315</v>
      </c>
      <c r="I501" s="374" t="s">
        <v>253</v>
      </c>
    </row>
    <row r="502" spans="1:9" x14ac:dyDescent="0.2">
      <c r="A502" s="323"/>
      <c r="B502" s="370" t="s">
        <v>188</v>
      </c>
      <c r="C502" s="372">
        <v>1</v>
      </c>
      <c r="E502" s="370" t="s">
        <v>188</v>
      </c>
      <c r="F502" s="372">
        <v>263</v>
      </c>
      <c r="H502" s="370" t="s">
        <v>188</v>
      </c>
      <c r="I502" s="371">
        <v>1</v>
      </c>
    </row>
    <row r="503" spans="1:9" x14ac:dyDescent="0.2">
      <c r="A503" s="323"/>
      <c r="B503" s="370" t="s">
        <v>189</v>
      </c>
      <c r="C503" s="372">
        <v>11</v>
      </c>
      <c r="E503" s="370" t="s">
        <v>189</v>
      </c>
      <c r="F503" s="372">
        <v>15</v>
      </c>
      <c r="H503" s="370" t="s">
        <v>189</v>
      </c>
      <c r="I503" s="372">
        <v>10</v>
      </c>
    </row>
    <row r="504" spans="1:9" x14ac:dyDescent="0.2">
      <c r="A504" s="323"/>
      <c r="B504" s="370" t="s">
        <v>165</v>
      </c>
      <c r="C504" s="372">
        <v>88</v>
      </c>
      <c r="E504" s="370" t="s">
        <v>165</v>
      </c>
      <c r="F504" s="372">
        <v>5</v>
      </c>
      <c r="H504" s="370" t="s">
        <v>165</v>
      </c>
      <c r="I504" s="372">
        <v>-1</v>
      </c>
    </row>
    <row r="505" spans="1:9" x14ac:dyDescent="0.2">
      <c r="A505" s="323"/>
      <c r="B505" s="370" t="s">
        <v>190</v>
      </c>
      <c r="C505" s="372">
        <v>4</v>
      </c>
      <c r="E505" s="370" t="s">
        <v>190</v>
      </c>
      <c r="F505" s="372">
        <v>10</v>
      </c>
      <c r="H505" s="370" t="s">
        <v>190</v>
      </c>
      <c r="I505" s="372">
        <v>7</v>
      </c>
    </row>
    <row r="506" spans="1:9" x14ac:dyDescent="0.2">
      <c r="A506" s="323"/>
      <c r="B506" s="370" t="s">
        <v>191</v>
      </c>
      <c r="C506" s="372">
        <v>32</v>
      </c>
      <c r="E506" s="370" t="s">
        <v>191</v>
      </c>
      <c r="F506" s="372">
        <v>16</v>
      </c>
      <c r="H506" s="370" t="s">
        <v>191</v>
      </c>
      <c r="I506" s="372">
        <v>94</v>
      </c>
    </row>
    <row r="507" spans="1:9" x14ac:dyDescent="0.2">
      <c r="A507" s="323"/>
      <c r="B507" s="370" t="s">
        <v>192</v>
      </c>
      <c r="C507" s="372">
        <v>59</v>
      </c>
      <c r="E507" s="370" t="s">
        <v>192</v>
      </c>
      <c r="F507" s="372">
        <v>38</v>
      </c>
      <c r="H507" s="370" t="s">
        <v>192</v>
      </c>
      <c r="I507" s="372">
        <v>19</v>
      </c>
    </row>
    <row r="508" spans="1:9" x14ac:dyDescent="0.2">
      <c r="A508" s="323"/>
      <c r="B508" s="370" t="s">
        <v>193</v>
      </c>
      <c r="C508" s="372">
        <v>280</v>
      </c>
      <c r="E508" s="370" t="s">
        <v>193</v>
      </c>
      <c r="F508" s="372">
        <v>70</v>
      </c>
      <c r="H508" s="370" t="s">
        <v>193</v>
      </c>
      <c r="I508" s="372">
        <v>12</v>
      </c>
    </row>
    <row r="509" spans="1:9" x14ac:dyDescent="0.2">
      <c r="A509" s="323"/>
      <c r="B509" s="370" t="s">
        <v>194</v>
      </c>
      <c r="C509" s="372">
        <v>17</v>
      </c>
      <c r="E509" s="370" t="s">
        <v>194</v>
      </c>
      <c r="F509" s="372">
        <v>3</v>
      </c>
      <c r="H509" s="370" t="s">
        <v>194</v>
      </c>
      <c r="I509" s="372">
        <v>3</v>
      </c>
    </row>
    <row r="510" spans="1:9" x14ac:dyDescent="0.2">
      <c r="A510" s="323"/>
      <c r="B510" s="378" t="s">
        <v>282</v>
      </c>
      <c r="C510" s="373">
        <v>508</v>
      </c>
      <c r="E510" s="378" t="s">
        <v>282</v>
      </c>
      <c r="F510" s="373">
        <v>421</v>
      </c>
      <c r="H510" s="378" t="s">
        <v>282</v>
      </c>
      <c r="I510" s="373">
        <v>145</v>
      </c>
    </row>
    <row r="511" spans="1:9" ht="15" x14ac:dyDescent="0.25">
      <c r="A511" s="323"/>
      <c r="B511"/>
      <c r="C511"/>
      <c r="E511"/>
      <c r="F511"/>
      <c r="H511"/>
      <c r="I511"/>
    </row>
    <row r="512" spans="1:9" x14ac:dyDescent="0.2">
      <c r="A512" s="323"/>
    </row>
    <row r="513" spans="1:9" x14ac:dyDescent="0.2">
      <c r="A513" s="323"/>
    </row>
    <row r="514" spans="1:9" x14ac:dyDescent="0.2">
      <c r="A514" s="323"/>
      <c r="B514" s="135" t="s">
        <v>359</v>
      </c>
    </row>
    <row r="515" spans="1:9" x14ac:dyDescent="0.2">
      <c r="A515" s="323"/>
      <c r="B515" s="367" t="s">
        <v>250</v>
      </c>
      <c r="C515" s="368" t="s">
        <v>258</v>
      </c>
      <c r="H515" s="135" t="s">
        <v>360</v>
      </c>
    </row>
    <row r="516" spans="1:9" x14ac:dyDescent="0.2">
      <c r="A516" s="323"/>
      <c r="B516" s="367" t="s">
        <v>288</v>
      </c>
      <c r="C516" s="368" t="s">
        <v>276</v>
      </c>
      <c r="H516" s="367" t="s">
        <v>275</v>
      </c>
      <c r="I516" s="368" t="s">
        <v>251</v>
      </c>
    </row>
    <row r="517" spans="1:9" x14ac:dyDescent="0.2">
      <c r="A517" s="323"/>
      <c r="B517" s="367" t="s">
        <v>256</v>
      </c>
      <c r="C517" s="368" t="s">
        <v>251</v>
      </c>
      <c r="H517" s="367" t="s">
        <v>250</v>
      </c>
      <c r="I517" s="368" t="s">
        <v>258</v>
      </c>
    </row>
    <row r="518" spans="1:9" x14ac:dyDescent="0.2">
      <c r="A518" s="323"/>
      <c r="H518" s="367" t="s">
        <v>288</v>
      </c>
      <c r="I518" s="368" t="s">
        <v>293</v>
      </c>
    </row>
    <row r="519" spans="1:9" x14ac:dyDescent="0.2">
      <c r="A519" s="323"/>
      <c r="B519" s="369" t="s">
        <v>315</v>
      </c>
      <c r="C519" s="374" t="s">
        <v>253</v>
      </c>
      <c r="H519" s="367" t="s">
        <v>256</v>
      </c>
      <c r="I519" s="368" t="s">
        <v>344</v>
      </c>
    </row>
    <row r="520" spans="1:9" x14ac:dyDescent="0.2">
      <c r="A520" s="323"/>
      <c r="B520" s="370" t="s">
        <v>158</v>
      </c>
      <c r="C520" s="371">
        <v>2</v>
      </c>
    </row>
    <row r="521" spans="1:9" ht="15" x14ac:dyDescent="0.25">
      <c r="A521" s="323"/>
      <c r="B521" s="370" t="s">
        <v>188</v>
      </c>
      <c r="C521" s="372">
        <v>0</v>
      </c>
      <c r="E521"/>
      <c r="F521"/>
      <c r="H521" s="369" t="s">
        <v>315</v>
      </c>
      <c r="I521" s="374" t="s">
        <v>253</v>
      </c>
    </row>
    <row r="522" spans="1:9" ht="15" x14ac:dyDescent="0.25">
      <c r="A522" s="323"/>
      <c r="B522" s="370" t="s">
        <v>189</v>
      </c>
      <c r="C522" s="372">
        <v>7</v>
      </c>
      <c r="E522"/>
      <c r="F522"/>
      <c r="H522" s="370" t="s">
        <v>158</v>
      </c>
      <c r="I522" s="371">
        <v>1</v>
      </c>
    </row>
    <row r="523" spans="1:9" ht="15" x14ac:dyDescent="0.25">
      <c r="A523" s="323"/>
      <c r="B523" s="370" t="s">
        <v>165</v>
      </c>
      <c r="C523" s="372">
        <v>-2</v>
      </c>
      <c r="E523"/>
      <c r="F523"/>
      <c r="H523" s="370" t="s">
        <v>189</v>
      </c>
      <c r="I523" s="372">
        <v>16</v>
      </c>
    </row>
    <row r="524" spans="1:9" ht="15" x14ac:dyDescent="0.25">
      <c r="A524" s="323"/>
      <c r="B524" s="370" t="s">
        <v>190</v>
      </c>
      <c r="C524" s="372">
        <v>6</v>
      </c>
      <c r="E524"/>
      <c r="F524"/>
      <c r="H524" s="370" t="s">
        <v>165</v>
      </c>
      <c r="I524" s="372">
        <v>1</v>
      </c>
    </row>
    <row r="525" spans="1:9" ht="15" x14ac:dyDescent="0.25">
      <c r="A525" s="323"/>
      <c r="B525" s="370" t="s">
        <v>191</v>
      </c>
      <c r="C525" s="372">
        <v>2</v>
      </c>
      <c r="E525"/>
      <c r="F525"/>
      <c r="H525" s="370" t="s">
        <v>190</v>
      </c>
      <c r="I525" s="372">
        <v>2</v>
      </c>
    </row>
    <row r="526" spans="1:9" ht="15" x14ac:dyDescent="0.25">
      <c r="A526" s="323"/>
      <c r="B526" s="370" t="s">
        <v>192</v>
      </c>
      <c r="C526" s="372">
        <v>7</v>
      </c>
      <c r="E526"/>
      <c r="F526"/>
      <c r="H526" s="370" t="s">
        <v>191</v>
      </c>
      <c r="I526" s="372">
        <v>7</v>
      </c>
    </row>
    <row r="527" spans="1:9" ht="15" x14ac:dyDescent="0.25">
      <c r="A527" s="323"/>
      <c r="B527" s="370" t="s">
        <v>193</v>
      </c>
      <c r="C527" s="372">
        <v>15</v>
      </c>
      <c r="E527"/>
      <c r="F527"/>
      <c r="H527" s="370" t="s">
        <v>192</v>
      </c>
      <c r="I527" s="372">
        <v>8</v>
      </c>
    </row>
    <row r="528" spans="1:9" ht="15" x14ac:dyDescent="0.25">
      <c r="A528" s="323"/>
      <c r="B528" s="370" t="s">
        <v>194</v>
      </c>
      <c r="C528" s="372">
        <v>2</v>
      </c>
      <c r="E528"/>
      <c r="F528"/>
      <c r="H528" s="370" t="s">
        <v>193</v>
      </c>
      <c r="I528" s="372">
        <v>2</v>
      </c>
    </row>
    <row r="529" spans="1:14" ht="15" x14ac:dyDescent="0.25">
      <c r="A529" s="323"/>
      <c r="B529" s="378" t="s">
        <v>282</v>
      </c>
      <c r="C529" s="373">
        <v>39</v>
      </c>
      <c r="E529"/>
      <c r="F529"/>
      <c r="H529" s="370" t="s">
        <v>194</v>
      </c>
      <c r="I529" s="372">
        <v>4</v>
      </c>
    </row>
    <row r="530" spans="1:14" ht="15" x14ac:dyDescent="0.25">
      <c r="A530" s="323"/>
      <c r="E530"/>
      <c r="F530"/>
      <c r="H530" s="378" t="s">
        <v>282</v>
      </c>
      <c r="I530" s="373">
        <v>41</v>
      </c>
    </row>
    <row r="531" spans="1:14" ht="15" x14ac:dyDescent="0.25">
      <c r="E531" s="3"/>
      <c r="F531" s="3"/>
      <c r="H531"/>
      <c r="I531"/>
    </row>
    <row r="532" spans="1:14" ht="15" x14ac:dyDescent="0.25">
      <c r="B532"/>
      <c r="C532"/>
      <c r="E532" s="3"/>
      <c r="F532" s="3"/>
      <c r="H532"/>
      <c r="I532"/>
    </row>
    <row r="533" spans="1:14" ht="15" x14ac:dyDescent="0.25">
      <c r="B533"/>
      <c r="C533"/>
      <c r="E533" s="3"/>
      <c r="F533" s="3"/>
      <c r="H533"/>
      <c r="I533"/>
    </row>
    <row r="534" spans="1:14" ht="15" x14ac:dyDescent="0.25">
      <c r="B534" s="135" t="s">
        <v>361</v>
      </c>
      <c r="C534"/>
      <c r="E534" s="3"/>
      <c r="F534" s="3"/>
      <c r="H534"/>
      <c r="I534"/>
    </row>
    <row r="535" spans="1:14" ht="15.75" thickBot="1" x14ac:dyDescent="0.3">
      <c r="B535"/>
      <c r="C535"/>
      <c r="E535" s="3"/>
      <c r="F535" s="3"/>
      <c r="H535"/>
      <c r="I535"/>
    </row>
    <row r="536" spans="1:14" ht="13.5" thickBot="1" x14ac:dyDescent="0.25">
      <c r="B536" s="346" t="s">
        <v>250</v>
      </c>
      <c r="C536" s="347" t="s">
        <v>251</v>
      </c>
    </row>
    <row r="537" spans="1:14" ht="13.5" thickBot="1" x14ac:dyDescent="0.25"/>
    <row r="538" spans="1:14" ht="15" x14ac:dyDescent="0.25">
      <c r="B538" s="348" t="s">
        <v>315</v>
      </c>
      <c r="C538" s="349" t="s">
        <v>262</v>
      </c>
      <c r="D538" s="349" t="s">
        <v>263</v>
      </c>
      <c r="E538" s="349" t="s">
        <v>264</v>
      </c>
      <c r="F538" s="349" t="s">
        <v>265</v>
      </c>
      <c r="G538" s="349" t="s">
        <v>266</v>
      </c>
      <c r="H538" s="349" t="s">
        <v>267</v>
      </c>
      <c r="I538" s="349" t="s">
        <v>268</v>
      </c>
      <c r="J538" s="349" t="s">
        <v>269</v>
      </c>
      <c r="K538" s="349" t="s">
        <v>270</v>
      </c>
      <c r="L538" s="349" t="s">
        <v>271</v>
      </c>
      <c r="M538" s="350" t="s">
        <v>286</v>
      </c>
      <c r="N538"/>
    </row>
    <row r="539" spans="1:14" ht="15" x14ac:dyDescent="0.25">
      <c r="B539" s="354" t="s">
        <v>181</v>
      </c>
      <c r="C539" s="45"/>
      <c r="D539" s="45"/>
      <c r="E539" s="45">
        <v>35.666666666666664</v>
      </c>
      <c r="F539" s="45">
        <v>35.666666666666664</v>
      </c>
      <c r="G539" s="45">
        <v>390.66666666666669</v>
      </c>
      <c r="H539" s="45">
        <v>693</v>
      </c>
      <c r="I539" s="45"/>
      <c r="J539" s="45">
        <v>23</v>
      </c>
      <c r="K539" s="45"/>
      <c r="L539" s="45"/>
      <c r="M539" s="360">
        <v>1178</v>
      </c>
      <c r="N539"/>
    </row>
    <row r="540" spans="1:14" ht="15" x14ac:dyDescent="0.25">
      <c r="B540" s="354" t="s">
        <v>141</v>
      </c>
      <c r="C540" s="45"/>
      <c r="D540" s="45"/>
      <c r="E540" s="45"/>
      <c r="F540" s="45">
        <v>226.5</v>
      </c>
      <c r="G540" s="45">
        <v>226.5</v>
      </c>
      <c r="H540" s="45">
        <v>50</v>
      </c>
      <c r="I540" s="45">
        <v>50</v>
      </c>
      <c r="J540" s="45">
        <v>50</v>
      </c>
      <c r="K540" s="45">
        <v>50</v>
      </c>
      <c r="L540" s="45">
        <v>50</v>
      </c>
      <c r="M540" s="360">
        <v>703</v>
      </c>
      <c r="N540"/>
    </row>
    <row r="541" spans="1:14" ht="15" x14ac:dyDescent="0.25">
      <c r="B541" s="354" t="s">
        <v>183</v>
      </c>
      <c r="C541" s="45"/>
      <c r="D541" s="45">
        <v>35</v>
      </c>
      <c r="E541" s="45">
        <v>68.333333333333343</v>
      </c>
      <c r="F541" s="45">
        <v>33.333333333333336</v>
      </c>
      <c r="G541" s="45">
        <v>53.333333333333336</v>
      </c>
      <c r="H541" s="45"/>
      <c r="I541" s="45">
        <v>5</v>
      </c>
      <c r="J541" s="45">
        <v>5</v>
      </c>
      <c r="K541" s="45">
        <v>5</v>
      </c>
      <c r="L541" s="45">
        <v>5</v>
      </c>
      <c r="M541" s="360">
        <v>210</v>
      </c>
      <c r="N541"/>
    </row>
    <row r="542" spans="1:14" ht="15" x14ac:dyDescent="0.25">
      <c r="B542" s="354" t="s">
        <v>145</v>
      </c>
      <c r="C542" s="45"/>
      <c r="D542" s="45"/>
      <c r="E542" s="45">
        <v>38.666666666666664</v>
      </c>
      <c r="F542" s="45">
        <v>48.666666666666664</v>
      </c>
      <c r="G542" s="45">
        <v>48.666666666666664</v>
      </c>
      <c r="H542" s="45"/>
      <c r="I542" s="45"/>
      <c r="J542" s="45"/>
      <c r="K542" s="45"/>
      <c r="L542" s="45"/>
      <c r="M542" s="360">
        <v>136</v>
      </c>
      <c r="N542"/>
    </row>
    <row r="543" spans="1:14" ht="15" x14ac:dyDescent="0.25">
      <c r="B543" s="354" t="s">
        <v>147</v>
      </c>
      <c r="C543" s="45"/>
      <c r="D543" s="45"/>
      <c r="E543" s="45"/>
      <c r="F543" s="45">
        <v>10</v>
      </c>
      <c r="G543" s="45">
        <v>10</v>
      </c>
      <c r="H543" s="45"/>
      <c r="I543" s="45"/>
      <c r="J543" s="45"/>
      <c r="K543" s="45"/>
      <c r="L543" s="45"/>
      <c r="M543" s="360">
        <v>20</v>
      </c>
      <c r="N543"/>
    </row>
    <row r="544" spans="1:14" ht="15.75" thickBot="1" x14ac:dyDescent="0.3">
      <c r="B544" s="356" t="s">
        <v>282</v>
      </c>
      <c r="C544" s="361"/>
      <c r="D544" s="361">
        <v>35</v>
      </c>
      <c r="E544" s="361">
        <v>142.66666666666666</v>
      </c>
      <c r="F544" s="361">
        <v>354.16666666666669</v>
      </c>
      <c r="G544" s="361">
        <v>729.16666666666674</v>
      </c>
      <c r="H544" s="361">
        <v>743</v>
      </c>
      <c r="I544" s="361">
        <v>55</v>
      </c>
      <c r="J544" s="361">
        <v>78</v>
      </c>
      <c r="K544" s="361">
        <v>55</v>
      </c>
      <c r="L544" s="361">
        <v>55</v>
      </c>
      <c r="M544" s="362">
        <v>2247</v>
      </c>
      <c r="N544"/>
    </row>
    <row r="545" spans="2:28" ht="15" x14ac:dyDescent="0.25">
      <c r="B545"/>
      <c r="C545"/>
      <c r="D545"/>
      <c r="E545"/>
      <c r="F545"/>
      <c r="G545"/>
      <c r="H545"/>
      <c r="I545"/>
      <c r="J545"/>
      <c r="K545"/>
      <c r="L545"/>
      <c r="M545"/>
      <c r="N545"/>
    </row>
    <row r="546" spans="2:28" ht="15" x14ac:dyDescent="0.25">
      <c r="N546"/>
      <c r="Q546"/>
      <c r="R546"/>
      <c r="S546"/>
      <c r="T546"/>
      <c r="U546"/>
      <c r="V546"/>
      <c r="W546"/>
      <c r="X546"/>
      <c r="Y546"/>
      <c r="Z546"/>
      <c r="AA546"/>
      <c r="AB546"/>
    </row>
    <row r="548" spans="2:28" ht="15" x14ac:dyDescent="0.25">
      <c r="B548" s="135" t="s">
        <v>362</v>
      </c>
      <c r="C548"/>
      <c r="D548"/>
      <c r="E548"/>
      <c r="F548"/>
      <c r="G548"/>
      <c r="H548"/>
      <c r="I548"/>
      <c r="J548"/>
      <c r="K548"/>
      <c r="L548"/>
      <c r="M548"/>
    </row>
    <row r="549" spans="2:28" ht="15.75" thickBot="1" x14ac:dyDescent="0.3">
      <c r="B549"/>
      <c r="C549"/>
    </row>
    <row r="550" spans="2:28" ht="13.5" thickBot="1" x14ac:dyDescent="0.25">
      <c r="B550" s="346" t="s">
        <v>250</v>
      </c>
      <c r="C550" s="347" t="s">
        <v>251</v>
      </c>
    </row>
    <row r="551" spans="2:28" ht="13.5" thickBot="1" x14ac:dyDescent="0.25"/>
    <row r="552" spans="2:28" x14ac:dyDescent="0.2">
      <c r="B552" s="348" t="s">
        <v>315</v>
      </c>
      <c r="C552" s="349" t="s">
        <v>262</v>
      </c>
      <c r="D552" s="349" t="s">
        <v>263</v>
      </c>
      <c r="E552" s="349" t="s">
        <v>264</v>
      </c>
      <c r="F552" s="349" t="s">
        <v>265</v>
      </c>
      <c r="G552" s="349" t="s">
        <v>266</v>
      </c>
      <c r="H552" s="349" t="s">
        <v>267</v>
      </c>
      <c r="I552" s="349" t="s">
        <v>268</v>
      </c>
      <c r="J552" s="349" t="s">
        <v>269</v>
      </c>
      <c r="K552" s="349" t="s">
        <v>270</v>
      </c>
      <c r="L552" s="349" t="s">
        <v>271</v>
      </c>
      <c r="M552" s="350" t="s">
        <v>286</v>
      </c>
    </row>
    <row r="553" spans="2:28" x14ac:dyDescent="0.2">
      <c r="B553" s="354" t="s">
        <v>189</v>
      </c>
      <c r="C553" s="45"/>
      <c r="D553" s="45"/>
      <c r="E553" s="45">
        <v>33.333333333333336</v>
      </c>
      <c r="F553" s="45">
        <v>33.333333333333336</v>
      </c>
      <c r="G553" s="45">
        <v>33.333333333333336</v>
      </c>
      <c r="H553" s="45"/>
      <c r="I553" s="45"/>
      <c r="J553" s="45"/>
      <c r="K553" s="45"/>
      <c r="L553" s="45"/>
      <c r="M553" s="360">
        <v>100</v>
      </c>
    </row>
    <row r="554" spans="2:28" x14ac:dyDescent="0.2">
      <c r="B554" s="354" t="s">
        <v>190</v>
      </c>
      <c r="C554" s="45"/>
      <c r="D554" s="45"/>
      <c r="E554" s="45">
        <v>35.666666666666664</v>
      </c>
      <c r="F554" s="45">
        <v>35.666666666666664</v>
      </c>
      <c r="G554" s="45">
        <v>390.66666666666669</v>
      </c>
      <c r="H554" s="45">
        <v>693</v>
      </c>
      <c r="I554" s="45"/>
      <c r="J554" s="45">
        <v>23</v>
      </c>
      <c r="K554" s="45"/>
      <c r="L554" s="45"/>
      <c r="M554" s="360">
        <v>1178</v>
      </c>
    </row>
    <row r="555" spans="2:28" x14ac:dyDescent="0.2">
      <c r="B555" s="354" t="s">
        <v>191</v>
      </c>
      <c r="C555" s="45"/>
      <c r="D555" s="45"/>
      <c r="E555" s="45"/>
      <c r="F555" s="45">
        <v>226.5</v>
      </c>
      <c r="G555" s="45">
        <v>226.5</v>
      </c>
      <c r="H555" s="45">
        <v>50</v>
      </c>
      <c r="I555" s="45">
        <v>50</v>
      </c>
      <c r="J555" s="45">
        <v>50</v>
      </c>
      <c r="K555" s="45">
        <v>50</v>
      </c>
      <c r="L555" s="45">
        <v>50</v>
      </c>
      <c r="M555" s="360">
        <v>703</v>
      </c>
    </row>
    <row r="556" spans="2:28" x14ac:dyDescent="0.2">
      <c r="B556" s="354" t="s">
        <v>192</v>
      </c>
      <c r="C556" s="45"/>
      <c r="D556" s="45">
        <v>35</v>
      </c>
      <c r="E556" s="45">
        <v>35</v>
      </c>
      <c r="F556" s="45"/>
      <c r="G556" s="45">
        <v>20</v>
      </c>
      <c r="H556" s="45"/>
      <c r="I556" s="45">
        <v>5</v>
      </c>
      <c r="J556" s="45">
        <v>5</v>
      </c>
      <c r="K556" s="45">
        <v>5</v>
      </c>
      <c r="L556" s="45">
        <v>5</v>
      </c>
      <c r="M556" s="360">
        <v>110</v>
      </c>
    </row>
    <row r="557" spans="2:28" x14ac:dyDescent="0.2">
      <c r="B557" s="354" t="s">
        <v>193</v>
      </c>
      <c r="C557" s="45"/>
      <c r="D557" s="45"/>
      <c r="E557" s="45">
        <v>38.666666666666664</v>
      </c>
      <c r="F557" s="45">
        <v>48.666666666666664</v>
      </c>
      <c r="G557" s="45">
        <v>48.666666666666664</v>
      </c>
      <c r="H557" s="45"/>
      <c r="I557" s="45"/>
      <c r="J557" s="45"/>
      <c r="K557" s="45"/>
      <c r="L557" s="45"/>
      <c r="M557" s="360">
        <v>136</v>
      </c>
    </row>
    <row r="558" spans="2:28" x14ac:dyDescent="0.2">
      <c r="B558" s="354" t="s">
        <v>194</v>
      </c>
      <c r="C558" s="45"/>
      <c r="D558" s="45"/>
      <c r="E558" s="45"/>
      <c r="F558" s="45">
        <v>10</v>
      </c>
      <c r="G558" s="45">
        <v>10</v>
      </c>
      <c r="H558" s="45"/>
      <c r="I558" s="45"/>
      <c r="J558" s="45"/>
      <c r="K558" s="45"/>
      <c r="L558" s="45"/>
      <c r="M558" s="360">
        <v>20</v>
      </c>
    </row>
    <row r="559" spans="2:28" ht="13.5" thickBot="1" x14ac:dyDescent="0.25">
      <c r="B559" s="356" t="s">
        <v>282</v>
      </c>
      <c r="C559" s="361"/>
      <c r="D559" s="361">
        <v>35</v>
      </c>
      <c r="E559" s="361">
        <v>142.66666666666666</v>
      </c>
      <c r="F559" s="361">
        <v>354.16666666666669</v>
      </c>
      <c r="G559" s="361">
        <v>729.16666666666663</v>
      </c>
      <c r="H559" s="361">
        <v>743</v>
      </c>
      <c r="I559" s="361">
        <v>55</v>
      </c>
      <c r="J559" s="361">
        <v>78</v>
      </c>
      <c r="K559" s="361">
        <v>55</v>
      </c>
      <c r="L559" s="361">
        <v>55</v>
      </c>
      <c r="M559" s="362">
        <v>2247</v>
      </c>
    </row>
    <row r="560" spans="2:28" ht="15" x14ac:dyDescent="0.25">
      <c r="B560"/>
      <c r="C560"/>
    </row>
    <row r="561" spans="2:9" ht="15" x14ac:dyDescent="0.25">
      <c r="B561"/>
      <c r="C561"/>
    </row>
    <row r="562" spans="2:9" ht="15" x14ac:dyDescent="0.25">
      <c r="B562"/>
      <c r="C562"/>
    </row>
    <row r="563" spans="2:9" ht="15" x14ac:dyDescent="0.25">
      <c r="B563"/>
      <c r="C563"/>
    </row>
    <row r="564" spans="2:9" x14ac:dyDescent="0.2">
      <c r="B564" s="135" t="s">
        <v>363</v>
      </c>
    </row>
    <row r="565" spans="2:9" ht="15.75" thickBot="1" x14ac:dyDescent="0.3">
      <c r="B565"/>
      <c r="C565"/>
    </row>
    <row r="566" spans="2:9" ht="15" x14ac:dyDescent="0.25">
      <c r="B566" s="348"/>
      <c r="C566" s="349" t="s">
        <v>364</v>
      </c>
      <c r="D566" s="349"/>
      <c r="E566" s="349"/>
      <c r="F566" s="349"/>
      <c r="G566" s="349"/>
      <c r="H566" s="350"/>
      <c r="I566"/>
    </row>
    <row r="567" spans="2:9" ht="15" x14ac:dyDescent="0.25">
      <c r="B567" s="379"/>
      <c r="C567" s="1" t="s">
        <v>365</v>
      </c>
      <c r="D567" s="1" t="s">
        <v>366</v>
      </c>
      <c r="E567" s="1" t="s">
        <v>367</v>
      </c>
      <c r="F567" s="1" t="s">
        <v>368</v>
      </c>
      <c r="G567" s="1" t="s">
        <v>369</v>
      </c>
      <c r="H567" s="355" t="s">
        <v>282</v>
      </c>
      <c r="I567"/>
    </row>
    <row r="568" spans="2:9" ht="15.75" thickBot="1" x14ac:dyDescent="0.3">
      <c r="B568" s="380" t="s">
        <v>285</v>
      </c>
      <c r="C568" s="352">
        <v>2.4660821917808224</v>
      </c>
      <c r="D568" s="352">
        <v>2.5520547945205481</v>
      </c>
      <c r="E568" s="352">
        <v>2.3013698630136985</v>
      </c>
      <c r="F568" s="352">
        <v>1.4219178082191781</v>
      </c>
      <c r="G568" s="352">
        <v>5.4739726027397255</v>
      </c>
      <c r="H568" s="353">
        <v>2.599315068493151</v>
      </c>
      <c r="I568"/>
    </row>
    <row r="569" spans="2:9" ht="15" x14ac:dyDescent="0.25">
      <c r="B569"/>
      <c r="C569"/>
      <c r="D569"/>
      <c r="E569"/>
      <c r="F569"/>
      <c r="G569"/>
      <c r="H569"/>
    </row>
    <row r="570" spans="2:9" ht="15" x14ac:dyDescent="0.25">
      <c r="B570"/>
      <c r="C570"/>
      <c r="D570"/>
      <c r="E570"/>
      <c r="F570"/>
      <c r="G570"/>
      <c r="H570"/>
    </row>
    <row r="571" spans="2:9" ht="15" x14ac:dyDescent="0.25">
      <c r="B571"/>
      <c r="C571"/>
      <c r="D571"/>
      <c r="E571"/>
      <c r="F571"/>
      <c r="G571"/>
      <c r="H571"/>
    </row>
    <row r="572" spans="2:9" ht="15" x14ac:dyDescent="0.25">
      <c r="B572"/>
      <c r="C572"/>
      <c r="D572"/>
      <c r="E572"/>
      <c r="F572"/>
      <c r="G572"/>
      <c r="H572"/>
    </row>
    <row r="573" spans="2:9" ht="15" x14ac:dyDescent="0.25">
      <c r="B573"/>
      <c r="C573"/>
      <c r="D573"/>
      <c r="E573"/>
      <c r="F573"/>
      <c r="G573"/>
      <c r="H573"/>
    </row>
    <row r="574" spans="2:9" ht="15" x14ac:dyDescent="0.25">
      <c r="B574"/>
      <c r="C574"/>
      <c r="D574"/>
      <c r="E574"/>
      <c r="F574"/>
      <c r="G574"/>
      <c r="H574"/>
    </row>
    <row r="575" spans="2:9" ht="15" x14ac:dyDescent="0.25">
      <c r="B575"/>
      <c r="C575"/>
      <c r="D575"/>
      <c r="E575"/>
      <c r="F575"/>
      <c r="G575"/>
      <c r="H575"/>
    </row>
    <row r="576" spans="2:9" ht="15" x14ac:dyDescent="0.25">
      <c r="B576"/>
      <c r="C576"/>
      <c r="D576"/>
      <c r="E576"/>
      <c r="F576"/>
      <c r="G576"/>
      <c r="H576"/>
    </row>
    <row r="577" spans="2:4" ht="15" x14ac:dyDescent="0.25">
      <c r="B577"/>
      <c r="C577"/>
      <c r="D577"/>
    </row>
    <row r="578" spans="2:4" ht="15" x14ac:dyDescent="0.25">
      <c r="B578"/>
      <c r="C578"/>
      <c r="D578"/>
    </row>
    <row r="579" spans="2:4" ht="15" x14ac:dyDescent="0.25">
      <c r="B579"/>
      <c r="C579"/>
      <c r="D579"/>
    </row>
    <row r="580" spans="2:4" ht="15" x14ac:dyDescent="0.25">
      <c r="B580"/>
      <c r="C580"/>
      <c r="D580"/>
    </row>
    <row r="581" spans="2:4" ht="15" x14ac:dyDescent="0.25">
      <c r="B581"/>
      <c r="C581"/>
      <c r="D581"/>
    </row>
    <row r="582" spans="2:4" ht="15" x14ac:dyDescent="0.25">
      <c r="B582"/>
      <c r="C582"/>
      <c r="D582"/>
    </row>
    <row r="583" spans="2:4" ht="15" x14ac:dyDescent="0.25">
      <c r="B583"/>
      <c r="C583"/>
      <c r="D583"/>
    </row>
    <row r="584" spans="2:4" ht="15" x14ac:dyDescent="0.25">
      <c r="B584"/>
      <c r="C584"/>
      <c r="D584"/>
    </row>
    <row r="585" spans="2:4" ht="15" x14ac:dyDescent="0.25">
      <c r="B585"/>
      <c r="C585"/>
      <c r="D585"/>
    </row>
    <row r="586" spans="2:4" ht="15" x14ac:dyDescent="0.25">
      <c r="B586"/>
      <c r="C586"/>
      <c r="D586"/>
    </row>
    <row r="587" spans="2:4" ht="15" x14ac:dyDescent="0.25">
      <c r="B587"/>
      <c r="C587"/>
      <c r="D587"/>
    </row>
    <row r="588" spans="2:4" ht="15" x14ac:dyDescent="0.25">
      <c r="B588"/>
      <c r="C588"/>
      <c r="D588"/>
    </row>
    <row r="589" spans="2:4" ht="15" x14ac:dyDescent="0.25">
      <c r="B589"/>
      <c r="C589"/>
      <c r="D589"/>
    </row>
    <row r="590" spans="2:4" ht="15" x14ac:dyDescent="0.25">
      <c r="B590"/>
      <c r="C590"/>
      <c r="D590"/>
    </row>
    <row r="591" spans="2:4" ht="15" x14ac:dyDescent="0.25">
      <c r="B591"/>
      <c r="C591"/>
      <c r="D591"/>
    </row>
    <row r="592" spans="2:4" ht="15" x14ac:dyDescent="0.25">
      <c r="B592"/>
      <c r="C592"/>
      <c r="D592"/>
    </row>
    <row r="593" spans="2:4" ht="15" x14ac:dyDescent="0.25">
      <c r="B593"/>
      <c r="C593"/>
      <c r="D593"/>
    </row>
    <row r="594" spans="2:4" ht="15" x14ac:dyDescent="0.25">
      <c r="B594"/>
      <c r="C594"/>
      <c r="D594"/>
    </row>
    <row r="595" spans="2:4" ht="15" x14ac:dyDescent="0.25">
      <c r="B595"/>
      <c r="C595"/>
      <c r="D595"/>
    </row>
    <row r="596" spans="2:4" ht="15" x14ac:dyDescent="0.25">
      <c r="B596"/>
      <c r="C596"/>
      <c r="D596"/>
    </row>
    <row r="597" spans="2:4" ht="15" x14ac:dyDescent="0.25">
      <c r="B597"/>
      <c r="C597"/>
      <c r="D597"/>
    </row>
    <row r="598" spans="2:4" ht="15" x14ac:dyDescent="0.25">
      <c r="B598"/>
      <c r="C598"/>
      <c r="D598"/>
    </row>
    <row r="599" spans="2:4" ht="15" x14ac:dyDescent="0.25">
      <c r="B599"/>
      <c r="C599"/>
      <c r="D599"/>
    </row>
    <row r="600" spans="2:4" ht="15" x14ac:dyDescent="0.25">
      <c r="B600"/>
      <c r="C600"/>
      <c r="D600"/>
    </row>
    <row r="601" spans="2:4" ht="15" x14ac:dyDescent="0.25">
      <c r="B601"/>
      <c r="C601"/>
      <c r="D601"/>
    </row>
    <row r="602" spans="2:4" ht="15" x14ac:dyDescent="0.25">
      <c r="B602"/>
      <c r="C602"/>
      <c r="D602"/>
    </row>
    <row r="603" spans="2:4" ht="15" x14ac:dyDescent="0.25">
      <c r="B603"/>
      <c r="C603"/>
      <c r="D603"/>
    </row>
    <row r="604" spans="2:4" ht="15" x14ac:dyDescent="0.25">
      <c r="B604"/>
      <c r="C604"/>
      <c r="D604"/>
    </row>
    <row r="605" spans="2:4" ht="15" x14ac:dyDescent="0.25">
      <c r="B605"/>
      <c r="C605"/>
      <c r="D605"/>
    </row>
    <row r="606" spans="2:4" ht="15" x14ac:dyDescent="0.25">
      <c r="B606"/>
      <c r="C606"/>
      <c r="D606"/>
    </row>
    <row r="607" spans="2:4" ht="15" x14ac:dyDescent="0.25">
      <c r="B607"/>
      <c r="C607"/>
      <c r="D607"/>
    </row>
    <row r="608" spans="2:4" ht="15" x14ac:dyDescent="0.25">
      <c r="B608"/>
      <c r="C608"/>
      <c r="D608"/>
    </row>
    <row r="609" spans="2:4" ht="15" x14ac:dyDescent="0.25">
      <c r="B609"/>
      <c r="C609"/>
      <c r="D609"/>
    </row>
    <row r="610" spans="2:4" ht="15" x14ac:dyDescent="0.25">
      <c r="B610"/>
      <c r="C610"/>
      <c r="D610"/>
    </row>
    <row r="611" spans="2:4" ht="15" x14ac:dyDescent="0.25">
      <c r="B611"/>
      <c r="C611"/>
      <c r="D611"/>
    </row>
    <row r="612" spans="2:4" ht="15" x14ac:dyDescent="0.25">
      <c r="B612"/>
      <c r="C612"/>
      <c r="D612"/>
    </row>
    <row r="613" spans="2:4" ht="15" x14ac:dyDescent="0.25">
      <c r="B613"/>
      <c r="C613"/>
      <c r="D613"/>
    </row>
    <row r="614" spans="2:4" ht="15" x14ac:dyDescent="0.25">
      <c r="B614"/>
      <c r="C614"/>
      <c r="D614"/>
    </row>
    <row r="615" spans="2:4" ht="15" x14ac:dyDescent="0.25">
      <c r="B615"/>
      <c r="C615"/>
      <c r="D615"/>
    </row>
    <row r="616" spans="2:4" ht="15" x14ac:dyDescent="0.25">
      <c r="B616"/>
      <c r="C616"/>
      <c r="D616"/>
    </row>
    <row r="617" spans="2:4" ht="15" x14ac:dyDescent="0.25">
      <c r="B617"/>
      <c r="C617"/>
      <c r="D617"/>
    </row>
    <row r="618" spans="2:4" ht="15" x14ac:dyDescent="0.25">
      <c r="B618"/>
      <c r="C618"/>
      <c r="D618"/>
    </row>
    <row r="619" spans="2:4" ht="15" x14ac:dyDescent="0.25">
      <c r="B619"/>
      <c r="C619"/>
      <c r="D619"/>
    </row>
    <row r="620" spans="2:4" ht="15" x14ac:dyDescent="0.25">
      <c r="B620"/>
      <c r="C620"/>
      <c r="D620"/>
    </row>
    <row r="621" spans="2:4" ht="15" x14ac:dyDescent="0.25">
      <c r="B621"/>
      <c r="C621"/>
      <c r="D621"/>
    </row>
    <row r="622" spans="2:4" ht="15" x14ac:dyDescent="0.25">
      <c r="B622"/>
      <c r="C622"/>
      <c r="D622"/>
    </row>
    <row r="623" spans="2:4" ht="15" x14ac:dyDescent="0.25">
      <c r="B623"/>
      <c r="C623"/>
      <c r="D623"/>
    </row>
    <row r="624" spans="2:4" ht="15" x14ac:dyDescent="0.25">
      <c r="B624"/>
      <c r="C624"/>
      <c r="D624"/>
    </row>
    <row r="625" spans="2:4" ht="15" x14ac:dyDescent="0.25">
      <c r="B625"/>
      <c r="C625"/>
      <c r="D625"/>
    </row>
    <row r="626" spans="2:4" ht="15" x14ac:dyDescent="0.25">
      <c r="B626"/>
      <c r="C626"/>
      <c r="D626"/>
    </row>
    <row r="627" spans="2:4" ht="15" x14ac:dyDescent="0.25">
      <c r="B627"/>
      <c r="C627"/>
    </row>
    <row r="628" spans="2:4" ht="15" x14ac:dyDescent="0.25">
      <c r="B628"/>
      <c r="C628"/>
    </row>
    <row r="629" spans="2:4" ht="15" x14ac:dyDescent="0.25">
      <c r="B629"/>
      <c r="C629"/>
    </row>
    <row r="630" spans="2:4" ht="15" x14ac:dyDescent="0.25">
      <c r="B630"/>
      <c r="C630"/>
    </row>
    <row r="631" spans="2:4" ht="15" x14ac:dyDescent="0.25">
      <c r="B631"/>
      <c r="C631"/>
    </row>
    <row r="632" spans="2:4" ht="15" x14ac:dyDescent="0.25">
      <c r="B632"/>
      <c r="C632"/>
    </row>
    <row r="633" spans="2:4" ht="15" x14ac:dyDescent="0.25">
      <c r="B633"/>
      <c r="C633"/>
    </row>
    <row r="634" spans="2:4" ht="15" x14ac:dyDescent="0.25">
      <c r="B634"/>
      <c r="C634"/>
    </row>
    <row r="635" spans="2:4" ht="15" x14ac:dyDescent="0.25">
      <c r="B635"/>
      <c r="C635"/>
    </row>
    <row r="636" spans="2:4" ht="15" x14ac:dyDescent="0.25">
      <c r="B636"/>
      <c r="C636"/>
    </row>
    <row r="637" spans="2:4" ht="15" x14ac:dyDescent="0.25">
      <c r="B637"/>
      <c r="C637"/>
    </row>
    <row r="638" spans="2:4" ht="15" x14ac:dyDescent="0.25">
      <c r="B638"/>
      <c r="C638"/>
    </row>
    <row r="639" spans="2:4" ht="15" x14ac:dyDescent="0.25">
      <c r="B639"/>
      <c r="C639"/>
    </row>
    <row r="640" spans="2:4" ht="15" x14ac:dyDescent="0.25">
      <c r="B640"/>
      <c r="C640"/>
    </row>
    <row r="641" spans="2:3" ht="15" x14ac:dyDescent="0.25">
      <c r="B641"/>
      <c r="C641"/>
    </row>
    <row r="642" spans="2:3" ht="15" x14ac:dyDescent="0.25">
      <c r="B642"/>
      <c r="C642"/>
    </row>
    <row r="643" spans="2:3" ht="15" x14ac:dyDescent="0.25">
      <c r="B643"/>
      <c r="C643"/>
    </row>
    <row r="644" spans="2:3" ht="15" x14ac:dyDescent="0.25">
      <c r="B644"/>
      <c r="C644"/>
    </row>
    <row r="645" spans="2:3" ht="15" x14ac:dyDescent="0.25">
      <c r="B645"/>
      <c r="C645"/>
    </row>
    <row r="646" spans="2:3" ht="15" x14ac:dyDescent="0.25">
      <c r="B646"/>
      <c r="C646"/>
    </row>
    <row r="647" spans="2:3" ht="15" x14ac:dyDescent="0.25">
      <c r="B647"/>
      <c r="C647"/>
    </row>
    <row r="648" spans="2:3" ht="15" x14ac:dyDescent="0.25">
      <c r="B648"/>
      <c r="C648"/>
    </row>
    <row r="649" spans="2:3" ht="15" x14ac:dyDescent="0.25">
      <c r="B649"/>
      <c r="C649"/>
    </row>
    <row r="650" spans="2:3" ht="15" x14ac:dyDescent="0.25">
      <c r="B650"/>
      <c r="C650"/>
    </row>
    <row r="651" spans="2:3" ht="15" x14ac:dyDescent="0.25">
      <c r="B651"/>
      <c r="C651"/>
    </row>
    <row r="652" spans="2:3" ht="15" x14ac:dyDescent="0.25">
      <c r="B652"/>
      <c r="C652"/>
    </row>
    <row r="653" spans="2:3" ht="15" x14ac:dyDescent="0.25">
      <c r="B653"/>
      <c r="C653"/>
    </row>
    <row r="654" spans="2:3" ht="15" x14ac:dyDescent="0.25">
      <c r="B654"/>
      <c r="C654"/>
    </row>
    <row r="655" spans="2:3" ht="15" x14ac:dyDescent="0.25">
      <c r="B655"/>
      <c r="C655"/>
    </row>
    <row r="656" spans="2:3" ht="15" x14ac:dyDescent="0.25">
      <c r="B656"/>
      <c r="C656"/>
    </row>
    <row r="657" spans="2:3" ht="15" x14ac:dyDescent="0.25">
      <c r="B657"/>
      <c r="C657"/>
    </row>
    <row r="658" spans="2:3" ht="15" x14ac:dyDescent="0.25">
      <c r="B658"/>
      <c r="C658"/>
    </row>
    <row r="659" spans="2:3" ht="15" x14ac:dyDescent="0.25">
      <c r="B659"/>
      <c r="C659"/>
    </row>
    <row r="660" spans="2:3" ht="15" x14ac:dyDescent="0.25">
      <c r="B660"/>
      <c r="C660"/>
    </row>
    <row r="661" spans="2:3" ht="15" x14ac:dyDescent="0.25">
      <c r="B661"/>
      <c r="C661"/>
    </row>
    <row r="662" spans="2:3" ht="15" x14ac:dyDescent="0.25">
      <c r="B662"/>
      <c r="C662"/>
    </row>
    <row r="663" spans="2:3" ht="15" x14ac:dyDescent="0.25">
      <c r="B663"/>
      <c r="C663"/>
    </row>
    <row r="664" spans="2:3" ht="15" x14ac:dyDescent="0.25">
      <c r="B664"/>
      <c r="C664"/>
    </row>
    <row r="665" spans="2:3" ht="15" x14ac:dyDescent="0.25">
      <c r="B665"/>
      <c r="C665"/>
    </row>
    <row r="666" spans="2:3" ht="15" x14ac:dyDescent="0.25">
      <c r="B666"/>
      <c r="C666"/>
    </row>
    <row r="667" spans="2:3" ht="15" x14ac:dyDescent="0.25">
      <c r="B667"/>
      <c r="C667"/>
    </row>
    <row r="668" spans="2:3" ht="15" x14ac:dyDescent="0.25">
      <c r="B668"/>
      <c r="C668"/>
    </row>
    <row r="669" spans="2:3" ht="15" x14ac:dyDescent="0.25">
      <c r="B669"/>
      <c r="C669"/>
    </row>
    <row r="670" spans="2:3" ht="15" x14ac:dyDescent="0.25">
      <c r="B670"/>
      <c r="C670"/>
    </row>
    <row r="671" spans="2:3" ht="15" x14ac:dyDescent="0.25">
      <c r="B671"/>
      <c r="C671"/>
    </row>
    <row r="672" spans="2:3" ht="15" x14ac:dyDescent="0.25">
      <c r="B672"/>
      <c r="C672"/>
    </row>
    <row r="673" spans="2:3" ht="15" x14ac:dyDescent="0.25">
      <c r="B673"/>
      <c r="C673"/>
    </row>
    <row r="674" spans="2:3" ht="15" x14ac:dyDescent="0.25">
      <c r="B674"/>
      <c r="C674"/>
    </row>
    <row r="675" spans="2:3" ht="15" x14ac:dyDescent="0.25">
      <c r="B675"/>
      <c r="C675"/>
    </row>
    <row r="676" spans="2:3" ht="15" x14ac:dyDescent="0.25">
      <c r="B676"/>
      <c r="C676"/>
    </row>
    <row r="677" spans="2:3" ht="15" x14ac:dyDescent="0.25">
      <c r="B677"/>
      <c r="C677"/>
    </row>
    <row r="678" spans="2:3" ht="15" x14ac:dyDescent="0.25">
      <c r="B678"/>
      <c r="C678"/>
    </row>
    <row r="679" spans="2:3" ht="15" x14ac:dyDescent="0.25">
      <c r="B679"/>
      <c r="C679"/>
    </row>
    <row r="680" spans="2:3" ht="15" x14ac:dyDescent="0.25">
      <c r="B680"/>
      <c r="C680"/>
    </row>
    <row r="681" spans="2:3" ht="15" x14ac:dyDescent="0.25">
      <c r="B681"/>
      <c r="C681"/>
    </row>
    <row r="682" spans="2:3" ht="15" x14ac:dyDescent="0.25">
      <c r="B682"/>
      <c r="C682"/>
    </row>
    <row r="683" spans="2:3" ht="15" x14ac:dyDescent="0.25">
      <c r="B683"/>
      <c r="C683"/>
    </row>
    <row r="684" spans="2:3" ht="15" x14ac:dyDescent="0.25">
      <c r="B684"/>
      <c r="C684"/>
    </row>
    <row r="685" spans="2:3" ht="15" x14ac:dyDescent="0.25">
      <c r="B685"/>
      <c r="C685"/>
    </row>
    <row r="686" spans="2:3" ht="15" x14ac:dyDescent="0.25">
      <c r="B686"/>
      <c r="C686"/>
    </row>
    <row r="687" spans="2:3" ht="15" x14ac:dyDescent="0.25">
      <c r="B687"/>
      <c r="C687"/>
    </row>
    <row r="688" spans="2:3" ht="15" x14ac:dyDescent="0.25">
      <c r="B688"/>
      <c r="C688"/>
    </row>
    <row r="689" spans="2:3" ht="15" x14ac:dyDescent="0.25">
      <c r="B689"/>
      <c r="C689"/>
    </row>
    <row r="690" spans="2:3" ht="15" x14ac:dyDescent="0.25">
      <c r="B690"/>
      <c r="C690"/>
    </row>
    <row r="691" spans="2:3" ht="15" x14ac:dyDescent="0.25">
      <c r="B691"/>
      <c r="C691"/>
    </row>
    <row r="692" spans="2:3" ht="15" x14ac:dyDescent="0.25">
      <c r="B692"/>
      <c r="C692"/>
    </row>
    <row r="693" spans="2:3" ht="15" x14ac:dyDescent="0.25">
      <c r="B693"/>
      <c r="C693"/>
    </row>
    <row r="694" spans="2:3" ht="15" x14ac:dyDescent="0.25">
      <c r="B694"/>
      <c r="C694"/>
    </row>
    <row r="695" spans="2:3" ht="15" x14ac:dyDescent="0.25">
      <c r="B695"/>
      <c r="C695"/>
    </row>
    <row r="696" spans="2:3" ht="15" x14ac:dyDescent="0.25">
      <c r="B696"/>
      <c r="C696"/>
    </row>
    <row r="697" spans="2:3" ht="15" x14ac:dyDescent="0.25">
      <c r="B697"/>
      <c r="C697"/>
    </row>
    <row r="698" spans="2:3" ht="15" x14ac:dyDescent="0.25">
      <c r="B698"/>
      <c r="C698"/>
    </row>
    <row r="699" spans="2:3" ht="15" x14ac:dyDescent="0.25">
      <c r="B699"/>
      <c r="C699"/>
    </row>
    <row r="700" spans="2:3" ht="15" x14ac:dyDescent="0.25">
      <c r="B700"/>
      <c r="C700"/>
    </row>
    <row r="701" spans="2:3" ht="15" x14ac:dyDescent="0.25">
      <c r="B701"/>
      <c r="C701"/>
    </row>
    <row r="702" spans="2:3" ht="15" x14ac:dyDescent="0.25">
      <c r="B702"/>
      <c r="C702"/>
    </row>
    <row r="703" spans="2:3" ht="15" x14ac:dyDescent="0.25">
      <c r="B703"/>
      <c r="C703"/>
    </row>
    <row r="704" spans="2:3" ht="15" x14ac:dyDescent="0.25">
      <c r="B704"/>
      <c r="C704"/>
    </row>
    <row r="705" spans="2:3" ht="15" x14ac:dyDescent="0.25">
      <c r="B705"/>
      <c r="C705"/>
    </row>
    <row r="706" spans="2:3" ht="15" x14ac:dyDescent="0.25">
      <c r="B706"/>
      <c r="C706"/>
    </row>
    <row r="707" spans="2:3" ht="15" x14ac:dyDescent="0.25">
      <c r="B707"/>
      <c r="C707"/>
    </row>
    <row r="708" spans="2:3" ht="15" x14ac:dyDescent="0.25">
      <c r="B708"/>
      <c r="C708"/>
    </row>
    <row r="709" spans="2:3" ht="15" x14ac:dyDescent="0.25">
      <c r="B709"/>
      <c r="C709"/>
    </row>
    <row r="710" spans="2:3" ht="15" x14ac:dyDescent="0.25">
      <c r="B710"/>
      <c r="C710"/>
    </row>
    <row r="711" spans="2:3" ht="15" x14ac:dyDescent="0.25">
      <c r="B711"/>
      <c r="C711"/>
    </row>
    <row r="712" spans="2:3" ht="15" x14ac:dyDescent="0.25">
      <c r="B712"/>
      <c r="C712"/>
    </row>
    <row r="713" spans="2:3" ht="15" x14ac:dyDescent="0.25">
      <c r="B713"/>
      <c r="C713"/>
    </row>
    <row r="714" spans="2:3" ht="15" x14ac:dyDescent="0.25">
      <c r="B714"/>
      <c r="C714"/>
    </row>
    <row r="715" spans="2:3" ht="15" x14ac:dyDescent="0.25">
      <c r="B715"/>
      <c r="C715"/>
    </row>
    <row r="716" spans="2:3" ht="15" x14ac:dyDescent="0.25">
      <c r="B716"/>
      <c r="C716"/>
    </row>
    <row r="717" spans="2:3" ht="15" x14ac:dyDescent="0.25">
      <c r="B717"/>
      <c r="C717"/>
    </row>
    <row r="718" spans="2:3" ht="15" x14ac:dyDescent="0.25">
      <c r="B718"/>
      <c r="C718"/>
    </row>
    <row r="719" spans="2:3" ht="15" x14ac:dyDescent="0.25">
      <c r="B719"/>
      <c r="C719"/>
    </row>
    <row r="720" spans="2:3" ht="15" x14ac:dyDescent="0.25">
      <c r="B720"/>
      <c r="C720"/>
    </row>
    <row r="721" spans="2:3" ht="15" x14ac:dyDescent="0.25">
      <c r="B721"/>
      <c r="C721"/>
    </row>
    <row r="722" spans="2:3" ht="15" x14ac:dyDescent="0.25">
      <c r="B722"/>
      <c r="C722"/>
    </row>
    <row r="723" spans="2:3" ht="15" x14ac:dyDescent="0.25">
      <c r="B723"/>
      <c r="C723"/>
    </row>
    <row r="724" spans="2:3" ht="15" x14ac:dyDescent="0.25">
      <c r="B724"/>
      <c r="C724"/>
    </row>
    <row r="725" spans="2:3" ht="15" x14ac:dyDescent="0.25">
      <c r="B725"/>
      <c r="C725"/>
    </row>
    <row r="726" spans="2:3" ht="15" x14ac:dyDescent="0.25">
      <c r="B726"/>
      <c r="C726"/>
    </row>
    <row r="727" spans="2:3" ht="15" x14ac:dyDescent="0.25">
      <c r="B727"/>
      <c r="C727"/>
    </row>
    <row r="728" spans="2:3" ht="15" x14ac:dyDescent="0.25">
      <c r="B728"/>
      <c r="C728"/>
    </row>
    <row r="729" spans="2:3" ht="15" x14ac:dyDescent="0.25">
      <c r="B729"/>
      <c r="C729"/>
    </row>
    <row r="730" spans="2:3" ht="15" x14ac:dyDescent="0.25">
      <c r="B730"/>
      <c r="C730"/>
    </row>
    <row r="731" spans="2:3" ht="15" x14ac:dyDescent="0.25">
      <c r="B731"/>
      <c r="C731"/>
    </row>
    <row r="732" spans="2:3" ht="15" x14ac:dyDescent="0.25">
      <c r="B732"/>
      <c r="C732"/>
    </row>
    <row r="733" spans="2:3" ht="15" x14ac:dyDescent="0.25">
      <c r="B733"/>
      <c r="C733"/>
    </row>
    <row r="734" spans="2:3" ht="15" x14ac:dyDescent="0.25">
      <c r="B734"/>
      <c r="C734"/>
    </row>
    <row r="735" spans="2:3" ht="15" x14ac:dyDescent="0.25">
      <c r="B735"/>
      <c r="C735"/>
    </row>
    <row r="736" spans="2:3" ht="15" x14ac:dyDescent="0.25">
      <c r="B736"/>
      <c r="C736"/>
    </row>
    <row r="737" spans="2:3" ht="15" x14ac:dyDescent="0.25">
      <c r="B737"/>
      <c r="C737"/>
    </row>
    <row r="738" spans="2:3" ht="15" x14ac:dyDescent="0.25">
      <c r="B738"/>
      <c r="C738"/>
    </row>
    <row r="739" spans="2:3" ht="15" x14ac:dyDescent="0.25">
      <c r="B739"/>
      <c r="C739"/>
    </row>
    <row r="740" spans="2:3" ht="15" x14ac:dyDescent="0.25">
      <c r="B740"/>
      <c r="C740"/>
    </row>
    <row r="741" spans="2:3" ht="15" x14ac:dyDescent="0.25">
      <c r="B741"/>
      <c r="C741"/>
    </row>
    <row r="742" spans="2:3" ht="15" x14ac:dyDescent="0.25">
      <c r="B742"/>
      <c r="C742"/>
    </row>
    <row r="743" spans="2:3" ht="15" x14ac:dyDescent="0.25">
      <c r="B743"/>
      <c r="C743"/>
    </row>
    <row r="744" spans="2:3" ht="15" x14ac:dyDescent="0.25">
      <c r="B744"/>
      <c r="C744"/>
    </row>
    <row r="745" spans="2:3" ht="15" x14ac:dyDescent="0.25">
      <c r="B745"/>
      <c r="C745"/>
    </row>
    <row r="746" spans="2:3" ht="15" x14ac:dyDescent="0.25">
      <c r="B746"/>
      <c r="C746"/>
    </row>
    <row r="747" spans="2:3" ht="15" x14ac:dyDescent="0.25">
      <c r="B747"/>
      <c r="C747"/>
    </row>
    <row r="748" spans="2:3" ht="15" x14ac:dyDescent="0.25">
      <c r="B748"/>
      <c r="C748"/>
    </row>
    <row r="749" spans="2:3" ht="15" x14ac:dyDescent="0.25">
      <c r="B749"/>
      <c r="C749"/>
    </row>
    <row r="750" spans="2:3" ht="15" x14ac:dyDescent="0.25">
      <c r="B750"/>
      <c r="C750"/>
    </row>
    <row r="751" spans="2:3" ht="15" x14ac:dyDescent="0.25">
      <c r="B751"/>
      <c r="C751"/>
    </row>
    <row r="752" spans="2:3" ht="15" x14ac:dyDescent="0.25">
      <c r="B752"/>
      <c r="C752"/>
    </row>
    <row r="753" spans="2:3" ht="15" x14ac:dyDescent="0.25">
      <c r="B753"/>
      <c r="C753"/>
    </row>
    <row r="754" spans="2:3" ht="15" x14ac:dyDescent="0.25">
      <c r="B754"/>
      <c r="C754"/>
    </row>
    <row r="755" spans="2:3" ht="15" x14ac:dyDescent="0.25">
      <c r="B755"/>
      <c r="C755"/>
    </row>
    <row r="756" spans="2:3" ht="15" x14ac:dyDescent="0.25">
      <c r="B756"/>
      <c r="C756"/>
    </row>
    <row r="757" spans="2:3" ht="15" x14ac:dyDescent="0.25">
      <c r="B757"/>
      <c r="C757"/>
    </row>
    <row r="758" spans="2:3" ht="15" x14ac:dyDescent="0.25">
      <c r="B758"/>
      <c r="C758"/>
    </row>
    <row r="759" spans="2:3" ht="15" x14ac:dyDescent="0.25">
      <c r="B759"/>
      <c r="C759"/>
    </row>
    <row r="760" spans="2:3" ht="15" x14ac:dyDescent="0.25">
      <c r="B760"/>
      <c r="C760"/>
    </row>
    <row r="761" spans="2:3" ht="15" x14ac:dyDescent="0.25">
      <c r="B761"/>
      <c r="C761"/>
    </row>
    <row r="762" spans="2:3" ht="15" x14ac:dyDescent="0.25">
      <c r="B762"/>
      <c r="C762"/>
    </row>
    <row r="763" spans="2:3" ht="15" x14ac:dyDescent="0.25">
      <c r="B763"/>
      <c r="C763"/>
    </row>
    <row r="764" spans="2:3" ht="15" x14ac:dyDescent="0.25">
      <c r="B764"/>
      <c r="C764"/>
    </row>
    <row r="765" spans="2:3" ht="15" x14ac:dyDescent="0.25">
      <c r="B765"/>
      <c r="C765"/>
    </row>
    <row r="766" spans="2:3" ht="15" x14ac:dyDescent="0.25">
      <c r="B766"/>
      <c r="C766"/>
    </row>
    <row r="767" spans="2:3" ht="15" x14ac:dyDescent="0.25">
      <c r="B767"/>
      <c r="C767"/>
    </row>
    <row r="768" spans="2:3" ht="15" x14ac:dyDescent="0.25">
      <c r="B768"/>
      <c r="C768"/>
    </row>
    <row r="769" spans="2:3" ht="15" x14ac:dyDescent="0.25">
      <c r="B769"/>
      <c r="C769"/>
    </row>
    <row r="770" spans="2:3" ht="15" x14ac:dyDescent="0.25">
      <c r="B770"/>
      <c r="C770"/>
    </row>
    <row r="771" spans="2:3" ht="15" x14ac:dyDescent="0.25">
      <c r="B771"/>
      <c r="C771"/>
    </row>
    <row r="772" spans="2:3" ht="15" x14ac:dyDescent="0.25">
      <c r="B772"/>
      <c r="C772"/>
    </row>
    <row r="773" spans="2:3" ht="15" x14ac:dyDescent="0.25">
      <c r="B773"/>
      <c r="C773"/>
    </row>
    <row r="774" spans="2:3" ht="15" x14ac:dyDescent="0.25">
      <c r="B774"/>
      <c r="C774"/>
    </row>
    <row r="775" spans="2:3" ht="15" x14ac:dyDescent="0.25">
      <c r="B775"/>
      <c r="C775"/>
    </row>
    <row r="776" spans="2:3" ht="15" x14ac:dyDescent="0.25">
      <c r="B776"/>
      <c r="C776"/>
    </row>
    <row r="777" spans="2:3" ht="15" x14ac:dyDescent="0.25">
      <c r="B777"/>
      <c r="C777"/>
    </row>
  </sheetData>
  <pageMargins left="0.7" right="0.7" top="0.75" bottom="0.75" header="0.3" footer="0.3"/>
  <pageSetup paperSize="9" orientation="portrait" r:id="rId68"/>
  <headerFooter>
    <oddHeader>&amp;L&amp;"Calibri"&amp;10&amp;K000000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19"/>
  <sheetViews>
    <sheetView zoomScaleNormal="100" zoomScaleSheetLayoutView="85" workbookViewId="0">
      <pane ySplit="1" topLeftCell="A2" activePane="bottomLeft" state="frozen"/>
      <selection activeCell="B2" sqref="B2:Z2"/>
      <selection pane="bottomLeft"/>
    </sheetView>
  </sheetViews>
  <sheetFormatPr defaultColWidth="9.140625" defaultRowHeight="15" customHeight="1" x14ac:dyDescent="0.25"/>
  <cols>
    <col min="1" max="1" width="16.7109375" style="274" customWidth="1"/>
    <col min="2" max="2" width="13.140625" style="277" customWidth="1"/>
    <col min="3" max="3" width="14.7109375" style="277" customWidth="1"/>
    <col min="4" max="4" width="12.140625" style="274" customWidth="1"/>
    <col min="5" max="6" width="12.28515625" style="274" customWidth="1"/>
    <col min="7" max="7" width="14.28515625" style="274" customWidth="1"/>
    <col min="8" max="8" width="29.140625" style="274" customWidth="1"/>
    <col min="9" max="9" width="17" style="276" customWidth="1"/>
    <col min="10" max="11" width="9.42578125" style="276" customWidth="1"/>
    <col min="12" max="12" width="19" style="276" customWidth="1"/>
    <col min="13" max="13" width="44.5703125" style="277" customWidth="1"/>
    <col min="14" max="14" width="41.42578125" style="277" customWidth="1"/>
    <col min="15" max="15" width="13.28515625" style="276" customWidth="1"/>
    <col min="16" max="16" width="16" style="276" customWidth="1"/>
    <col min="17" max="24" width="10.28515625" style="276" customWidth="1"/>
    <col min="25" max="25" width="10" style="276" customWidth="1"/>
    <col min="26" max="26" width="10.42578125" style="276" customWidth="1"/>
    <col min="27" max="34" width="10.28515625" style="276" customWidth="1"/>
    <col min="35" max="35" width="9.42578125" style="276" customWidth="1"/>
    <col min="36" max="43" width="9.42578125" customWidth="1"/>
    <col min="44" max="44" width="11.5703125" style="276" customWidth="1"/>
    <col min="45" max="45" width="11.5703125" customWidth="1"/>
    <col min="46" max="46" width="9.140625" style="276" customWidth="1"/>
    <col min="47" max="64" width="9.140625" style="274" customWidth="1"/>
    <col min="65" max="66" width="9.140625" style="276" customWidth="1"/>
    <col min="67" max="67" width="9.140625" style="247" customWidth="1"/>
    <col min="68" max="69" width="9.140625" style="276" customWidth="1"/>
    <col min="70" max="70" width="28.28515625" style="276" customWidth="1"/>
    <col min="71" max="71" width="31.7109375" style="276" customWidth="1"/>
    <col min="72" max="77" width="15.85546875" style="276" customWidth="1"/>
    <col min="78" max="78" width="18.42578125" style="276" customWidth="1"/>
    <col min="79" max="79" width="15.85546875" style="276" customWidth="1"/>
    <col min="80" max="80" width="43.7109375" style="276" customWidth="1"/>
    <col min="81" max="81" width="9.140625" style="276" customWidth="1"/>
    <col min="82" max="16384" width="9.140625" style="274"/>
  </cols>
  <sheetData>
    <row r="1" spans="1:81" ht="50.1" customHeight="1" x14ac:dyDescent="0.25">
      <c r="A1" s="273" t="s">
        <v>370</v>
      </c>
      <c r="B1" s="387" t="s">
        <v>256</v>
      </c>
      <c r="C1" s="387" t="s">
        <v>288</v>
      </c>
      <c r="D1" s="387" t="s">
        <v>334</v>
      </c>
      <c r="E1" s="387" t="s">
        <v>371</v>
      </c>
      <c r="F1" s="387" t="s">
        <v>372</v>
      </c>
      <c r="G1" s="387" t="s">
        <v>373</v>
      </c>
      <c r="H1" s="387" t="s">
        <v>250</v>
      </c>
      <c r="I1" s="387" t="s">
        <v>300</v>
      </c>
      <c r="J1" s="387" t="s">
        <v>275</v>
      </c>
      <c r="K1" s="388" t="s">
        <v>374</v>
      </c>
      <c r="L1" s="388" t="s">
        <v>375</v>
      </c>
      <c r="M1" s="388" t="s">
        <v>376</v>
      </c>
      <c r="N1" s="388" t="s">
        <v>377</v>
      </c>
      <c r="O1" s="276" t="s">
        <v>378</v>
      </c>
      <c r="P1" s="273" t="s">
        <v>379</v>
      </c>
      <c r="Q1" s="273" t="s">
        <v>380</v>
      </c>
      <c r="R1" s="273" t="s">
        <v>381</v>
      </c>
      <c r="S1" s="273" t="s">
        <v>382</v>
      </c>
      <c r="T1" s="273" t="s">
        <v>383</v>
      </c>
      <c r="U1" s="273" t="s">
        <v>384</v>
      </c>
      <c r="V1" s="273" t="s">
        <v>385</v>
      </c>
      <c r="W1" s="273" t="s">
        <v>386</v>
      </c>
      <c r="X1" s="273" t="s">
        <v>387</v>
      </c>
      <c r="Y1" s="234" t="s">
        <v>388</v>
      </c>
      <c r="Z1" s="273" t="s">
        <v>389</v>
      </c>
      <c r="AA1" s="273" t="s">
        <v>390</v>
      </c>
      <c r="AB1" s="273" t="s">
        <v>391</v>
      </c>
      <c r="AC1" s="273" t="s">
        <v>392</v>
      </c>
      <c r="AD1" s="273" t="s">
        <v>393</v>
      </c>
      <c r="AE1" s="273" t="s">
        <v>394</v>
      </c>
      <c r="AF1" s="273" t="s">
        <v>395</v>
      </c>
      <c r="AG1" s="273" t="s">
        <v>396</v>
      </c>
      <c r="AH1" s="273" t="s">
        <v>397</v>
      </c>
      <c r="AI1" s="237" t="s">
        <v>398</v>
      </c>
      <c r="AJ1" s="273" t="s">
        <v>399</v>
      </c>
      <c r="AK1" s="273" t="s">
        <v>400</v>
      </c>
      <c r="AL1" s="273" t="s">
        <v>401</v>
      </c>
      <c r="AM1" s="273" t="s">
        <v>402</v>
      </c>
      <c r="AN1" s="273" t="s">
        <v>403</v>
      </c>
      <c r="AO1" s="273" t="s">
        <v>404</v>
      </c>
      <c r="AP1" s="273" t="s">
        <v>405</v>
      </c>
      <c r="AQ1" s="273" t="s">
        <v>406</v>
      </c>
      <c r="AR1" s="273" t="s">
        <v>407</v>
      </c>
      <c r="AS1" s="273" t="s">
        <v>408</v>
      </c>
      <c r="AT1" s="232" t="s">
        <v>409</v>
      </c>
      <c r="AU1" s="233" t="s">
        <v>410</v>
      </c>
      <c r="AV1" s="233" t="s">
        <v>411</v>
      </c>
      <c r="AW1" s="234" t="s">
        <v>412</v>
      </c>
      <c r="AX1" s="234" t="s">
        <v>413</v>
      </c>
      <c r="AY1" s="235" t="s">
        <v>414</v>
      </c>
      <c r="AZ1" s="234" t="s">
        <v>415</v>
      </c>
      <c r="BA1" s="234" t="s">
        <v>416</v>
      </c>
      <c r="BB1" s="234" t="s">
        <v>417</v>
      </c>
      <c r="BC1" s="234" t="s">
        <v>418</v>
      </c>
      <c r="BD1" s="235" t="s">
        <v>419</v>
      </c>
      <c r="BE1" s="234" t="s">
        <v>420</v>
      </c>
      <c r="BF1" s="234" t="s">
        <v>421</v>
      </c>
      <c r="BG1" s="234" t="s">
        <v>422</v>
      </c>
      <c r="BH1" s="234" t="s">
        <v>423</v>
      </c>
      <c r="BI1" s="234" t="s">
        <v>424</v>
      </c>
      <c r="BJ1" s="234" t="s">
        <v>425</v>
      </c>
      <c r="BK1" s="236" t="s">
        <v>426</v>
      </c>
      <c r="BL1" s="237" t="s">
        <v>427</v>
      </c>
      <c r="BM1" s="273" t="s">
        <v>428</v>
      </c>
      <c r="BN1" s="273" t="s">
        <v>429</v>
      </c>
      <c r="BO1" s="237" t="s">
        <v>430</v>
      </c>
      <c r="BP1" s="293" t="s">
        <v>431</v>
      </c>
      <c r="BQ1" s="293" t="s">
        <v>432</v>
      </c>
      <c r="BR1" s="295" t="s">
        <v>433</v>
      </c>
      <c r="BS1" s="273" t="s">
        <v>434</v>
      </c>
      <c r="BT1" s="295" t="s">
        <v>435</v>
      </c>
      <c r="BU1" s="295" t="s">
        <v>436</v>
      </c>
      <c r="BV1" s="295" t="s">
        <v>437</v>
      </c>
      <c r="BW1" s="295" t="s">
        <v>144</v>
      </c>
      <c r="BX1" s="295" t="s">
        <v>438</v>
      </c>
      <c r="BY1" s="295" t="s">
        <v>439</v>
      </c>
      <c r="BZ1" s="295" t="s">
        <v>440</v>
      </c>
      <c r="CA1" s="295" t="s">
        <v>441</v>
      </c>
      <c r="CB1" s="295" t="s">
        <v>442</v>
      </c>
      <c r="CC1" s="293" t="s">
        <v>150</v>
      </c>
    </row>
    <row r="2" spans="1:81" ht="15" customHeight="1" x14ac:dyDescent="0.25">
      <c r="A2" s="274" t="s">
        <v>443</v>
      </c>
      <c r="B2" s="274" t="s">
        <v>444</v>
      </c>
      <c r="C2" s="274"/>
      <c r="D2" s="275">
        <v>44711</v>
      </c>
      <c r="E2" s="275">
        <v>45807</v>
      </c>
      <c r="F2" s="275">
        <v>44866</v>
      </c>
      <c r="G2" s="275">
        <v>45230</v>
      </c>
      <c r="H2" s="274" t="s">
        <v>248</v>
      </c>
      <c r="I2" s="238" t="s">
        <v>303</v>
      </c>
      <c r="K2" s="317">
        <f t="shared" ref="K2:K9" si="0">(G2-D2)/365</f>
        <v>1.4219178082191781</v>
      </c>
      <c r="L2" s="317" t="s">
        <v>368</v>
      </c>
      <c r="M2" s="277" t="s">
        <v>445</v>
      </c>
      <c r="N2" s="274" t="s">
        <v>446</v>
      </c>
      <c r="O2" s="276" t="s">
        <v>447</v>
      </c>
      <c r="Y2" s="276">
        <f t="shared" ref="Y2:Y65" si="1">SUM(Q2:X2)</f>
        <v>0</v>
      </c>
      <c r="AA2" s="276">
        <v>5</v>
      </c>
      <c r="AB2" s="276">
        <v>9</v>
      </c>
      <c r="AC2" s="276">
        <v>1</v>
      </c>
      <c r="AI2" s="276">
        <f t="shared" ref="AI2:AI65" si="2">SUM(AA2:AH2)</f>
        <v>15</v>
      </c>
      <c r="AJ2">
        <f t="shared" ref="AJ2:AJ65" si="3">AA2-Q2</f>
        <v>5</v>
      </c>
      <c r="AK2">
        <f t="shared" ref="AK2:AK65" si="4">AB2-R2</f>
        <v>9</v>
      </c>
      <c r="AL2">
        <f t="shared" ref="AL2:AL65" si="5">AC2-S2</f>
        <v>1</v>
      </c>
      <c r="AM2">
        <f t="shared" ref="AM2:AM65" si="6">AD2-T2</f>
        <v>0</v>
      </c>
      <c r="AN2">
        <f t="shared" ref="AN2:AN65" si="7">AE2-U2</f>
        <v>0</v>
      </c>
      <c r="AO2">
        <f t="shared" ref="AO2:AO65" si="8">AF2-V2</f>
        <v>0</v>
      </c>
      <c r="AP2">
        <f t="shared" ref="AP2:AP65" si="9">AG2-W2</f>
        <v>0</v>
      </c>
      <c r="AQ2">
        <f t="shared" ref="AQ2:AQ65" si="10">AH2-X2</f>
        <v>0</v>
      </c>
      <c r="AR2" s="276">
        <f t="shared" ref="AR2:AR65" si="11">AI2-Y2</f>
        <v>15</v>
      </c>
      <c r="AS2" t="s">
        <v>325</v>
      </c>
      <c r="AT2" s="278">
        <f t="shared" ref="AT2:AT33" si="12">AR2</f>
        <v>15</v>
      </c>
      <c r="AY2" s="279"/>
      <c r="BD2" s="279"/>
      <c r="BK2" s="280">
        <f t="shared" ref="BK2:BK65" si="13">SUM(AU2:AY2)</f>
        <v>0</v>
      </c>
      <c r="BL2" s="274">
        <f t="shared" ref="BL2:BL65" si="14">SUM(AU2:BD2)</f>
        <v>0</v>
      </c>
      <c r="BP2" s="281">
        <v>512716</v>
      </c>
      <c r="BQ2" s="281">
        <v>173569</v>
      </c>
      <c r="BR2" t="s">
        <v>147</v>
      </c>
      <c r="BS2" t="s">
        <v>164</v>
      </c>
      <c r="BT2"/>
      <c r="BU2"/>
      <c r="BV2" t="s">
        <v>448</v>
      </c>
      <c r="BW2" t="s">
        <v>325</v>
      </c>
      <c r="BX2"/>
      <c r="BY2"/>
      <c r="BZ2"/>
      <c r="CA2"/>
      <c r="CB2" t="s">
        <v>194</v>
      </c>
    </row>
    <row r="3" spans="1:81" ht="15" customHeight="1" x14ac:dyDescent="0.25">
      <c r="A3" s="274" t="s">
        <v>449</v>
      </c>
      <c r="B3" s="274" t="s">
        <v>444</v>
      </c>
      <c r="C3" s="274"/>
      <c r="D3" s="275">
        <v>44043</v>
      </c>
      <c r="E3" s="275">
        <v>45138</v>
      </c>
      <c r="F3" s="275">
        <v>44809</v>
      </c>
      <c r="G3" s="275">
        <v>45322</v>
      </c>
      <c r="H3" s="274" t="s">
        <v>248</v>
      </c>
      <c r="I3" s="238" t="s">
        <v>303</v>
      </c>
      <c r="K3" s="317">
        <f t="shared" si="0"/>
        <v>3.504109589041096</v>
      </c>
      <c r="L3" s="317" t="s">
        <v>365</v>
      </c>
      <c r="M3" s="277" t="s">
        <v>450</v>
      </c>
      <c r="N3" s="277" t="s">
        <v>451</v>
      </c>
      <c r="O3" s="276" t="s">
        <v>452</v>
      </c>
      <c r="S3" s="276">
        <v>1</v>
      </c>
      <c r="Y3" s="276">
        <f t="shared" si="1"/>
        <v>1</v>
      </c>
      <c r="AD3" s="276">
        <v>2</v>
      </c>
      <c r="AI3" s="276">
        <f t="shared" si="2"/>
        <v>2</v>
      </c>
      <c r="AJ3">
        <f t="shared" si="3"/>
        <v>0</v>
      </c>
      <c r="AK3">
        <f t="shared" si="4"/>
        <v>0</v>
      </c>
      <c r="AL3">
        <f t="shared" si="5"/>
        <v>-1</v>
      </c>
      <c r="AM3">
        <f t="shared" si="6"/>
        <v>2</v>
      </c>
      <c r="AN3">
        <f t="shared" si="7"/>
        <v>0</v>
      </c>
      <c r="AO3">
        <f t="shared" si="8"/>
        <v>0</v>
      </c>
      <c r="AP3">
        <f t="shared" si="9"/>
        <v>0</v>
      </c>
      <c r="AQ3">
        <f t="shared" si="10"/>
        <v>0</v>
      </c>
      <c r="AR3" s="276">
        <f t="shared" si="11"/>
        <v>1</v>
      </c>
      <c r="AT3" s="278">
        <f t="shared" si="12"/>
        <v>1</v>
      </c>
      <c r="AY3" s="279"/>
      <c r="BD3" s="279"/>
      <c r="BK3" s="280">
        <f t="shared" si="13"/>
        <v>0</v>
      </c>
      <c r="BL3" s="274">
        <f t="shared" si="14"/>
        <v>0</v>
      </c>
      <c r="BP3" s="281">
        <v>513728</v>
      </c>
      <c r="BQ3" s="281">
        <v>170628</v>
      </c>
      <c r="BR3" s="296" t="s">
        <v>183</v>
      </c>
      <c r="BS3" t="s">
        <v>162</v>
      </c>
      <c r="BT3"/>
      <c r="BU3"/>
      <c r="BV3"/>
      <c r="BW3"/>
      <c r="BX3"/>
      <c r="BY3"/>
      <c r="BZ3"/>
      <c r="CA3"/>
      <c r="CB3" t="s">
        <v>189</v>
      </c>
    </row>
    <row r="4" spans="1:81" ht="15" customHeight="1" x14ac:dyDescent="0.25">
      <c r="A4" s="274" t="s">
        <v>453</v>
      </c>
      <c r="B4" s="274" t="s">
        <v>444</v>
      </c>
      <c r="C4" s="274"/>
      <c r="D4" s="275">
        <v>43992</v>
      </c>
      <c r="E4" s="275">
        <v>45087</v>
      </c>
      <c r="F4" s="275">
        <v>44286</v>
      </c>
      <c r="G4" s="275">
        <v>45244</v>
      </c>
      <c r="H4" s="274" t="s">
        <v>248</v>
      </c>
      <c r="I4" s="238" t="s">
        <v>303</v>
      </c>
      <c r="K4" s="317">
        <f t="shared" si="0"/>
        <v>3.43013698630137</v>
      </c>
      <c r="L4" s="317" t="s">
        <v>365</v>
      </c>
      <c r="M4" s="277" t="s">
        <v>454</v>
      </c>
      <c r="N4" s="277" t="s">
        <v>455</v>
      </c>
      <c r="O4" s="276" t="s">
        <v>456</v>
      </c>
      <c r="R4" s="276">
        <v>1</v>
      </c>
      <c r="Y4" s="276">
        <f t="shared" si="1"/>
        <v>1</v>
      </c>
      <c r="AE4" s="276">
        <v>2</v>
      </c>
      <c r="AI4" s="276">
        <f t="shared" si="2"/>
        <v>2</v>
      </c>
      <c r="AJ4">
        <f t="shared" si="3"/>
        <v>0</v>
      </c>
      <c r="AK4">
        <f t="shared" si="4"/>
        <v>-1</v>
      </c>
      <c r="AL4">
        <f t="shared" si="5"/>
        <v>0</v>
      </c>
      <c r="AM4">
        <f t="shared" si="6"/>
        <v>0</v>
      </c>
      <c r="AN4">
        <f t="shared" si="7"/>
        <v>2</v>
      </c>
      <c r="AO4">
        <f t="shared" si="8"/>
        <v>0</v>
      </c>
      <c r="AP4">
        <f t="shared" si="9"/>
        <v>0</v>
      </c>
      <c r="AQ4">
        <f t="shared" si="10"/>
        <v>0</v>
      </c>
      <c r="AR4" s="276">
        <f t="shared" si="11"/>
        <v>1</v>
      </c>
      <c r="AT4" s="278">
        <f t="shared" si="12"/>
        <v>1</v>
      </c>
      <c r="AY4" s="279"/>
      <c r="BD4" s="279"/>
      <c r="BK4" s="280">
        <f t="shared" si="13"/>
        <v>0</v>
      </c>
      <c r="BL4" s="274">
        <f t="shared" si="14"/>
        <v>0</v>
      </c>
      <c r="BP4" s="281">
        <v>514203</v>
      </c>
      <c r="BQ4" s="281">
        <v>169911</v>
      </c>
      <c r="BR4" s="296" t="s">
        <v>183</v>
      </c>
      <c r="BS4" t="s">
        <v>161</v>
      </c>
      <c r="BT4"/>
      <c r="BU4"/>
      <c r="BV4"/>
      <c r="BW4"/>
      <c r="BX4"/>
      <c r="BY4" t="s">
        <v>457</v>
      </c>
      <c r="BZ4" t="s">
        <v>325</v>
      </c>
      <c r="CA4"/>
      <c r="CB4" t="s">
        <v>189</v>
      </c>
    </row>
    <row r="5" spans="1:81" ht="15" customHeight="1" x14ac:dyDescent="0.25">
      <c r="A5" s="274" t="s">
        <v>458</v>
      </c>
      <c r="B5" s="277" t="s">
        <v>459</v>
      </c>
      <c r="D5" s="275">
        <v>44652</v>
      </c>
      <c r="E5" s="239">
        <v>45748</v>
      </c>
      <c r="F5" s="275">
        <v>45217</v>
      </c>
      <c r="G5" s="275">
        <v>45352</v>
      </c>
      <c r="H5" s="274" t="s">
        <v>248</v>
      </c>
      <c r="I5" s="238" t="s">
        <v>303</v>
      </c>
      <c r="K5" s="317">
        <f t="shared" si="0"/>
        <v>1.9178082191780821</v>
      </c>
      <c r="L5" s="317" t="s">
        <v>365</v>
      </c>
      <c r="M5" s="277" t="s">
        <v>460</v>
      </c>
      <c r="N5" s="277" t="s">
        <v>461</v>
      </c>
      <c r="O5" s="276" t="s">
        <v>462</v>
      </c>
      <c r="Y5" s="276">
        <f t="shared" si="1"/>
        <v>0</v>
      </c>
      <c r="AA5" s="276">
        <v>1</v>
      </c>
      <c r="AI5" s="276">
        <f t="shared" si="2"/>
        <v>1</v>
      </c>
      <c r="AJ5">
        <f t="shared" si="3"/>
        <v>1</v>
      </c>
      <c r="AK5">
        <f t="shared" si="4"/>
        <v>0</v>
      </c>
      <c r="AL5">
        <f t="shared" si="5"/>
        <v>0</v>
      </c>
      <c r="AM5">
        <f t="shared" si="6"/>
        <v>0</v>
      </c>
      <c r="AN5">
        <f t="shared" si="7"/>
        <v>0</v>
      </c>
      <c r="AO5">
        <f t="shared" si="8"/>
        <v>0</v>
      </c>
      <c r="AP5">
        <f t="shared" si="9"/>
        <v>0</v>
      </c>
      <c r="AQ5">
        <f t="shared" si="10"/>
        <v>0</v>
      </c>
      <c r="AR5" s="276">
        <f t="shared" si="11"/>
        <v>1</v>
      </c>
      <c r="AT5" s="278">
        <f t="shared" si="12"/>
        <v>1</v>
      </c>
      <c r="AY5" s="279"/>
      <c r="BD5" s="279"/>
      <c r="BK5" s="280">
        <f t="shared" si="13"/>
        <v>0</v>
      </c>
      <c r="BL5" s="274">
        <f t="shared" si="14"/>
        <v>0</v>
      </c>
      <c r="BP5" s="281">
        <v>517763</v>
      </c>
      <c r="BQ5" s="281">
        <v>171561</v>
      </c>
      <c r="BR5" s="296" t="s">
        <v>182</v>
      </c>
      <c r="BS5" t="s">
        <v>160</v>
      </c>
      <c r="BT5"/>
      <c r="BU5"/>
      <c r="BV5"/>
      <c r="BW5"/>
      <c r="BX5"/>
      <c r="BY5"/>
      <c r="BZ5"/>
      <c r="CA5"/>
      <c r="CB5" t="s">
        <v>188</v>
      </c>
    </row>
    <row r="6" spans="1:81" ht="15" customHeight="1" x14ac:dyDescent="0.25">
      <c r="A6" s="274" t="s">
        <v>463</v>
      </c>
      <c r="B6" s="277" t="s">
        <v>444</v>
      </c>
      <c r="D6" s="275">
        <v>44032</v>
      </c>
      <c r="E6" s="275">
        <v>45127</v>
      </c>
      <c r="F6" s="275">
        <v>44228</v>
      </c>
      <c r="G6" s="275">
        <v>45170</v>
      </c>
      <c r="H6" s="274" t="s">
        <v>248</v>
      </c>
      <c r="I6" s="238" t="s">
        <v>303</v>
      </c>
      <c r="K6" s="317">
        <f t="shared" si="0"/>
        <v>3.117808219178082</v>
      </c>
      <c r="L6" s="317" t="s">
        <v>365</v>
      </c>
      <c r="M6" s="277" t="s">
        <v>464</v>
      </c>
      <c r="N6" s="277" t="s">
        <v>465</v>
      </c>
      <c r="O6" s="276" t="s">
        <v>466</v>
      </c>
      <c r="V6" s="276">
        <v>1</v>
      </c>
      <c r="Y6" s="276">
        <f t="shared" si="1"/>
        <v>1</v>
      </c>
      <c r="AE6" s="276">
        <v>1</v>
      </c>
      <c r="AI6" s="276">
        <f t="shared" si="2"/>
        <v>1</v>
      </c>
      <c r="AJ6">
        <f t="shared" si="3"/>
        <v>0</v>
      </c>
      <c r="AK6">
        <f t="shared" si="4"/>
        <v>0</v>
      </c>
      <c r="AL6">
        <f t="shared" si="5"/>
        <v>0</v>
      </c>
      <c r="AM6">
        <f t="shared" si="6"/>
        <v>0</v>
      </c>
      <c r="AN6">
        <f t="shared" si="7"/>
        <v>1</v>
      </c>
      <c r="AO6">
        <f t="shared" si="8"/>
        <v>-1</v>
      </c>
      <c r="AP6">
        <f t="shared" si="9"/>
        <v>0</v>
      </c>
      <c r="AQ6">
        <f t="shared" si="10"/>
        <v>0</v>
      </c>
      <c r="AR6" s="276">
        <f t="shared" si="11"/>
        <v>0</v>
      </c>
      <c r="AT6" s="278">
        <f t="shared" si="12"/>
        <v>0</v>
      </c>
      <c r="AY6" s="279"/>
      <c r="BD6" s="279"/>
      <c r="BK6" s="280">
        <f t="shared" si="13"/>
        <v>0</v>
      </c>
      <c r="BL6" s="274">
        <f t="shared" si="14"/>
        <v>0</v>
      </c>
      <c r="BP6" s="281">
        <v>521978</v>
      </c>
      <c r="BQ6" s="281">
        <v>176841</v>
      </c>
      <c r="BR6" s="296" t="s">
        <v>181</v>
      </c>
      <c r="BS6" t="s">
        <v>158</v>
      </c>
      <c r="BT6"/>
      <c r="BU6"/>
      <c r="BV6"/>
      <c r="BW6"/>
      <c r="BX6"/>
      <c r="BY6"/>
      <c r="BZ6"/>
      <c r="CA6"/>
      <c r="CB6" t="s">
        <v>158</v>
      </c>
    </row>
    <row r="7" spans="1:81" ht="15" customHeight="1" x14ac:dyDescent="0.25">
      <c r="A7" s="274" t="s">
        <v>467</v>
      </c>
      <c r="B7" s="277" t="s">
        <v>444</v>
      </c>
      <c r="D7" s="275">
        <v>44103</v>
      </c>
      <c r="E7" s="275">
        <v>45355</v>
      </c>
      <c r="F7" s="275">
        <v>44651</v>
      </c>
      <c r="G7" s="275">
        <v>45326</v>
      </c>
      <c r="H7" s="274" t="s">
        <v>248</v>
      </c>
      <c r="I7" s="238" t="s">
        <v>303</v>
      </c>
      <c r="K7" s="317">
        <f t="shared" si="0"/>
        <v>3.3506849315068492</v>
      </c>
      <c r="L7" s="317" t="s">
        <v>366</v>
      </c>
      <c r="M7" s="277" t="s">
        <v>468</v>
      </c>
      <c r="N7" s="277" t="s">
        <v>469</v>
      </c>
      <c r="O7" s="276" t="s">
        <v>470</v>
      </c>
      <c r="T7" s="276">
        <v>1</v>
      </c>
      <c r="Y7" s="276">
        <f t="shared" si="1"/>
        <v>1</v>
      </c>
      <c r="AA7" s="276">
        <v>1</v>
      </c>
      <c r="AB7" s="276">
        <v>7</v>
      </c>
      <c r="AC7" s="276">
        <v>1</v>
      </c>
      <c r="AI7" s="276">
        <f t="shared" si="2"/>
        <v>9</v>
      </c>
      <c r="AJ7">
        <f t="shared" si="3"/>
        <v>1</v>
      </c>
      <c r="AK7">
        <f t="shared" si="4"/>
        <v>7</v>
      </c>
      <c r="AL7">
        <f t="shared" si="5"/>
        <v>1</v>
      </c>
      <c r="AM7">
        <f t="shared" si="6"/>
        <v>-1</v>
      </c>
      <c r="AN7">
        <f t="shared" si="7"/>
        <v>0</v>
      </c>
      <c r="AO7">
        <f t="shared" si="8"/>
        <v>0</v>
      </c>
      <c r="AP7">
        <f t="shared" si="9"/>
        <v>0</v>
      </c>
      <c r="AQ7">
        <f t="shared" si="10"/>
        <v>0</v>
      </c>
      <c r="AR7" s="276">
        <f t="shared" si="11"/>
        <v>8</v>
      </c>
      <c r="AT7" s="278">
        <f t="shared" si="12"/>
        <v>8</v>
      </c>
      <c r="AY7" s="279"/>
      <c r="BD7" s="279"/>
      <c r="BK7" s="280">
        <f t="shared" si="13"/>
        <v>0</v>
      </c>
      <c r="BL7" s="274">
        <f t="shared" si="14"/>
        <v>0</v>
      </c>
      <c r="BP7" s="281">
        <v>513824</v>
      </c>
      <c r="BQ7" s="281">
        <v>171219</v>
      </c>
      <c r="BR7" s="296" t="s">
        <v>183</v>
      </c>
      <c r="BS7" t="s">
        <v>162</v>
      </c>
      <c r="BT7"/>
      <c r="BU7"/>
      <c r="BV7"/>
      <c r="BW7"/>
      <c r="BX7"/>
      <c r="BY7"/>
      <c r="BZ7"/>
      <c r="CA7"/>
      <c r="CB7" t="s">
        <v>189</v>
      </c>
      <c r="CC7" s="276" t="s">
        <v>325</v>
      </c>
    </row>
    <row r="8" spans="1:81" ht="15" customHeight="1" x14ac:dyDescent="0.25">
      <c r="A8" s="274" t="s">
        <v>471</v>
      </c>
      <c r="B8" s="274" t="s">
        <v>459</v>
      </c>
      <c r="C8" s="274"/>
      <c r="D8" s="275">
        <v>44427</v>
      </c>
      <c r="E8" s="275">
        <v>45523</v>
      </c>
      <c r="F8" s="275">
        <v>44621</v>
      </c>
      <c r="G8" s="275">
        <v>45244</v>
      </c>
      <c r="H8" s="274" t="s">
        <v>248</v>
      </c>
      <c r="I8" s="238" t="s">
        <v>303</v>
      </c>
      <c r="K8" s="317">
        <f t="shared" si="0"/>
        <v>2.2383561643835614</v>
      </c>
      <c r="L8" s="317" t="s">
        <v>366</v>
      </c>
      <c r="M8" s="277" t="s">
        <v>472</v>
      </c>
      <c r="N8" s="277" t="s">
        <v>473</v>
      </c>
      <c r="O8" s="276" t="s">
        <v>474</v>
      </c>
      <c r="Y8" s="276">
        <f t="shared" si="1"/>
        <v>0</v>
      </c>
      <c r="AA8" s="276">
        <v>2</v>
      </c>
      <c r="AB8" s="276">
        <v>4</v>
      </c>
      <c r="AI8" s="276">
        <f t="shared" si="2"/>
        <v>6</v>
      </c>
      <c r="AJ8">
        <f t="shared" si="3"/>
        <v>2</v>
      </c>
      <c r="AK8">
        <f t="shared" si="4"/>
        <v>4</v>
      </c>
      <c r="AL8">
        <f t="shared" si="5"/>
        <v>0</v>
      </c>
      <c r="AM8">
        <f t="shared" si="6"/>
        <v>0</v>
      </c>
      <c r="AN8">
        <f t="shared" si="7"/>
        <v>0</v>
      </c>
      <c r="AO8">
        <f t="shared" si="8"/>
        <v>0</v>
      </c>
      <c r="AP8">
        <f t="shared" si="9"/>
        <v>0</v>
      </c>
      <c r="AQ8">
        <f t="shared" si="10"/>
        <v>0</v>
      </c>
      <c r="AR8" s="276">
        <f t="shared" si="11"/>
        <v>6</v>
      </c>
      <c r="AT8" s="278">
        <f t="shared" si="12"/>
        <v>6</v>
      </c>
      <c r="AY8" s="279"/>
      <c r="BD8" s="279"/>
      <c r="BK8" s="280">
        <f t="shared" si="13"/>
        <v>0</v>
      </c>
      <c r="BL8" s="274">
        <f t="shared" si="14"/>
        <v>0</v>
      </c>
      <c r="BP8" s="281">
        <v>516610</v>
      </c>
      <c r="BQ8" s="281">
        <v>175362</v>
      </c>
      <c r="BR8" s="296" t="s">
        <v>145</v>
      </c>
      <c r="BS8" t="s">
        <v>170</v>
      </c>
      <c r="BT8"/>
      <c r="BU8"/>
      <c r="BV8"/>
      <c r="BW8"/>
      <c r="BX8"/>
      <c r="BY8" t="s">
        <v>475</v>
      </c>
      <c r="BZ8" t="s">
        <v>325</v>
      </c>
      <c r="CA8"/>
      <c r="CB8" t="s">
        <v>193</v>
      </c>
    </row>
    <row r="9" spans="1:81" ht="15" customHeight="1" x14ac:dyDescent="0.25">
      <c r="A9" s="274" t="s">
        <v>476</v>
      </c>
      <c r="B9" s="277" t="s">
        <v>459</v>
      </c>
      <c r="C9" s="274" t="s">
        <v>293</v>
      </c>
      <c r="D9" s="275">
        <v>44889</v>
      </c>
      <c r="E9" s="275">
        <v>45985</v>
      </c>
      <c r="F9" s="275">
        <v>45108</v>
      </c>
      <c r="G9" s="275">
        <v>45169</v>
      </c>
      <c r="H9" s="274" t="s">
        <v>248</v>
      </c>
      <c r="I9" s="238" t="s">
        <v>303</v>
      </c>
      <c r="K9" s="317">
        <f t="shared" si="0"/>
        <v>0.76712328767123283</v>
      </c>
      <c r="L9" s="317" t="s">
        <v>365</v>
      </c>
      <c r="M9" s="277" t="s">
        <v>477</v>
      </c>
      <c r="N9" s="277" t="s">
        <v>478</v>
      </c>
      <c r="O9" s="276" t="s">
        <v>479</v>
      </c>
      <c r="Y9" s="276">
        <f t="shared" si="1"/>
        <v>0</v>
      </c>
      <c r="AA9" s="276">
        <v>1</v>
      </c>
      <c r="AI9" s="276">
        <f t="shared" si="2"/>
        <v>1</v>
      </c>
      <c r="AJ9">
        <f t="shared" si="3"/>
        <v>1</v>
      </c>
      <c r="AK9">
        <f t="shared" si="4"/>
        <v>0</v>
      </c>
      <c r="AL9">
        <f t="shared" si="5"/>
        <v>0</v>
      </c>
      <c r="AM9">
        <f t="shared" si="6"/>
        <v>0</v>
      </c>
      <c r="AN9">
        <f t="shared" si="7"/>
        <v>0</v>
      </c>
      <c r="AO9">
        <f t="shared" si="8"/>
        <v>0</v>
      </c>
      <c r="AP9">
        <f t="shared" si="9"/>
        <v>0</v>
      </c>
      <c r="AQ9">
        <f t="shared" si="10"/>
        <v>0</v>
      </c>
      <c r="AR9" s="276">
        <f t="shared" si="11"/>
        <v>1</v>
      </c>
      <c r="AT9" s="278">
        <f t="shared" si="12"/>
        <v>1</v>
      </c>
      <c r="AY9" s="279"/>
      <c r="BD9" s="279"/>
      <c r="BK9" s="280">
        <f t="shared" si="13"/>
        <v>0</v>
      </c>
      <c r="BL9" s="274">
        <f t="shared" si="14"/>
        <v>0</v>
      </c>
      <c r="BP9" s="281">
        <v>512819</v>
      </c>
      <c r="BQ9" s="281">
        <v>170921</v>
      </c>
      <c r="BR9" s="296" t="s">
        <v>183</v>
      </c>
      <c r="BS9" t="s">
        <v>162</v>
      </c>
      <c r="BT9"/>
      <c r="BU9"/>
      <c r="BV9"/>
      <c r="BW9"/>
      <c r="BX9"/>
      <c r="BY9"/>
      <c r="BZ9"/>
      <c r="CA9"/>
      <c r="CB9" t="s">
        <v>189</v>
      </c>
    </row>
    <row r="10" spans="1:81" ht="15" customHeight="1" x14ac:dyDescent="0.25">
      <c r="A10" s="274" t="s">
        <v>480</v>
      </c>
      <c r="B10" s="274" t="s">
        <v>481</v>
      </c>
      <c r="C10" s="274"/>
      <c r="D10" s="275">
        <v>45261</v>
      </c>
      <c r="E10" s="275">
        <v>46357</v>
      </c>
      <c r="F10" s="275">
        <v>45261</v>
      </c>
      <c r="G10" s="275">
        <v>45261</v>
      </c>
      <c r="H10" s="274" t="s">
        <v>248</v>
      </c>
      <c r="I10" s="238" t="s">
        <v>303</v>
      </c>
      <c r="K10" s="317"/>
      <c r="L10" s="317"/>
      <c r="M10" s="277" t="s">
        <v>482</v>
      </c>
      <c r="N10" s="277" t="s">
        <v>483</v>
      </c>
      <c r="O10" s="276" t="s">
        <v>462</v>
      </c>
      <c r="Y10" s="276">
        <f t="shared" si="1"/>
        <v>0</v>
      </c>
      <c r="AA10" s="276">
        <v>1</v>
      </c>
      <c r="AI10" s="276">
        <f t="shared" si="2"/>
        <v>1</v>
      </c>
      <c r="AJ10">
        <f t="shared" si="3"/>
        <v>1</v>
      </c>
      <c r="AK10">
        <f t="shared" si="4"/>
        <v>0</v>
      </c>
      <c r="AL10">
        <f t="shared" si="5"/>
        <v>0</v>
      </c>
      <c r="AM10">
        <f t="shared" si="6"/>
        <v>0</v>
      </c>
      <c r="AN10">
        <f t="shared" si="7"/>
        <v>0</v>
      </c>
      <c r="AO10">
        <f t="shared" si="8"/>
        <v>0</v>
      </c>
      <c r="AP10">
        <f t="shared" si="9"/>
        <v>0</v>
      </c>
      <c r="AQ10">
        <f t="shared" si="10"/>
        <v>0</v>
      </c>
      <c r="AR10" s="276">
        <f t="shared" si="11"/>
        <v>1</v>
      </c>
      <c r="AT10" s="278">
        <f t="shared" si="12"/>
        <v>1</v>
      </c>
      <c r="AY10" s="279"/>
      <c r="BD10" s="279"/>
      <c r="BK10" s="280">
        <f t="shared" si="13"/>
        <v>0</v>
      </c>
      <c r="BL10" s="274">
        <f t="shared" si="14"/>
        <v>0</v>
      </c>
      <c r="BP10" s="281">
        <v>517763</v>
      </c>
      <c r="BQ10" s="281">
        <v>171588</v>
      </c>
      <c r="BR10" s="296" t="s">
        <v>182</v>
      </c>
      <c r="BS10" t="s">
        <v>160</v>
      </c>
      <c r="BT10"/>
      <c r="BU10"/>
      <c r="BV10"/>
      <c r="BW10"/>
      <c r="BX10"/>
      <c r="BY10"/>
      <c r="BZ10"/>
      <c r="CA10"/>
      <c r="CB10" t="s">
        <v>188</v>
      </c>
    </row>
    <row r="11" spans="1:81" ht="15" customHeight="1" x14ac:dyDescent="0.25">
      <c r="A11" s="274" t="s">
        <v>484</v>
      </c>
      <c r="B11" s="274" t="s">
        <v>481</v>
      </c>
      <c r="C11" s="274"/>
      <c r="D11" s="275">
        <v>44459</v>
      </c>
      <c r="E11" s="275">
        <v>45555</v>
      </c>
      <c r="F11" s="275">
        <v>44965</v>
      </c>
      <c r="G11" s="275">
        <v>45246</v>
      </c>
      <c r="H11" s="274" t="s">
        <v>248</v>
      </c>
      <c r="I11" s="238" t="s">
        <v>303</v>
      </c>
      <c r="K11" s="317">
        <f t="shared" ref="K11:K42" si="15">(G11-D11)/365</f>
        <v>2.1561643835616437</v>
      </c>
      <c r="L11" s="317" t="s">
        <v>365</v>
      </c>
      <c r="M11" s="277" t="s">
        <v>485</v>
      </c>
      <c r="N11" s="277" t="s">
        <v>486</v>
      </c>
      <c r="O11" s="276" t="s">
        <v>487</v>
      </c>
      <c r="T11" s="276">
        <v>1</v>
      </c>
      <c r="Y11" s="276">
        <f t="shared" si="1"/>
        <v>1</v>
      </c>
      <c r="AA11" s="276">
        <v>1</v>
      </c>
      <c r="AB11" s="276">
        <v>1</v>
      </c>
      <c r="AI11" s="276">
        <f t="shared" si="2"/>
        <v>2</v>
      </c>
      <c r="AJ11">
        <f t="shared" si="3"/>
        <v>1</v>
      </c>
      <c r="AK11">
        <f t="shared" si="4"/>
        <v>1</v>
      </c>
      <c r="AL11">
        <f t="shared" si="5"/>
        <v>0</v>
      </c>
      <c r="AM11">
        <f t="shared" si="6"/>
        <v>-1</v>
      </c>
      <c r="AN11">
        <f t="shared" si="7"/>
        <v>0</v>
      </c>
      <c r="AO11">
        <f t="shared" si="8"/>
        <v>0</v>
      </c>
      <c r="AP11">
        <f t="shared" si="9"/>
        <v>0</v>
      </c>
      <c r="AQ11">
        <f t="shared" si="10"/>
        <v>0</v>
      </c>
      <c r="AR11" s="276">
        <f t="shared" si="11"/>
        <v>1</v>
      </c>
      <c r="AT11" s="278">
        <f t="shared" si="12"/>
        <v>1</v>
      </c>
      <c r="AY11" s="279"/>
      <c r="BD11" s="279"/>
      <c r="BK11" s="280">
        <f t="shared" si="13"/>
        <v>0</v>
      </c>
      <c r="BL11" s="274">
        <f t="shared" si="14"/>
        <v>0</v>
      </c>
      <c r="BP11" s="281">
        <v>517428</v>
      </c>
      <c r="BQ11" s="281">
        <v>174238</v>
      </c>
      <c r="BR11" s="296" t="s">
        <v>145</v>
      </c>
      <c r="BS11" t="s">
        <v>171</v>
      </c>
      <c r="BT11"/>
      <c r="BU11"/>
      <c r="BV11" t="s">
        <v>488</v>
      </c>
      <c r="BW11" t="s">
        <v>325</v>
      </c>
      <c r="BX11"/>
      <c r="BY11" t="s">
        <v>489</v>
      </c>
      <c r="BZ11" t="s">
        <v>325</v>
      </c>
      <c r="CA11" t="s">
        <v>325</v>
      </c>
      <c r="CB11" t="s">
        <v>193</v>
      </c>
    </row>
    <row r="12" spans="1:81" ht="15" customHeight="1" x14ac:dyDescent="0.25">
      <c r="A12" s="274" t="s">
        <v>490</v>
      </c>
      <c r="B12" s="274" t="s">
        <v>459</v>
      </c>
      <c r="C12" s="274" t="s">
        <v>293</v>
      </c>
      <c r="D12" s="275">
        <v>44743</v>
      </c>
      <c r="E12" s="275">
        <v>45839</v>
      </c>
      <c r="F12" s="275">
        <v>44956</v>
      </c>
      <c r="G12" s="275">
        <v>45244</v>
      </c>
      <c r="H12" s="274" t="s">
        <v>248</v>
      </c>
      <c r="I12" s="238" t="s">
        <v>303</v>
      </c>
      <c r="K12" s="317">
        <f t="shared" si="15"/>
        <v>1.3726027397260274</v>
      </c>
      <c r="L12" s="317" t="s">
        <v>365</v>
      </c>
      <c r="M12" s="277" t="s">
        <v>491</v>
      </c>
      <c r="N12" s="277" t="s">
        <v>492</v>
      </c>
      <c r="O12" s="276" t="s">
        <v>493</v>
      </c>
      <c r="Y12" s="276">
        <f t="shared" si="1"/>
        <v>0</v>
      </c>
      <c r="AA12" s="276">
        <v>1</v>
      </c>
      <c r="AI12" s="276">
        <f t="shared" si="2"/>
        <v>1</v>
      </c>
      <c r="AJ12">
        <f t="shared" si="3"/>
        <v>1</v>
      </c>
      <c r="AK12">
        <f t="shared" si="4"/>
        <v>0</v>
      </c>
      <c r="AL12">
        <f t="shared" si="5"/>
        <v>0</v>
      </c>
      <c r="AM12">
        <f t="shared" si="6"/>
        <v>0</v>
      </c>
      <c r="AN12">
        <f t="shared" si="7"/>
        <v>0</v>
      </c>
      <c r="AO12">
        <f t="shared" si="8"/>
        <v>0</v>
      </c>
      <c r="AP12">
        <f t="shared" si="9"/>
        <v>0</v>
      </c>
      <c r="AQ12">
        <f t="shared" si="10"/>
        <v>0</v>
      </c>
      <c r="AR12" s="276">
        <f t="shared" si="11"/>
        <v>1</v>
      </c>
      <c r="AT12" s="278">
        <f t="shared" si="12"/>
        <v>1</v>
      </c>
      <c r="AY12" s="279"/>
      <c r="BD12" s="279"/>
      <c r="BK12" s="280">
        <f t="shared" si="13"/>
        <v>0</v>
      </c>
      <c r="BL12" s="274">
        <f t="shared" si="14"/>
        <v>0</v>
      </c>
      <c r="BP12" s="281">
        <v>517582</v>
      </c>
      <c r="BQ12" s="281">
        <v>174357</v>
      </c>
      <c r="BR12" s="296" t="s">
        <v>145</v>
      </c>
      <c r="BS12" t="s">
        <v>171</v>
      </c>
      <c r="BT12"/>
      <c r="BU12"/>
      <c r="BV12" t="s">
        <v>488</v>
      </c>
      <c r="BW12" t="s">
        <v>325</v>
      </c>
      <c r="BX12"/>
      <c r="BY12" t="s">
        <v>489</v>
      </c>
      <c r="BZ12" t="s">
        <v>325</v>
      </c>
      <c r="CA12" t="s">
        <v>325</v>
      </c>
      <c r="CB12" t="s">
        <v>193</v>
      </c>
    </row>
    <row r="13" spans="1:81" ht="15" customHeight="1" x14ac:dyDescent="0.25">
      <c r="A13" s="274" t="s">
        <v>494</v>
      </c>
      <c r="B13" s="274" t="s">
        <v>459</v>
      </c>
      <c r="C13" s="274" t="s">
        <v>293</v>
      </c>
      <c r="D13" s="275">
        <v>42265</v>
      </c>
      <c r="E13" s="275">
        <v>43361</v>
      </c>
      <c r="F13" s="275">
        <v>43360</v>
      </c>
      <c r="G13" s="275">
        <v>45313</v>
      </c>
      <c r="H13" s="274" t="s">
        <v>248</v>
      </c>
      <c r="I13" s="238" t="s">
        <v>303</v>
      </c>
      <c r="K13" s="317">
        <f t="shared" si="15"/>
        <v>8.3506849315068497</v>
      </c>
      <c r="L13" s="317" t="s">
        <v>365</v>
      </c>
      <c r="M13" s="277" t="s">
        <v>495</v>
      </c>
      <c r="N13" s="277" t="s">
        <v>496</v>
      </c>
      <c r="O13" s="276" t="s">
        <v>497</v>
      </c>
      <c r="Y13" s="276">
        <f t="shared" si="1"/>
        <v>0</v>
      </c>
      <c r="AA13" s="276">
        <v>1</v>
      </c>
      <c r="AI13" s="276">
        <f t="shared" si="2"/>
        <v>1</v>
      </c>
      <c r="AJ13">
        <f t="shared" si="3"/>
        <v>1</v>
      </c>
      <c r="AK13">
        <f t="shared" si="4"/>
        <v>0</v>
      </c>
      <c r="AL13">
        <f t="shared" si="5"/>
        <v>0</v>
      </c>
      <c r="AM13">
        <f t="shared" si="6"/>
        <v>0</v>
      </c>
      <c r="AN13">
        <f t="shared" si="7"/>
        <v>0</v>
      </c>
      <c r="AO13">
        <f t="shared" si="8"/>
        <v>0</v>
      </c>
      <c r="AP13">
        <f t="shared" si="9"/>
        <v>0</v>
      </c>
      <c r="AQ13">
        <f t="shared" si="10"/>
        <v>0</v>
      </c>
      <c r="AR13" s="276">
        <f t="shared" si="11"/>
        <v>1</v>
      </c>
      <c r="AT13" s="278">
        <f t="shared" si="12"/>
        <v>1</v>
      </c>
      <c r="AY13" s="279"/>
      <c r="BD13" s="279"/>
      <c r="BK13" s="280">
        <f t="shared" si="13"/>
        <v>0</v>
      </c>
      <c r="BL13" s="274">
        <f t="shared" si="14"/>
        <v>0</v>
      </c>
      <c r="BP13" s="281">
        <v>515147</v>
      </c>
      <c r="BQ13" s="281">
        <v>172702</v>
      </c>
      <c r="BR13" s="296" t="s">
        <v>145</v>
      </c>
      <c r="BS13" t="s">
        <v>169</v>
      </c>
      <c r="BT13"/>
      <c r="BU13"/>
      <c r="BV13" t="s">
        <v>498</v>
      </c>
      <c r="BW13" t="s">
        <v>325</v>
      </c>
      <c r="BX13"/>
      <c r="BY13"/>
      <c r="BZ13"/>
      <c r="CA13" t="s">
        <v>325</v>
      </c>
      <c r="CB13" t="s">
        <v>193</v>
      </c>
    </row>
    <row r="14" spans="1:81" ht="15" customHeight="1" x14ac:dyDescent="0.25">
      <c r="A14" s="274" t="s">
        <v>499</v>
      </c>
      <c r="B14" s="274" t="s">
        <v>481</v>
      </c>
      <c r="C14" s="274"/>
      <c r="D14" s="275">
        <v>44886</v>
      </c>
      <c r="E14" s="275">
        <v>45464</v>
      </c>
      <c r="F14" s="275">
        <v>44879</v>
      </c>
      <c r="G14" s="275">
        <v>45363</v>
      </c>
      <c r="H14" s="274" t="s">
        <v>248</v>
      </c>
      <c r="I14" s="238" t="s">
        <v>303</v>
      </c>
      <c r="K14" s="317">
        <f t="shared" si="15"/>
        <v>1.3068493150684932</v>
      </c>
      <c r="L14" s="317" t="s">
        <v>366</v>
      </c>
      <c r="M14" s="277" t="s">
        <v>500</v>
      </c>
      <c r="N14" s="277" t="s">
        <v>501</v>
      </c>
      <c r="O14" s="276" t="s">
        <v>502</v>
      </c>
      <c r="S14" s="276">
        <v>2</v>
      </c>
      <c r="Y14" s="276">
        <f t="shared" si="1"/>
        <v>2</v>
      </c>
      <c r="AA14" s="276">
        <v>7</v>
      </c>
      <c r="AI14" s="276">
        <f t="shared" si="2"/>
        <v>7</v>
      </c>
      <c r="AJ14">
        <f t="shared" si="3"/>
        <v>7</v>
      </c>
      <c r="AK14">
        <f t="shared" si="4"/>
        <v>0</v>
      </c>
      <c r="AL14">
        <f t="shared" si="5"/>
        <v>-2</v>
      </c>
      <c r="AM14">
        <f t="shared" si="6"/>
        <v>0</v>
      </c>
      <c r="AN14">
        <f t="shared" si="7"/>
        <v>0</v>
      </c>
      <c r="AO14">
        <f t="shared" si="8"/>
        <v>0</v>
      </c>
      <c r="AP14">
        <f t="shared" si="9"/>
        <v>0</v>
      </c>
      <c r="AQ14">
        <f t="shared" si="10"/>
        <v>0</v>
      </c>
      <c r="AR14" s="276">
        <f t="shared" si="11"/>
        <v>5</v>
      </c>
      <c r="AT14" s="278">
        <f t="shared" si="12"/>
        <v>5</v>
      </c>
      <c r="AY14" s="279"/>
      <c r="BD14" s="279"/>
      <c r="BK14" s="280">
        <f t="shared" si="13"/>
        <v>0</v>
      </c>
      <c r="BL14" s="274">
        <f t="shared" si="14"/>
        <v>0</v>
      </c>
      <c r="BP14" s="281">
        <v>518353</v>
      </c>
      <c r="BQ14" s="281">
        <v>175510</v>
      </c>
      <c r="BR14" s="296" t="s">
        <v>141</v>
      </c>
      <c r="BS14" t="s">
        <v>167</v>
      </c>
      <c r="BT14"/>
      <c r="BU14"/>
      <c r="BV14" t="s">
        <v>503</v>
      </c>
      <c r="BW14" t="s">
        <v>325</v>
      </c>
      <c r="BX14"/>
      <c r="BY14" t="s">
        <v>504</v>
      </c>
      <c r="BZ14" t="s">
        <v>325</v>
      </c>
      <c r="CA14" t="s">
        <v>325</v>
      </c>
      <c r="CB14" t="s">
        <v>191</v>
      </c>
    </row>
    <row r="15" spans="1:81" ht="15" customHeight="1" x14ac:dyDescent="0.25">
      <c r="A15" s="274" t="s">
        <v>505</v>
      </c>
      <c r="B15" s="274" t="s">
        <v>459</v>
      </c>
      <c r="C15" s="274" t="s">
        <v>293</v>
      </c>
      <c r="D15" s="275">
        <v>45176</v>
      </c>
      <c r="E15" s="275">
        <v>46272</v>
      </c>
      <c r="F15" s="275">
        <v>45231</v>
      </c>
      <c r="G15" s="275">
        <v>45373</v>
      </c>
      <c r="H15" s="274" t="s">
        <v>248</v>
      </c>
      <c r="I15" s="238" t="s">
        <v>303</v>
      </c>
      <c r="K15" s="317">
        <f t="shared" si="15"/>
        <v>0.53972602739726028</v>
      </c>
      <c r="L15" s="317" t="s">
        <v>365</v>
      </c>
      <c r="M15" s="277" t="s">
        <v>506</v>
      </c>
      <c r="N15" s="277" t="s">
        <v>507</v>
      </c>
      <c r="O15" s="276" t="s">
        <v>508</v>
      </c>
      <c r="Y15" s="276">
        <f t="shared" si="1"/>
        <v>0</v>
      </c>
      <c r="AA15" s="276">
        <v>1</v>
      </c>
      <c r="AI15" s="276">
        <f t="shared" si="2"/>
        <v>1</v>
      </c>
      <c r="AJ15">
        <f t="shared" si="3"/>
        <v>1</v>
      </c>
      <c r="AK15">
        <f t="shared" si="4"/>
        <v>0</v>
      </c>
      <c r="AL15">
        <f t="shared" si="5"/>
        <v>0</v>
      </c>
      <c r="AM15">
        <f t="shared" si="6"/>
        <v>0</v>
      </c>
      <c r="AN15">
        <f t="shared" si="7"/>
        <v>0</v>
      </c>
      <c r="AO15">
        <f t="shared" si="8"/>
        <v>0</v>
      </c>
      <c r="AP15">
        <f t="shared" si="9"/>
        <v>0</v>
      </c>
      <c r="AQ15">
        <f t="shared" si="10"/>
        <v>0</v>
      </c>
      <c r="AR15" s="276">
        <f t="shared" si="11"/>
        <v>1</v>
      </c>
      <c r="AT15" s="278">
        <f t="shared" si="12"/>
        <v>1</v>
      </c>
      <c r="AY15" s="279"/>
      <c r="BD15" s="279"/>
      <c r="BK15" s="280">
        <f t="shared" si="13"/>
        <v>0</v>
      </c>
      <c r="BL15" s="274">
        <f t="shared" si="14"/>
        <v>0</v>
      </c>
      <c r="BP15" s="281">
        <v>521457</v>
      </c>
      <c r="BQ15" s="281">
        <v>175576</v>
      </c>
      <c r="BR15" s="296" t="s">
        <v>181</v>
      </c>
      <c r="BS15" t="s">
        <v>166</v>
      </c>
      <c r="BT15"/>
      <c r="BU15"/>
      <c r="BV15" t="s">
        <v>509</v>
      </c>
      <c r="BW15" t="s">
        <v>325</v>
      </c>
      <c r="BX15"/>
      <c r="BY15"/>
      <c r="BZ15"/>
      <c r="CA15" t="s">
        <v>325</v>
      </c>
      <c r="CB15" t="s">
        <v>158</v>
      </c>
    </row>
    <row r="16" spans="1:81" ht="15" customHeight="1" x14ac:dyDescent="0.25">
      <c r="A16" s="274" t="s">
        <v>510</v>
      </c>
      <c r="B16" s="277" t="s">
        <v>459</v>
      </c>
      <c r="C16" s="274" t="s">
        <v>293</v>
      </c>
      <c r="D16" s="275">
        <v>45040</v>
      </c>
      <c r="E16" s="275">
        <v>46136</v>
      </c>
      <c r="F16" s="275">
        <v>45268</v>
      </c>
      <c r="G16" s="275">
        <v>45382</v>
      </c>
      <c r="H16" s="274" t="s">
        <v>248</v>
      </c>
      <c r="I16" s="238" t="s">
        <v>303</v>
      </c>
      <c r="K16" s="317">
        <f t="shared" si="15"/>
        <v>0.93698630136986305</v>
      </c>
      <c r="L16" s="317" t="s">
        <v>365</v>
      </c>
      <c r="M16" s="277" t="s">
        <v>511</v>
      </c>
      <c r="N16" s="277" t="s">
        <v>512</v>
      </c>
      <c r="O16" s="276" t="s">
        <v>513</v>
      </c>
      <c r="Y16" s="276">
        <f t="shared" si="1"/>
        <v>0</v>
      </c>
      <c r="AA16" s="276">
        <v>1</v>
      </c>
      <c r="AI16" s="276">
        <f t="shared" si="2"/>
        <v>1</v>
      </c>
      <c r="AJ16">
        <f t="shared" si="3"/>
        <v>1</v>
      </c>
      <c r="AK16">
        <f t="shared" si="4"/>
        <v>0</v>
      </c>
      <c r="AL16">
        <f t="shared" si="5"/>
        <v>0</v>
      </c>
      <c r="AM16">
        <f t="shared" si="6"/>
        <v>0</v>
      </c>
      <c r="AN16">
        <f t="shared" si="7"/>
        <v>0</v>
      </c>
      <c r="AO16">
        <f t="shared" si="8"/>
        <v>0</v>
      </c>
      <c r="AP16">
        <f t="shared" si="9"/>
        <v>0</v>
      </c>
      <c r="AQ16">
        <f t="shared" si="10"/>
        <v>0</v>
      </c>
      <c r="AR16" s="276">
        <f t="shared" si="11"/>
        <v>1</v>
      </c>
      <c r="AT16" s="278">
        <f t="shared" si="12"/>
        <v>1</v>
      </c>
      <c r="AY16" s="279"/>
      <c r="BD16" s="279"/>
      <c r="BK16" s="280">
        <f t="shared" si="13"/>
        <v>0</v>
      </c>
      <c r="BL16" s="274">
        <f t="shared" si="14"/>
        <v>0</v>
      </c>
      <c r="BP16" s="281">
        <v>518606</v>
      </c>
      <c r="BQ16" s="281">
        <v>175097</v>
      </c>
      <c r="BR16" s="296" t="s">
        <v>141</v>
      </c>
      <c r="BS16" t="s">
        <v>168</v>
      </c>
      <c r="BT16"/>
      <c r="BU16"/>
      <c r="BV16" t="s">
        <v>514</v>
      </c>
      <c r="BW16" t="s">
        <v>325</v>
      </c>
      <c r="BX16"/>
      <c r="BY16" t="s">
        <v>515</v>
      </c>
      <c r="BZ16" t="s">
        <v>325</v>
      </c>
      <c r="CA16" t="s">
        <v>325</v>
      </c>
      <c r="CB16" t="s">
        <v>191</v>
      </c>
    </row>
    <row r="17" spans="1:80" ht="15" customHeight="1" x14ac:dyDescent="0.25">
      <c r="A17" s="274" t="s">
        <v>516</v>
      </c>
      <c r="B17" s="274" t="s">
        <v>459</v>
      </c>
      <c r="C17" s="274" t="s">
        <v>293</v>
      </c>
      <c r="D17" s="275">
        <v>44813</v>
      </c>
      <c r="E17" s="275">
        <v>45909</v>
      </c>
      <c r="F17" s="275">
        <v>44837</v>
      </c>
      <c r="G17" s="275">
        <v>45306</v>
      </c>
      <c r="H17" s="274" t="s">
        <v>248</v>
      </c>
      <c r="I17" s="238" t="s">
        <v>303</v>
      </c>
      <c r="K17" s="317">
        <f t="shared" si="15"/>
        <v>1.3506849315068492</v>
      </c>
      <c r="L17" s="317" t="s">
        <v>365</v>
      </c>
      <c r="M17" s="277" t="s">
        <v>517</v>
      </c>
      <c r="N17" s="277" t="s">
        <v>518</v>
      </c>
      <c r="O17" s="276" t="s">
        <v>519</v>
      </c>
      <c r="Y17" s="276">
        <f t="shared" si="1"/>
        <v>0</v>
      </c>
      <c r="AB17" s="276">
        <v>1</v>
      </c>
      <c r="AI17" s="276">
        <f t="shared" si="2"/>
        <v>1</v>
      </c>
      <c r="AJ17">
        <f t="shared" si="3"/>
        <v>0</v>
      </c>
      <c r="AK17">
        <f t="shared" si="4"/>
        <v>1</v>
      </c>
      <c r="AL17">
        <f t="shared" si="5"/>
        <v>0</v>
      </c>
      <c r="AM17">
        <f t="shared" si="6"/>
        <v>0</v>
      </c>
      <c r="AN17">
        <f t="shared" si="7"/>
        <v>0</v>
      </c>
      <c r="AO17">
        <f t="shared" si="8"/>
        <v>0</v>
      </c>
      <c r="AP17">
        <f t="shared" si="9"/>
        <v>0</v>
      </c>
      <c r="AQ17">
        <f t="shared" si="10"/>
        <v>0</v>
      </c>
      <c r="AR17" s="276">
        <f t="shared" si="11"/>
        <v>1</v>
      </c>
      <c r="AT17" s="278">
        <f t="shared" si="12"/>
        <v>1</v>
      </c>
      <c r="AY17" s="279"/>
      <c r="BD17" s="279"/>
      <c r="BK17" s="280">
        <f t="shared" si="13"/>
        <v>0</v>
      </c>
      <c r="BL17" s="274">
        <f t="shared" si="14"/>
        <v>0</v>
      </c>
      <c r="BP17" s="281">
        <v>516880</v>
      </c>
      <c r="BQ17" s="281">
        <v>174106</v>
      </c>
      <c r="BR17" s="296" t="s">
        <v>145</v>
      </c>
      <c r="BS17" t="s">
        <v>170</v>
      </c>
      <c r="BT17"/>
      <c r="BU17"/>
      <c r="BV17" t="s">
        <v>520</v>
      </c>
      <c r="BW17" t="s">
        <v>325</v>
      </c>
      <c r="BX17"/>
      <c r="BY17" t="s">
        <v>521</v>
      </c>
      <c r="BZ17" t="s">
        <v>325</v>
      </c>
      <c r="CA17" t="s">
        <v>325</v>
      </c>
      <c r="CB17" t="s">
        <v>193</v>
      </c>
    </row>
    <row r="18" spans="1:80" ht="15" customHeight="1" x14ac:dyDescent="0.25">
      <c r="A18" s="274" t="s">
        <v>522</v>
      </c>
      <c r="B18" s="274" t="s">
        <v>481</v>
      </c>
      <c r="C18" s="274"/>
      <c r="D18" s="275">
        <v>42051</v>
      </c>
      <c r="E18" s="275">
        <v>43147</v>
      </c>
      <c r="F18" s="275">
        <v>43147</v>
      </c>
      <c r="G18" s="275">
        <v>45017</v>
      </c>
      <c r="H18" s="274" t="s">
        <v>248</v>
      </c>
      <c r="I18" s="238" t="s">
        <v>303</v>
      </c>
      <c r="K18" s="317">
        <f t="shared" si="15"/>
        <v>8.1260273972602732</v>
      </c>
      <c r="L18" s="317" t="s">
        <v>365</v>
      </c>
      <c r="M18" s="277" t="s">
        <v>523</v>
      </c>
      <c r="N18" s="277" t="s">
        <v>524</v>
      </c>
      <c r="O18" s="276" t="s">
        <v>525</v>
      </c>
      <c r="Q18" s="276">
        <v>1</v>
      </c>
      <c r="S18" s="276">
        <v>1</v>
      </c>
      <c r="Y18" s="276">
        <f t="shared" si="1"/>
        <v>2</v>
      </c>
      <c r="AD18" s="276">
        <v>1</v>
      </c>
      <c r="AI18" s="276">
        <f t="shared" si="2"/>
        <v>1</v>
      </c>
      <c r="AJ18">
        <f t="shared" si="3"/>
        <v>-1</v>
      </c>
      <c r="AK18">
        <f t="shared" si="4"/>
        <v>0</v>
      </c>
      <c r="AL18">
        <f t="shared" si="5"/>
        <v>-1</v>
      </c>
      <c r="AM18">
        <f t="shared" si="6"/>
        <v>1</v>
      </c>
      <c r="AN18">
        <f t="shared" si="7"/>
        <v>0</v>
      </c>
      <c r="AO18">
        <f t="shared" si="8"/>
        <v>0</v>
      </c>
      <c r="AP18">
        <f t="shared" si="9"/>
        <v>0</v>
      </c>
      <c r="AQ18">
        <f t="shared" si="10"/>
        <v>0</v>
      </c>
      <c r="AR18" s="276">
        <f t="shared" si="11"/>
        <v>-1</v>
      </c>
      <c r="AT18" s="278">
        <f t="shared" si="12"/>
        <v>-1</v>
      </c>
      <c r="AY18" s="279"/>
      <c r="BD18" s="279"/>
      <c r="BK18" s="280">
        <f t="shared" si="13"/>
        <v>0</v>
      </c>
      <c r="BL18" s="274">
        <f t="shared" si="14"/>
        <v>0</v>
      </c>
      <c r="BP18" s="281">
        <v>518090</v>
      </c>
      <c r="BQ18" s="281">
        <v>174701</v>
      </c>
      <c r="BR18" s="296" t="s">
        <v>141</v>
      </c>
      <c r="BS18" t="s">
        <v>168</v>
      </c>
      <c r="BT18"/>
      <c r="BU18"/>
      <c r="BV18"/>
      <c r="BW18"/>
      <c r="BX18"/>
      <c r="BY18" t="s">
        <v>526</v>
      </c>
      <c r="BZ18" t="s">
        <v>325</v>
      </c>
      <c r="CA18" t="s">
        <v>325</v>
      </c>
      <c r="CB18" t="s">
        <v>191</v>
      </c>
    </row>
    <row r="19" spans="1:80" ht="15" customHeight="1" x14ac:dyDescent="0.25">
      <c r="A19" s="274" t="s">
        <v>527</v>
      </c>
      <c r="B19" s="274" t="s">
        <v>444</v>
      </c>
      <c r="C19" s="274"/>
      <c r="D19" s="275">
        <v>43690</v>
      </c>
      <c r="E19" s="275">
        <v>44786</v>
      </c>
      <c r="F19" s="275">
        <v>44286</v>
      </c>
      <c r="G19" s="275">
        <v>45125</v>
      </c>
      <c r="H19" s="274" t="s">
        <v>248</v>
      </c>
      <c r="I19" s="276" t="s">
        <v>338</v>
      </c>
      <c r="K19" s="317">
        <f t="shared" si="15"/>
        <v>3.9315068493150687</v>
      </c>
      <c r="L19" s="317" t="s">
        <v>365</v>
      </c>
      <c r="M19" s="277" t="s">
        <v>528</v>
      </c>
      <c r="N19" s="277" t="s">
        <v>529</v>
      </c>
      <c r="O19" s="276" t="s">
        <v>530</v>
      </c>
      <c r="Y19" s="276">
        <f t="shared" si="1"/>
        <v>0</v>
      </c>
      <c r="Z19" s="276" t="s">
        <v>325</v>
      </c>
      <c r="AD19" s="276">
        <v>2</v>
      </c>
      <c r="AI19" s="276">
        <f t="shared" si="2"/>
        <v>2</v>
      </c>
      <c r="AJ19">
        <f t="shared" si="3"/>
        <v>0</v>
      </c>
      <c r="AK19">
        <f t="shared" si="4"/>
        <v>0</v>
      </c>
      <c r="AL19">
        <f t="shared" si="5"/>
        <v>0</v>
      </c>
      <c r="AM19">
        <f t="shared" si="6"/>
        <v>2</v>
      </c>
      <c r="AN19">
        <f t="shared" si="7"/>
        <v>0</v>
      </c>
      <c r="AO19">
        <f t="shared" si="8"/>
        <v>0</v>
      </c>
      <c r="AP19">
        <f t="shared" si="9"/>
        <v>0</v>
      </c>
      <c r="AQ19">
        <f t="shared" si="10"/>
        <v>0</v>
      </c>
      <c r="AR19" s="276">
        <f t="shared" si="11"/>
        <v>2</v>
      </c>
      <c r="AT19" s="278">
        <f t="shared" si="12"/>
        <v>2</v>
      </c>
      <c r="AY19" s="279"/>
      <c r="BD19" s="279"/>
      <c r="BK19" s="280">
        <f t="shared" si="13"/>
        <v>0</v>
      </c>
      <c r="BL19" s="274">
        <f t="shared" si="14"/>
        <v>0</v>
      </c>
      <c r="BP19" s="281">
        <v>517351</v>
      </c>
      <c r="BQ19" s="281">
        <v>170884</v>
      </c>
      <c r="BR19" s="296" t="s">
        <v>183</v>
      </c>
      <c r="BS19" t="s">
        <v>163</v>
      </c>
      <c r="BT19"/>
      <c r="BU19"/>
      <c r="BV19"/>
      <c r="BW19"/>
      <c r="BX19"/>
      <c r="BY19"/>
      <c r="BZ19"/>
      <c r="CA19" t="s">
        <v>325</v>
      </c>
      <c r="CB19" t="s">
        <v>192</v>
      </c>
    </row>
    <row r="20" spans="1:80" ht="15" customHeight="1" x14ac:dyDescent="0.25">
      <c r="A20" s="274" t="s">
        <v>531</v>
      </c>
      <c r="B20" s="277" t="s">
        <v>532</v>
      </c>
      <c r="D20" s="275">
        <v>42479</v>
      </c>
      <c r="E20" s="275">
        <v>43574</v>
      </c>
      <c r="F20" s="275">
        <v>42552</v>
      </c>
      <c r="G20" s="275">
        <v>45382</v>
      </c>
      <c r="H20" s="274" t="s">
        <v>248</v>
      </c>
      <c r="I20" s="238" t="s">
        <v>303</v>
      </c>
      <c r="K20" s="317">
        <f t="shared" si="15"/>
        <v>7.9534246575342467</v>
      </c>
      <c r="L20" s="317" t="s">
        <v>365</v>
      </c>
      <c r="M20" s="277" t="s">
        <v>533</v>
      </c>
      <c r="N20" s="277" t="s">
        <v>534</v>
      </c>
      <c r="O20" s="276" t="s">
        <v>535</v>
      </c>
      <c r="T20" s="276">
        <v>1</v>
      </c>
      <c r="Y20" s="276">
        <f t="shared" si="1"/>
        <v>1</v>
      </c>
      <c r="AD20" s="276">
        <v>2</v>
      </c>
      <c r="AI20" s="276">
        <f t="shared" si="2"/>
        <v>2</v>
      </c>
      <c r="AJ20">
        <f t="shared" si="3"/>
        <v>0</v>
      </c>
      <c r="AK20">
        <f t="shared" si="4"/>
        <v>0</v>
      </c>
      <c r="AL20">
        <f t="shared" si="5"/>
        <v>0</v>
      </c>
      <c r="AM20">
        <f t="shared" si="6"/>
        <v>1</v>
      </c>
      <c r="AN20">
        <f t="shared" si="7"/>
        <v>0</v>
      </c>
      <c r="AO20">
        <f t="shared" si="8"/>
        <v>0</v>
      </c>
      <c r="AP20">
        <f t="shared" si="9"/>
        <v>0</v>
      </c>
      <c r="AQ20">
        <f t="shared" si="10"/>
        <v>0</v>
      </c>
      <c r="AR20" s="276">
        <f t="shared" si="11"/>
        <v>1</v>
      </c>
      <c r="AT20" s="278">
        <f t="shared" si="12"/>
        <v>1</v>
      </c>
      <c r="AY20" s="279"/>
      <c r="BD20" s="279"/>
      <c r="BK20" s="280">
        <f t="shared" si="13"/>
        <v>0</v>
      </c>
      <c r="BL20" s="274">
        <f t="shared" si="14"/>
        <v>0</v>
      </c>
      <c r="BP20" s="281">
        <v>520343</v>
      </c>
      <c r="BQ20" s="281">
        <v>175141</v>
      </c>
      <c r="BR20" s="296" t="s">
        <v>181</v>
      </c>
      <c r="BS20" t="s">
        <v>140</v>
      </c>
      <c r="BT20"/>
      <c r="BU20"/>
      <c r="BV20"/>
      <c r="BW20"/>
      <c r="BX20"/>
      <c r="BY20"/>
      <c r="BZ20"/>
      <c r="CA20" t="s">
        <v>325</v>
      </c>
      <c r="CB20" t="s">
        <v>190</v>
      </c>
    </row>
    <row r="21" spans="1:80" ht="15" customHeight="1" x14ac:dyDescent="0.25">
      <c r="A21" s="274" t="s">
        <v>536</v>
      </c>
      <c r="B21" s="277" t="s">
        <v>444</v>
      </c>
      <c r="D21" s="275">
        <v>43384</v>
      </c>
      <c r="E21" s="275">
        <v>44480</v>
      </c>
      <c r="F21" s="275">
        <v>43752</v>
      </c>
      <c r="G21" s="275">
        <v>45382</v>
      </c>
      <c r="H21" s="274" t="s">
        <v>248</v>
      </c>
      <c r="I21" s="276" t="s">
        <v>337</v>
      </c>
      <c r="K21" s="317">
        <f t="shared" si="15"/>
        <v>5.4739726027397264</v>
      </c>
      <c r="L21" s="386" t="s">
        <v>369</v>
      </c>
      <c r="M21" s="277" t="s">
        <v>537</v>
      </c>
      <c r="N21" s="277" t="s">
        <v>538</v>
      </c>
      <c r="O21" s="276" t="s">
        <v>539</v>
      </c>
      <c r="P21" s="276" t="s">
        <v>540</v>
      </c>
      <c r="Q21" s="276">
        <v>29</v>
      </c>
      <c r="R21" s="276">
        <v>1</v>
      </c>
      <c r="Y21" s="276">
        <f t="shared" si="1"/>
        <v>30</v>
      </c>
      <c r="Z21" s="276" t="s">
        <v>325</v>
      </c>
      <c r="AI21" s="276">
        <f t="shared" si="2"/>
        <v>0</v>
      </c>
      <c r="AJ21">
        <f t="shared" si="3"/>
        <v>-29</v>
      </c>
      <c r="AK21">
        <f t="shared" si="4"/>
        <v>-1</v>
      </c>
      <c r="AL21">
        <f t="shared" si="5"/>
        <v>0</v>
      </c>
      <c r="AM21">
        <f t="shared" si="6"/>
        <v>0</v>
      </c>
      <c r="AN21">
        <f t="shared" si="7"/>
        <v>0</v>
      </c>
      <c r="AO21">
        <f t="shared" si="8"/>
        <v>0</v>
      </c>
      <c r="AP21">
        <f t="shared" si="9"/>
        <v>0</v>
      </c>
      <c r="AQ21">
        <f t="shared" si="10"/>
        <v>0</v>
      </c>
      <c r="AR21" s="276">
        <f t="shared" si="11"/>
        <v>-30</v>
      </c>
      <c r="AS21" t="s">
        <v>325</v>
      </c>
      <c r="AT21" s="278">
        <f t="shared" si="12"/>
        <v>-30</v>
      </c>
      <c r="AY21" s="279"/>
      <c r="BD21" s="279"/>
      <c r="BK21" s="280">
        <f t="shared" si="13"/>
        <v>0</v>
      </c>
      <c r="BL21" s="274">
        <f t="shared" si="14"/>
        <v>0</v>
      </c>
      <c r="BM21" s="276" t="s">
        <v>325</v>
      </c>
      <c r="BN21" s="276" t="s">
        <v>325</v>
      </c>
      <c r="BP21" s="281">
        <v>513257</v>
      </c>
      <c r="BQ21" s="281">
        <v>174057</v>
      </c>
      <c r="BR21" t="s">
        <v>147</v>
      </c>
      <c r="BS21" t="s">
        <v>147</v>
      </c>
      <c r="BT21"/>
      <c r="BU21"/>
      <c r="BV21"/>
      <c r="BW21"/>
      <c r="BX21"/>
      <c r="BY21"/>
      <c r="BZ21"/>
      <c r="CA21" t="s">
        <v>325</v>
      </c>
      <c r="CB21" t="s">
        <v>194</v>
      </c>
    </row>
    <row r="22" spans="1:80" ht="15" customHeight="1" x14ac:dyDescent="0.25">
      <c r="A22" s="274" t="s">
        <v>536</v>
      </c>
      <c r="B22" s="277" t="s">
        <v>444</v>
      </c>
      <c r="D22" s="275">
        <v>43384</v>
      </c>
      <c r="E22" s="275">
        <v>44480</v>
      </c>
      <c r="F22" s="275">
        <v>43752</v>
      </c>
      <c r="G22" s="275">
        <v>45382</v>
      </c>
      <c r="H22" s="274" t="s">
        <v>248</v>
      </c>
      <c r="I22" s="276" t="s">
        <v>339</v>
      </c>
      <c r="K22" s="317">
        <f t="shared" ref="K22:K23" si="16">(G22-D22)/365</f>
        <v>5.4739726027397264</v>
      </c>
      <c r="L22" s="386" t="s">
        <v>369</v>
      </c>
      <c r="M22" s="277" t="s">
        <v>537</v>
      </c>
      <c r="N22" s="277" t="s">
        <v>538</v>
      </c>
      <c r="O22" s="276" t="s">
        <v>539</v>
      </c>
      <c r="Y22" s="276">
        <f t="shared" si="1"/>
        <v>0</v>
      </c>
      <c r="Z22" s="276" t="s">
        <v>325</v>
      </c>
      <c r="AA22" s="276">
        <v>5</v>
      </c>
      <c r="AI22" s="276">
        <f t="shared" si="2"/>
        <v>5</v>
      </c>
      <c r="AJ22">
        <f t="shared" si="3"/>
        <v>5</v>
      </c>
      <c r="AK22">
        <f t="shared" si="4"/>
        <v>0</v>
      </c>
      <c r="AL22">
        <f t="shared" si="5"/>
        <v>0</v>
      </c>
      <c r="AM22">
        <f t="shared" si="6"/>
        <v>0</v>
      </c>
      <c r="AN22">
        <f t="shared" si="7"/>
        <v>0</v>
      </c>
      <c r="AO22">
        <f t="shared" si="8"/>
        <v>0</v>
      </c>
      <c r="AP22">
        <f t="shared" si="9"/>
        <v>0</v>
      </c>
      <c r="AQ22">
        <f t="shared" si="10"/>
        <v>0</v>
      </c>
      <c r="AR22" s="276">
        <f t="shared" si="11"/>
        <v>5</v>
      </c>
      <c r="AS22" t="s">
        <v>325</v>
      </c>
      <c r="AT22" s="278">
        <f t="shared" si="12"/>
        <v>5</v>
      </c>
      <c r="AY22" s="279"/>
      <c r="BD22" s="279"/>
      <c r="BK22" s="280">
        <f t="shared" si="13"/>
        <v>0</v>
      </c>
      <c r="BL22" s="274">
        <f t="shared" si="14"/>
        <v>0</v>
      </c>
      <c r="BM22" s="276" t="s">
        <v>325</v>
      </c>
      <c r="BN22" s="276" t="s">
        <v>325</v>
      </c>
      <c r="BP22" s="281">
        <v>513257</v>
      </c>
      <c r="BQ22" s="281">
        <v>174057</v>
      </c>
      <c r="BR22" t="s">
        <v>147</v>
      </c>
      <c r="BS22" t="s">
        <v>147</v>
      </c>
      <c r="BT22"/>
      <c r="BU22"/>
      <c r="BV22"/>
      <c r="BW22"/>
      <c r="BX22"/>
      <c r="BY22"/>
      <c r="BZ22"/>
      <c r="CA22" t="s">
        <v>325</v>
      </c>
      <c r="CB22" t="s">
        <v>194</v>
      </c>
    </row>
    <row r="23" spans="1:80" ht="15" customHeight="1" x14ac:dyDescent="0.25">
      <c r="A23" s="274" t="s">
        <v>536</v>
      </c>
      <c r="B23" s="277" t="s">
        <v>444</v>
      </c>
      <c r="D23" s="275">
        <v>43384</v>
      </c>
      <c r="E23" s="275">
        <v>44480</v>
      </c>
      <c r="F23" s="275">
        <v>43752</v>
      </c>
      <c r="G23" s="275">
        <v>45382</v>
      </c>
      <c r="H23" s="274" t="s">
        <v>248</v>
      </c>
      <c r="I23" s="276" t="s">
        <v>338</v>
      </c>
      <c r="K23" s="317">
        <f t="shared" si="16"/>
        <v>5.4739726027397264</v>
      </c>
      <c r="L23" s="386" t="s">
        <v>369</v>
      </c>
      <c r="M23" s="277" t="s">
        <v>537</v>
      </c>
      <c r="N23" s="277" t="s">
        <v>538</v>
      </c>
      <c r="O23" s="276" t="s">
        <v>539</v>
      </c>
      <c r="Y23" s="276">
        <f t="shared" si="1"/>
        <v>0</v>
      </c>
      <c r="Z23" s="276" t="s">
        <v>325</v>
      </c>
      <c r="AA23" s="276">
        <v>19</v>
      </c>
      <c r="AI23" s="276">
        <f t="shared" si="2"/>
        <v>19</v>
      </c>
      <c r="AJ23">
        <f t="shared" si="3"/>
        <v>19</v>
      </c>
      <c r="AK23">
        <f t="shared" si="4"/>
        <v>0</v>
      </c>
      <c r="AL23">
        <f t="shared" si="5"/>
        <v>0</v>
      </c>
      <c r="AM23">
        <f t="shared" si="6"/>
        <v>0</v>
      </c>
      <c r="AN23">
        <f t="shared" si="7"/>
        <v>0</v>
      </c>
      <c r="AO23">
        <f t="shared" si="8"/>
        <v>0</v>
      </c>
      <c r="AP23">
        <f t="shared" si="9"/>
        <v>0</v>
      </c>
      <c r="AQ23">
        <f t="shared" si="10"/>
        <v>0</v>
      </c>
      <c r="AR23" s="276">
        <f t="shared" si="11"/>
        <v>19</v>
      </c>
      <c r="AS23" t="s">
        <v>325</v>
      </c>
      <c r="AT23" s="278">
        <f t="shared" si="12"/>
        <v>19</v>
      </c>
      <c r="AY23" s="279"/>
      <c r="BD23" s="279"/>
      <c r="BK23" s="280">
        <f t="shared" si="13"/>
        <v>0</v>
      </c>
      <c r="BL23" s="274">
        <f t="shared" si="14"/>
        <v>0</v>
      </c>
      <c r="BM23" s="276" t="s">
        <v>325</v>
      </c>
      <c r="BN23" s="276" t="s">
        <v>325</v>
      </c>
      <c r="BP23" s="281">
        <v>513257</v>
      </c>
      <c r="BQ23" s="281">
        <v>174057</v>
      </c>
      <c r="BR23" t="s">
        <v>147</v>
      </c>
      <c r="BS23" t="s">
        <v>147</v>
      </c>
      <c r="BT23"/>
      <c r="BU23"/>
      <c r="BV23"/>
      <c r="BW23"/>
      <c r="BX23"/>
      <c r="BY23"/>
      <c r="BZ23"/>
      <c r="CA23" t="s">
        <v>325</v>
      </c>
      <c r="CB23" t="s">
        <v>194</v>
      </c>
    </row>
    <row r="24" spans="1:80" ht="15" customHeight="1" x14ac:dyDescent="0.25">
      <c r="A24" s="274" t="s">
        <v>541</v>
      </c>
      <c r="B24" s="274" t="s">
        <v>542</v>
      </c>
      <c r="C24" s="274"/>
      <c r="D24" s="275">
        <v>43895</v>
      </c>
      <c r="E24" s="275">
        <v>44990</v>
      </c>
      <c r="F24" s="275">
        <v>44986</v>
      </c>
      <c r="G24" s="275">
        <v>45096</v>
      </c>
      <c r="H24" s="274" t="s">
        <v>248</v>
      </c>
      <c r="I24" s="238" t="s">
        <v>303</v>
      </c>
      <c r="K24" s="317">
        <f t="shared" si="15"/>
        <v>3.2904109589041095</v>
      </c>
      <c r="L24" s="317" t="s">
        <v>365</v>
      </c>
      <c r="M24" s="277" t="s">
        <v>543</v>
      </c>
      <c r="N24" s="277" t="s">
        <v>544</v>
      </c>
      <c r="O24" s="276" t="s">
        <v>545</v>
      </c>
      <c r="Q24" s="276">
        <v>1</v>
      </c>
      <c r="Y24" s="276">
        <f t="shared" si="1"/>
        <v>1</v>
      </c>
      <c r="AA24" s="276">
        <v>2</v>
      </c>
      <c r="AI24" s="276">
        <f t="shared" si="2"/>
        <v>2</v>
      </c>
      <c r="AJ24">
        <f t="shared" si="3"/>
        <v>1</v>
      </c>
      <c r="AK24">
        <f t="shared" si="4"/>
        <v>0</v>
      </c>
      <c r="AL24">
        <f t="shared" si="5"/>
        <v>0</v>
      </c>
      <c r="AM24">
        <f t="shared" si="6"/>
        <v>0</v>
      </c>
      <c r="AN24">
        <f t="shared" si="7"/>
        <v>0</v>
      </c>
      <c r="AO24">
        <f t="shared" si="8"/>
        <v>0</v>
      </c>
      <c r="AP24">
        <f t="shared" si="9"/>
        <v>0</v>
      </c>
      <c r="AQ24">
        <f t="shared" si="10"/>
        <v>0</v>
      </c>
      <c r="AR24" s="276">
        <f t="shared" si="11"/>
        <v>1</v>
      </c>
      <c r="AT24" s="278">
        <f t="shared" si="12"/>
        <v>1</v>
      </c>
      <c r="AY24" s="279"/>
      <c r="BD24" s="279"/>
      <c r="BK24" s="280">
        <f t="shared" si="13"/>
        <v>0</v>
      </c>
      <c r="BL24" s="274">
        <f t="shared" si="14"/>
        <v>0</v>
      </c>
      <c r="BP24" s="281">
        <v>518109</v>
      </c>
      <c r="BQ24" s="281">
        <v>175300</v>
      </c>
      <c r="BR24" s="296" t="s">
        <v>141</v>
      </c>
      <c r="BS24" t="s">
        <v>168</v>
      </c>
      <c r="BT24" t="s">
        <v>141</v>
      </c>
      <c r="BU24"/>
      <c r="BV24"/>
      <c r="BW24"/>
      <c r="BX24"/>
      <c r="BY24" t="s">
        <v>546</v>
      </c>
      <c r="BZ24" t="s">
        <v>325</v>
      </c>
      <c r="CA24" t="s">
        <v>325</v>
      </c>
      <c r="CB24" t="s">
        <v>191</v>
      </c>
    </row>
    <row r="25" spans="1:80" ht="15" customHeight="1" x14ac:dyDescent="0.25">
      <c r="A25" s="274" t="s">
        <v>547</v>
      </c>
      <c r="B25" s="274" t="s">
        <v>444</v>
      </c>
      <c r="C25" s="274"/>
      <c r="D25" s="275">
        <v>43376</v>
      </c>
      <c r="E25" s="275">
        <v>44472</v>
      </c>
      <c r="F25" s="275">
        <v>44466</v>
      </c>
      <c r="G25" s="275">
        <v>45362</v>
      </c>
      <c r="H25" s="274" t="s">
        <v>248</v>
      </c>
      <c r="I25" s="238" t="s">
        <v>303</v>
      </c>
      <c r="K25" s="317">
        <f t="shared" si="15"/>
        <v>5.441095890410959</v>
      </c>
      <c r="L25" s="317" t="s">
        <v>365</v>
      </c>
      <c r="M25" s="277" t="s">
        <v>548</v>
      </c>
      <c r="N25" s="277" t="s">
        <v>549</v>
      </c>
      <c r="O25" s="276" t="s">
        <v>550</v>
      </c>
      <c r="Y25" s="276">
        <f t="shared" si="1"/>
        <v>0</v>
      </c>
      <c r="AB25" s="276">
        <v>2</v>
      </c>
      <c r="AI25" s="276">
        <f t="shared" si="2"/>
        <v>2</v>
      </c>
      <c r="AJ25">
        <f t="shared" si="3"/>
        <v>0</v>
      </c>
      <c r="AK25">
        <f t="shared" si="4"/>
        <v>2</v>
      </c>
      <c r="AL25">
        <f t="shared" si="5"/>
        <v>0</v>
      </c>
      <c r="AM25">
        <f t="shared" si="6"/>
        <v>0</v>
      </c>
      <c r="AN25">
        <f t="shared" si="7"/>
        <v>0</v>
      </c>
      <c r="AO25">
        <f t="shared" si="8"/>
        <v>0</v>
      </c>
      <c r="AP25">
        <f t="shared" si="9"/>
        <v>0</v>
      </c>
      <c r="AQ25">
        <f t="shared" si="10"/>
        <v>0</v>
      </c>
      <c r="AR25" s="276">
        <f t="shared" si="11"/>
        <v>2</v>
      </c>
      <c r="AT25" s="278">
        <f t="shared" si="12"/>
        <v>2</v>
      </c>
      <c r="AY25" s="279"/>
      <c r="BD25" s="279"/>
      <c r="BK25" s="280">
        <f t="shared" si="13"/>
        <v>0</v>
      </c>
      <c r="BL25" s="274">
        <f t="shared" si="14"/>
        <v>0</v>
      </c>
      <c r="BP25" s="281">
        <v>518028</v>
      </c>
      <c r="BQ25" s="281">
        <v>175050</v>
      </c>
      <c r="BR25" s="296" t="s">
        <v>141</v>
      </c>
      <c r="BS25" t="s">
        <v>168</v>
      </c>
      <c r="BT25" t="s">
        <v>141</v>
      </c>
      <c r="BU25"/>
      <c r="BV25"/>
      <c r="BW25"/>
      <c r="BX25"/>
      <c r="BY25" t="s">
        <v>546</v>
      </c>
      <c r="BZ25" t="s">
        <v>325</v>
      </c>
      <c r="CA25" t="s">
        <v>325</v>
      </c>
      <c r="CB25" t="s">
        <v>191</v>
      </c>
    </row>
    <row r="26" spans="1:80" ht="15" customHeight="1" x14ac:dyDescent="0.25">
      <c r="A26" s="274" t="s">
        <v>551</v>
      </c>
      <c r="B26" s="274" t="s">
        <v>532</v>
      </c>
      <c r="C26" s="274"/>
      <c r="D26" s="275">
        <v>43125</v>
      </c>
      <c r="E26" s="275">
        <v>44221</v>
      </c>
      <c r="F26" s="275">
        <v>44216</v>
      </c>
      <c r="G26" s="275">
        <v>45194</v>
      </c>
      <c r="H26" s="274" t="s">
        <v>248</v>
      </c>
      <c r="I26" s="238" t="s">
        <v>303</v>
      </c>
      <c r="K26" s="317">
        <f t="shared" si="15"/>
        <v>5.6684931506849319</v>
      </c>
      <c r="L26" s="317" t="s">
        <v>365</v>
      </c>
      <c r="M26" s="277" t="s">
        <v>552</v>
      </c>
      <c r="N26" s="277" t="s">
        <v>553</v>
      </c>
      <c r="O26" s="276" t="s">
        <v>554</v>
      </c>
      <c r="Y26" s="276">
        <f t="shared" si="1"/>
        <v>0</v>
      </c>
      <c r="AA26" s="276">
        <v>1</v>
      </c>
      <c r="AB26" s="276">
        <v>2</v>
      </c>
      <c r="AI26" s="276">
        <f t="shared" si="2"/>
        <v>3</v>
      </c>
      <c r="AJ26">
        <f t="shared" si="3"/>
        <v>1</v>
      </c>
      <c r="AK26">
        <f t="shared" si="4"/>
        <v>2</v>
      </c>
      <c r="AL26">
        <f t="shared" si="5"/>
        <v>0</v>
      </c>
      <c r="AM26">
        <f t="shared" si="6"/>
        <v>0</v>
      </c>
      <c r="AN26">
        <f t="shared" si="7"/>
        <v>0</v>
      </c>
      <c r="AO26">
        <f t="shared" si="8"/>
        <v>0</v>
      </c>
      <c r="AP26">
        <f t="shared" si="9"/>
        <v>0</v>
      </c>
      <c r="AQ26">
        <f t="shared" si="10"/>
        <v>0</v>
      </c>
      <c r="AR26" s="276">
        <f t="shared" si="11"/>
        <v>3</v>
      </c>
      <c r="AT26" s="278">
        <f t="shared" si="12"/>
        <v>3</v>
      </c>
      <c r="AY26" s="279"/>
      <c r="BD26" s="279"/>
      <c r="BK26" s="280">
        <f t="shared" si="13"/>
        <v>0</v>
      </c>
      <c r="BL26" s="274">
        <f t="shared" si="14"/>
        <v>0</v>
      </c>
      <c r="BP26" s="281">
        <v>518831</v>
      </c>
      <c r="BQ26" s="281">
        <v>175436</v>
      </c>
      <c r="BR26" s="296" t="s">
        <v>141</v>
      </c>
      <c r="BS26" t="s">
        <v>167</v>
      </c>
      <c r="BT26"/>
      <c r="BU26"/>
      <c r="BV26"/>
      <c r="BW26"/>
      <c r="BX26"/>
      <c r="BY26"/>
      <c r="BZ26"/>
      <c r="CA26" t="s">
        <v>325</v>
      </c>
      <c r="CB26" t="s">
        <v>191</v>
      </c>
    </row>
    <row r="27" spans="1:80" ht="15" customHeight="1" x14ac:dyDescent="0.25">
      <c r="A27" s="274" t="s">
        <v>555</v>
      </c>
      <c r="B27" s="274" t="s">
        <v>481</v>
      </c>
      <c r="C27" s="274"/>
      <c r="D27" s="275">
        <v>43966</v>
      </c>
      <c r="E27" s="275">
        <v>45061</v>
      </c>
      <c r="F27" s="275">
        <v>44866</v>
      </c>
      <c r="G27" s="275">
        <v>45226</v>
      </c>
      <c r="H27" s="274" t="s">
        <v>248</v>
      </c>
      <c r="I27" s="238" t="s">
        <v>303</v>
      </c>
      <c r="K27" s="317">
        <f t="shared" si="15"/>
        <v>3.452054794520548</v>
      </c>
      <c r="L27" s="317" t="s">
        <v>365</v>
      </c>
      <c r="M27" s="277" t="s">
        <v>556</v>
      </c>
      <c r="N27" s="277" t="s">
        <v>557</v>
      </c>
      <c r="O27" s="276" t="s">
        <v>558</v>
      </c>
      <c r="Y27" s="276">
        <f t="shared" si="1"/>
        <v>0</v>
      </c>
      <c r="AA27" s="276">
        <v>1</v>
      </c>
      <c r="AI27" s="276">
        <f t="shared" si="2"/>
        <v>1</v>
      </c>
      <c r="AJ27">
        <f t="shared" si="3"/>
        <v>1</v>
      </c>
      <c r="AK27">
        <f t="shared" si="4"/>
        <v>0</v>
      </c>
      <c r="AL27">
        <f t="shared" si="5"/>
        <v>0</v>
      </c>
      <c r="AM27">
        <f t="shared" si="6"/>
        <v>0</v>
      </c>
      <c r="AN27">
        <f t="shared" si="7"/>
        <v>0</v>
      </c>
      <c r="AO27">
        <f t="shared" si="8"/>
        <v>0</v>
      </c>
      <c r="AP27">
        <f t="shared" si="9"/>
        <v>0</v>
      </c>
      <c r="AQ27">
        <f t="shared" si="10"/>
        <v>0</v>
      </c>
      <c r="AR27" s="276">
        <f t="shared" si="11"/>
        <v>1</v>
      </c>
      <c r="AT27" s="278">
        <f t="shared" si="12"/>
        <v>1</v>
      </c>
      <c r="AY27" s="279"/>
      <c r="BD27" s="279"/>
      <c r="BK27" s="280">
        <f t="shared" si="13"/>
        <v>0</v>
      </c>
      <c r="BL27" s="274">
        <f t="shared" si="14"/>
        <v>0</v>
      </c>
      <c r="BP27" s="281">
        <v>515221</v>
      </c>
      <c r="BQ27" s="281">
        <v>171318</v>
      </c>
      <c r="BR27" s="296" t="s">
        <v>183</v>
      </c>
      <c r="BS27" t="s">
        <v>159</v>
      </c>
      <c r="BT27"/>
      <c r="BU27"/>
      <c r="BV27"/>
      <c r="BW27"/>
      <c r="BX27"/>
      <c r="BY27"/>
      <c r="BZ27"/>
      <c r="CA27" t="s">
        <v>325</v>
      </c>
      <c r="CB27" t="s">
        <v>192</v>
      </c>
    </row>
    <row r="28" spans="1:80" ht="15" customHeight="1" x14ac:dyDescent="0.25">
      <c r="A28" s="274" t="s">
        <v>559</v>
      </c>
      <c r="B28" s="274" t="s">
        <v>444</v>
      </c>
      <c r="C28" s="274"/>
      <c r="D28" s="275">
        <v>43731</v>
      </c>
      <c r="E28" s="275">
        <v>44827</v>
      </c>
      <c r="F28" s="275">
        <v>44917</v>
      </c>
      <c r="G28" s="275">
        <v>45210</v>
      </c>
      <c r="H28" s="274" t="s">
        <v>248</v>
      </c>
      <c r="I28" s="238" t="s">
        <v>303</v>
      </c>
      <c r="K28" s="317">
        <f t="shared" si="15"/>
        <v>4.0520547945205481</v>
      </c>
      <c r="L28" s="317" t="s">
        <v>365</v>
      </c>
      <c r="M28" s="277" t="s">
        <v>560</v>
      </c>
      <c r="N28" s="277" t="s">
        <v>561</v>
      </c>
      <c r="O28" s="276" t="s">
        <v>562</v>
      </c>
      <c r="Y28" s="276">
        <f t="shared" si="1"/>
        <v>0</v>
      </c>
      <c r="AD28" s="276">
        <v>2</v>
      </c>
      <c r="AI28" s="276">
        <f t="shared" si="2"/>
        <v>2</v>
      </c>
      <c r="AJ28">
        <f t="shared" si="3"/>
        <v>0</v>
      </c>
      <c r="AK28">
        <f t="shared" si="4"/>
        <v>0</v>
      </c>
      <c r="AL28">
        <f t="shared" si="5"/>
        <v>0</v>
      </c>
      <c r="AM28">
        <f t="shared" si="6"/>
        <v>2</v>
      </c>
      <c r="AN28">
        <f t="shared" si="7"/>
        <v>0</v>
      </c>
      <c r="AO28">
        <f t="shared" si="8"/>
        <v>0</v>
      </c>
      <c r="AP28">
        <f t="shared" si="9"/>
        <v>0</v>
      </c>
      <c r="AQ28">
        <f t="shared" si="10"/>
        <v>0</v>
      </c>
      <c r="AR28" s="276">
        <f t="shared" si="11"/>
        <v>2</v>
      </c>
      <c r="AT28" s="278">
        <f t="shared" si="12"/>
        <v>2</v>
      </c>
      <c r="AY28" s="279"/>
      <c r="BD28" s="279"/>
      <c r="BK28" s="280">
        <f t="shared" si="13"/>
        <v>0</v>
      </c>
      <c r="BL28" s="274">
        <f t="shared" si="14"/>
        <v>0</v>
      </c>
      <c r="BP28" s="281">
        <v>515377</v>
      </c>
      <c r="BQ28" s="281">
        <v>173631</v>
      </c>
      <c r="BR28" s="296" t="s">
        <v>145</v>
      </c>
      <c r="BS28" t="s">
        <v>170</v>
      </c>
      <c r="BT28"/>
      <c r="BU28"/>
      <c r="BV28"/>
      <c r="BW28"/>
      <c r="BX28"/>
      <c r="BY28"/>
      <c r="BZ28"/>
      <c r="CA28" t="s">
        <v>325</v>
      </c>
      <c r="CB28" t="s">
        <v>193</v>
      </c>
    </row>
    <row r="29" spans="1:80" ht="15" customHeight="1" x14ac:dyDescent="0.25">
      <c r="A29" s="274" t="s">
        <v>563</v>
      </c>
      <c r="B29" s="274" t="s">
        <v>444</v>
      </c>
      <c r="C29" s="274"/>
      <c r="D29" s="275">
        <v>44104</v>
      </c>
      <c r="E29" s="275">
        <v>45199</v>
      </c>
      <c r="F29" s="275">
        <v>44865</v>
      </c>
      <c r="G29" s="275">
        <v>45313</v>
      </c>
      <c r="H29" s="274" t="s">
        <v>248</v>
      </c>
      <c r="I29" s="238" t="s">
        <v>303</v>
      </c>
      <c r="K29" s="317">
        <f t="shared" si="15"/>
        <v>3.3123287671232875</v>
      </c>
      <c r="L29" s="317" t="s">
        <v>366</v>
      </c>
      <c r="M29" s="277" t="s">
        <v>564</v>
      </c>
      <c r="N29" s="277" t="s">
        <v>565</v>
      </c>
      <c r="O29" s="276" t="s">
        <v>566</v>
      </c>
      <c r="Y29" s="276">
        <f t="shared" si="1"/>
        <v>0</v>
      </c>
      <c r="AC29" s="276">
        <v>5</v>
      </c>
      <c r="AI29" s="276">
        <f t="shared" si="2"/>
        <v>5</v>
      </c>
      <c r="AJ29">
        <f t="shared" si="3"/>
        <v>0</v>
      </c>
      <c r="AK29">
        <f t="shared" si="4"/>
        <v>0</v>
      </c>
      <c r="AL29">
        <f t="shared" si="5"/>
        <v>5</v>
      </c>
      <c r="AM29">
        <f t="shared" si="6"/>
        <v>0</v>
      </c>
      <c r="AN29">
        <f t="shared" si="7"/>
        <v>0</v>
      </c>
      <c r="AO29">
        <f t="shared" si="8"/>
        <v>0</v>
      </c>
      <c r="AP29">
        <f t="shared" si="9"/>
        <v>0</v>
      </c>
      <c r="AQ29">
        <f t="shared" si="10"/>
        <v>0</v>
      </c>
      <c r="AR29" s="276">
        <f t="shared" si="11"/>
        <v>5</v>
      </c>
      <c r="AT29" s="278">
        <f t="shared" si="12"/>
        <v>5</v>
      </c>
      <c r="AY29" s="279"/>
      <c r="BD29" s="279"/>
      <c r="BK29" s="280">
        <f t="shared" si="13"/>
        <v>0</v>
      </c>
      <c r="BL29" s="274">
        <f t="shared" si="14"/>
        <v>0</v>
      </c>
      <c r="BP29" s="281">
        <v>520616</v>
      </c>
      <c r="BQ29" s="281">
        <v>175748</v>
      </c>
      <c r="BR29" s="296" t="s">
        <v>181</v>
      </c>
      <c r="BS29" t="s">
        <v>140</v>
      </c>
      <c r="BT29"/>
      <c r="BU29"/>
      <c r="BV29"/>
      <c r="BW29"/>
      <c r="BX29"/>
      <c r="BY29"/>
      <c r="BZ29"/>
      <c r="CA29" t="s">
        <v>325</v>
      </c>
      <c r="CB29" t="s">
        <v>190</v>
      </c>
    </row>
    <row r="30" spans="1:80" ht="15" customHeight="1" x14ac:dyDescent="0.25">
      <c r="A30" s="274" t="s">
        <v>567</v>
      </c>
      <c r="B30" s="274" t="s">
        <v>532</v>
      </c>
      <c r="C30" s="274"/>
      <c r="D30" s="275">
        <v>44126</v>
      </c>
      <c r="E30" s="275">
        <v>45221</v>
      </c>
      <c r="F30" s="275">
        <v>44593</v>
      </c>
      <c r="G30" s="275">
        <v>45017</v>
      </c>
      <c r="H30" s="274" t="s">
        <v>248</v>
      </c>
      <c r="I30" s="238" t="s">
        <v>303</v>
      </c>
      <c r="K30" s="317">
        <f t="shared" si="15"/>
        <v>2.441095890410959</v>
      </c>
      <c r="L30" s="317" t="s">
        <v>365</v>
      </c>
      <c r="M30" s="277" t="s">
        <v>568</v>
      </c>
      <c r="N30" s="277" t="s">
        <v>569</v>
      </c>
      <c r="O30" s="276" t="s">
        <v>570</v>
      </c>
      <c r="S30" s="276">
        <v>1</v>
      </c>
      <c r="Y30" s="276">
        <f t="shared" si="1"/>
        <v>1</v>
      </c>
      <c r="AA30" s="276">
        <v>3</v>
      </c>
      <c r="AI30" s="276">
        <f t="shared" si="2"/>
        <v>3</v>
      </c>
      <c r="AJ30">
        <f t="shared" si="3"/>
        <v>3</v>
      </c>
      <c r="AK30">
        <f t="shared" si="4"/>
        <v>0</v>
      </c>
      <c r="AL30">
        <f t="shared" si="5"/>
        <v>-1</v>
      </c>
      <c r="AM30">
        <f t="shared" si="6"/>
        <v>0</v>
      </c>
      <c r="AN30">
        <f t="shared" si="7"/>
        <v>0</v>
      </c>
      <c r="AO30">
        <f t="shared" si="8"/>
        <v>0</v>
      </c>
      <c r="AP30">
        <f t="shared" si="9"/>
        <v>0</v>
      </c>
      <c r="AQ30">
        <f t="shared" si="10"/>
        <v>0</v>
      </c>
      <c r="AR30" s="276">
        <f t="shared" si="11"/>
        <v>2</v>
      </c>
      <c r="AT30" s="278">
        <f t="shared" si="12"/>
        <v>2</v>
      </c>
      <c r="AY30" s="279"/>
      <c r="BD30" s="279"/>
      <c r="BK30" s="280">
        <f t="shared" si="13"/>
        <v>0</v>
      </c>
      <c r="BL30" s="274">
        <f t="shared" si="14"/>
        <v>0</v>
      </c>
      <c r="BP30" s="281">
        <v>519849</v>
      </c>
      <c r="BQ30" s="281">
        <v>175357</v>
      </c>
      <c r="BR30" s="296" t="s">
        <v>141</v>
      </c>
      <c r="BS30" t="s">
        <v>167</v>
      </c>
      <c r="BT30"/>
      <c r="BU30"/>
      <c r="BV30"/>
      <c r="BW30"/>
      <c r="BX30"/>
      <c r="BY30"/>
      <c r="BZ30"/>
      <c r="CA30" t="s">
        <v>325</v>
      </c>
      <c r="CB30" t="s">
        <v>190</v>
      </c>
    </row>
    <row r="31" spans="1:80" ht="15" customHeight="1" x14ac:dyDescent="0.25">
      <c r="A31" s="274" t="s">
        <v>571</v>
      </c>
      <c r="B31" s="274" t="s">
        <v>444</v>
      </c>
      <c r="C31" s="274"/>
      <c r="D31" s="275">
        <v>44320</v>
      </c>
      <c r="E31" s="275">
        <v>45416</v>
      </c>
      <c r="F31" s="275">
        <v>44593</v>
      </c>
      <c r="G31" s="275">
        <v>45160</v>
      </c>
      <c r="H31" s="274" t="s">
        <v>248</v>
      </c>
      <c r="I31" s="276" t="s">
        <v>340</v>
      </c>
      <c r="K31" s="317">
        <f t="shared" si="15"/>
        <v>2.3013698630136985</v>
      </c>
      <c r="L31" s="317" t="s">
        <v>367</v>
      </c>
      <c r="M31" s="277" t="s">
        <v>572</v>
      </c>
      <c r="N31" s="274" t="s">
        <v>573</v>
      </c>
      <c r="O31" s="276" t="s">
        <v>574</v>
      </c>
      <c r="Y31" s="276">
        <f t="shared" si="1"/>
        <v>0</v>
      </c>
      <c r="Z31" s="276" t="s">
        <v>325</v>
      </c>
      <c r="AA31" s="276">
        <v>6</v>
      </c>
      <c r="AI31" s="276">
        <f t="shared" si="2"/>
        <v>6</v>
      </c>
      <c r="AJ31">
        <f t="shared" si="3"/>
        <v>6</v>
      </c>
      <c r="AK31">
        <f t="shared" si="4"/>
        <v>0</v>
      </c>
      <c r="AL31">
        <f t="shared" si="5"/>
        <v>0</v>
      </c>
      <c r="AM31">
        <f t="shared" si="6"/>
        <v>0</v>
      </c>
      <c r="AN31">
        <f t="shared" si="7"/>
        <v>0</v>
      </c>
      <c r="AO31">
        <f t="shared" si="8"/>
        <v>0</v>
      </c>
      <c r="AP31">
        <f t="shared" si="9"/>
        <v>0</v>
      </c>
      <c r="AQ31">
        <f t="shared" si="10"/>
        <v>0</v>
      </c>
      <c r="AR31" s="276">
        <f t="shared" si="11"/>
        <v>6</v>
      </c>
      <c r="AS31" t="s">
        <v>325</v>
      </c>
      <c r="AT31" s="278">
        <f t="shared" si="12"/>
        <v>6</v>
      </c>
      <c r="AY31" s="279"/>
      <c r="BD31" s="279"/>
      <c r="BK31" s="280">
        <f t="shared" si="13"/>
        <v>0</v>
      </c>
      <c r="BL31" s="274">
        <f t="shared" si="14"/>
        <v>0</v>
      </c>
      <c r="BP31" s="281">
        <v>515045</v>
      </c>
      <c r="BQ31" s="281">
        <v>171153</v>
      </c>
      <c r="BR31" s="296" t="s">
        <v>183</v>
      </c>
      <c r="BS31" t="s">
        <v>159</v>
      </c>
      <c r="BT31"/>
      <c r="BU31"/>
      <c r="BV31"/>
      <c r="BW31"/>
      <c r="BX31"/>
      <c r="BY31"/>
      <c r="BZ31"/>
      <c r="CA31" t="s">
        <v>325</v>
      </c>
      <c r="CB31" t="s">
        <v>192</v>
      </c>
    </row>
    <row r="32" spans="1:80" ht="15" customHeight="1" x14ac:dyDescent="0.25">
      <c r="A32" s="274" t="s">
        <v>571</v>
      </c>
      <c r="B32" s="274" t="s">
        <v>444</v>
      </c>
      <c r="C32" s="274"/>
      <c r="D32" s="275">
        <v>44320</v>
      </c>
      <c r="E32" s="275">
        <v>45416</v>
      </c>
      <c r="F32" s="275">
        <v>44593</v>
      </c>
      <c r="G32" s="275">
        <v>45160</v>
      </c>
      <c r="H32" s="274" t="s">
        <v>248</v>
      </c>
      <c r="I32" s="276" t="s">
        <v>339</v>
      </c>
      <c r="K32" s="317">
        <f t="shared" si="15"/>
        <v>2.3013698630136985</v>
      </c>
      <c r="L32" s="317" t="s">
        <v>367</v>
      </c>
      <c r="M32" s="277" t="s">
        <v>572</v>
      </c>
      <c r="N32" s="277" t="s">
        <v>573</v>
      </c>
      <c r="O32" s="276" t="s">
        <v>574</v>
      </c>
      <c r="Y32" s="276">
        <f t="shared" si="1"/>
        <v>0</v>
      </c>
      <c r="Z32" s="276" t="s">
        <v>325</v>
      </c>
      <c r="AA32" s="276">
        <v>5</v>
      </c>
      <c r="AB32" s="276">
        <v>3</v>
      </c>
      <c r="AI32" s="276">
        <f t="shared" si="2"/>
        <v>8</v>
      </c>
      <c r="AJ32">
        <f t="shared" si="3"/>
        <v>5</v>
      </c>
      <c r="AK32">
        <f t="shared" si="4"/>
        <v>3</v>
      </c>
      <c r="AL32">
        <f t="shared" si="5"/>
        <v>0</v>
      </c>
      <c r="AM32">
        <f t="shared" si="6"/>
        <v>0</v>
      </c>
      <c r="AN32">
        <f t="shared" si="7"/>
        <v>0</v>
      </c>
      <c r="AO32">
        <f t="shared" si="8"/>
        <v>0</v>
      </c>
      <c r="AP32">
        <f t="shared" si="9"/>
        <v>0</v>
      </c>
      <c r="AQ32">
        <f t="shared" si="10"/>
        <v>0</v>
      </c>
      <c r="AR32" s="276">
        <f t="shared" si="11"/>
        <v>8</v>
      </c>
      <c r="AS32" t="s">
        <v>325</v>
      </c>
      <c r="AT32" s="278">
        <f t="shared" si="12"/>
        <v>8</v>
      </c>
      <c r="AY32" s="279"/>
      <c r="BD32" s="279"/>
      <c r="BK32" s="280">
        <f t="shared" si="13"/>
        <v>0</v>
      </c>
      <c r="BL32" s="274">
        <f t="shared" si="14"/>
        <v>0</v>
      </c>
      <c r="BP32" s="281">
        <v>515045</v>
      </c>
      <c r="BQ32" s="281">
        <v>171153</v>
      </c>
      <c r="BR32" s="296" t="s">
        <v>183</v>
      </c>
      <c r="BS32" t="s">
        <v>159</v>
      </c>
      <c r="BT32"/>
      <c r="BU32"/>
      <c r="BV32"/>
      <c r="BW32"/>
      <c r="BX32"/>
      <c r="BY32"/>
      <c r="BZ32"/>
      <c r="CA32" t="s">
        <v>325</v>
      </c>
      <c r="CB32" t="s">
        <v>192</v>
      </c>
    </row>
    <row r="33" spans="1:81" ht="15" customHeight="1" x14ac:dyDescent="0.25">
      <c r="A33" s="274" t="s">
        <v>575</v>
      </c>
      <c r="B33" s="274" t="s">
        <v>444</v>
      </c>
      <c r="C33" s="274"/>
      <c r="D33" s="275">
        <v>44104</v>
      </c>
      <c r="E33" s="275">
        <v>45199</v>
      </c>
      <c r="F33" s="275">
        <v>44991</v>
      </c>
      <c r="G33" s="275">
        <v>45316</v>
      </c>
      <c r="H33" s="274" t="s">
        <v>248</v>
      </c>
      <c r="I33" s="238" t="s">
        <v>303</v>
      </c>
      <c r="K33" s="317">
        <f t="shared" si="15"/>
        <v>3.3205479452054796</v>
      </c>
      <c r="L33" s="317" t="s">
        <v>365</v>
      </c>
      <c r="M33" s="277" t="s">
        <v>576</v>
      </c>
      <c r="N33" s="277" t="s">
        <v>577</v>
      </c>
      <c r="O33" s="276" t="s">
        <v>578</v>
      </c>
      <c r="Y33" s="276">
        <f t="shared" si="1"/>
        <v>0</v>
      </c>
      <c r="AA33" s="276">
        <v>1</v>
      </c>
      <c r="AI33" s="276">
        <f t="shared" si="2"/>
        <v>1</v>
      </c>
      <c r="AJ33">
        <f t="shared" si="3"/>
        <v>1</v>
      </c>
      <c r="AK33">
        <f t="shared" si="4"/>
        <v>0</v>
      </c>
      <c r="AL33">
        <f t="shared" si="5"/>
        <v>0</v>
      </c>
      <c r="AM33">
        <f t="shared" si="6"/>
        <v>0</v>
      </c>
      <c r="AN33">
        <f t="shared" si="7"/>
        <v>0</v>
      </c>
      <c r="AO33">
        <f t="shared" si="8"/>
        <v>0</v>
      </c>
      <c r="AP33">
        <f t="shared" si="9"/>
        <v>0</v>
      </c>
      <c r="AQ33">
        <f t="shared" si="10"/>
        <v>0</v>
      </c>
      <c r="AR33" s="276">
        <f t="shared" si="11"/>
        <v>1</v>
      </c>
      <c r="AT33" s="278">
        <f t="shared" si="12"/>
        <v>1</v>
      </c>
      <c r="AY33" s="279"/>
      <c r="BD33" s="279"/>
      <c r="BK33" s="280">
        <f t="shared" si="13"/>
        <v>0</v>
      </c>
      <c r="BL33" s="274">
        <f t="shared" si="14"/>
        <v>0</v>
      </c>
      <c r="BP33" s="281">
        <v>518657</v>
      </c>
      <c r="BQ33" s="281">
        <v>175579</v>
      </c>
      <c r="BR33" s="296" t="s">
        <v>141</v>
      </c>
      <c r="BS33" t="s">
        <v>167</v>
      </c>
      <c r="BT33"/>
      <c r="BU33"/>
      <c r="BV33"/>
      <c r="BW33"/>
      <c r="BX33"/>
      <c r="BY33"/>
      <c r="BZ33"/>
      <c r="CA33" t="s">
        <v>325</v>
      </c>
      <c r="CB33" t="s">
        <v>191</v>
      </c>
    </row>
    <row r="34" spans="1:81" ht="15" customHeight="1" x14ac:dyDescent="0.25">
      <c r="A34" s="274" t="s">
        <v>579</v>
      </c>
      <c r="B34" s="277" t="s">
        <v>481</v>
      </c>
      <c r="D34" s="275">
        <v>44169</v>
      </c>
      <c r="E34" s="275">
        <v>45264</v>
      </c>
      <c r="F34" s="239">
        <v>44670</v>
      </c>
      <c r="G34" s="239">
        <v>45047</v>
      </c>
      <c r="H34" s="274" t="s">
        <v>248</v>
      </c>
      <c r="I34" s="238" t="s">
        <v>303</v>
      </c>
      <c r="K34" s="317">
        <f t="shared" si="15"/>
        <v>2.4054794520547946</v>
      </c>
      <c r="L34" s="317" t="s">
        <v>365</v>
      </c>
      <c r="M34" s="277" t="s">
        <v>580</v>
      </c>
      <c r="N34" s="277" t="s">
        <v>581</v>
      </c>
      <c r="O34" s="276" t="s">
        <v>582</v>
      </c>
      <c r="S34" s="276">
        <v>1</v>
      </c>
      <c r="Y34" s="276">
        <f t="shared" si="1"/>
        <v>1</v>
      </c>
      <c r="AA34" s="276">
        <v>2</v>
      </c>
      <c r="AI34" s="276">
        <f t="shared" si="2"/>
        <v>2</v>
      </c>
      <c r="AJ34">
        <f t="shared" si="3"/>
        <v>2</v>
      </c>
      <c r="AK34">
        <f t="shared" si="4"/>
        <v>0</v>
      </c>
      <c r="AL34">
        <f t="shared" si="5"/>
        <v>-1</v>
      </c>
      <c r="AM34">
        <f t="shared" si="6"/>
        <v>0</v>
      </c>
      <c r="AN34">
        <f t="shared" si="7"/>
        <v>0</v>
      </c>
      <c r="AO34">
        <f t="shared" si="8"/>
        <v>0</v>
      </c>
      <c r="AP34">
        <f t="shared" si="9"/>
        <v>0</v>
      </c>
      <c r="AQ34">
        <f t="shared" si="10"/>
        <v>0</v>
      </c>
      <c r="AR34" s="276">
        <f t="shared" si="11"/>
        <v>1</v>
      </c>
      <c r="AT34" s="278">
        <f t="shared" ref="AT34:AT69" si="17">AR34</f>
        <v>1</v>
      </c>
      <c r="AY34" s="279"/>
      <c r="BD34" s="279"/>
      <c r="BK34" s="280">
        <f t="shared" si="13"/>
        <v>0</v>
      </c>
      <c r="BL34" s="274">
        <f t="shared" si="14"/>
        <v>0</v>
      </c>
      <c r="BP34" s="281">
        <v>520166</v>
      </c>
      <c r="BQ34" s="281">
        <v>175305</v>
      </c>
      <c r="BR34" s="296" t="s">
        <v>181</v>
      </c>
      <c r="BS34" t="s">
        <v>140</v>
      </c>
      <c r="BT34" t="s">
        <v>140</v>
      </c>
      <c r="BU34"/>
      <c r="BV34"/>
      <c r="BW34"/>
      <c r="BX34"/>
      <c r="BY34"/>
      <c r="BZ34"/>
      <c r="CA34" t="s">
        <v>325</v>
      </c>
      <c r="CB34" t="s">
        <v>190</v>
      </c>
    </row>
    <row r="35" spans="1:81" ht="15" customHeight="1" x14ac:dyDescent="0.25">
      <c r="A35" s="274" t="s">
        <v>583</v>
      </c>
      <c r="B35" s="277" t="s">
        <v>444</v>
      </c>
      <c r="D35" s="275">
        <v>44141</v>
      </c>
      <c r="E35" s="275">
        <v>45236</v>
      </c>
      <c r="F35" s="275">
        <v>44587</v>
      </c>
      <c r="G35" s="275">
        <v>45382</v>
      </c>
      <c r="H35" s="274" t="s">
        <v>248</v>
      </c>
      <c r="I35" s="238" t="s">
        <v>303</v>
      </c>
      <c r="K35" s="317">
        <f t="shared" si="15"/>
        <v>3.4</v>
      </c>
      <c r="L35" s="317" t="s">
        <v>365</v>
      </c>
      <c r="M35" s="277" t="s">
        <v>584</v>
      </c>
      <c r="N35" s="277" t="s">
        <v>585</v>
      </c>
      <c r="O35" s="276" t="s">
        <v>586</v>
      </c>
      <c r="U35" s="276">
        <v>1</v>
      </c>
      <c r="Y35" s="276">
        <f t="shared" si="1"/>
        <v>1</v>
      </c>
      <c r="AE35" s="276">
        <v>1</v>
      </c>
      <c r="AI35" s="276">
        <f t="shared" si="2"/>
        <v>1</v>
      </c>
      <c r="AJ35">
        <f t="shared" si="3"/>
        <v>0</v>
      </c>
      <c r="AK35">
        <f t="shared" si="4"/>
        <v>0</v>
      </c>
      <c r="AL35">
        <f t="shared" si="5"/>
        <v>0</v>
      </c>
      <c r="AM35">
        <f t="shared" si="6"/>
        <v>0</v>
      </c>
      <c r="AN35">
        <f t="shared" si="7"/>
        <v>0</v>
      </c>
      <c r="AO35">
        <f t="shared" si="8"/>
        <v>0</v>
      </c>
      <c r="AP35">
        <f t="shared" si="9"/>
        <v>0</v>
      </c>
      <c r="AQ35">
        <f t="shared" si="10"/>
        <v>0</v>
      </c>
      <c r="AR35" s="276">
        <f t="shared" si="11"/>
        <v>0</v>
      </c>
      <c r="AT35" s="278">
        <f t="shared" si="17"/>
        <v>0</v>
      </c>
      <c r="AY35" s="279"/>
      <c r="BD35" s="279"/>
      <c r="BK35" s="280">
        <f t="shared" si="13"/>
        <v>0</v>
      </c>
      <c r="BL35" s="274">
        <f t="shared" si="14"/>
        <v>0</v>
      </c>
      <c r="BP35" s="281">
        <v>515689</v>
      </c>
      <c r="BQ35" s="281">
        <v>172252</v>
      </c>
      <c r="BR35" s="296" t="s">
        <v>145</v>
      </c>
      <c r="BS35" t="s">
        <v>169</v>
      </c>
      <c r="BT35"/>
      <c r="BU35"/>
      <c r="BV35"/>
      <c r="BW35"/>
      <c r="BX35"/>
      <c r="BY35" t="s">
        <v>587</v>
      </c>
      <c r="BZ35" t="s">
        <v>325</v>
      </c>
      <c r="CA35" t="s">
        <v>325</v>
      </c>
      <c r="CB35" t="s">
        <v>193</v>
      </c>
    </row>
    <row r="36" spans="1:81" ht="15" customHeight="1" x14ac:dyDescent="0.25">
      <c r="A36" s="274" t="s">
        <v>588</v>
      </c>
      <c r="B36" s="274" t="s">
        <v>459</v>
      </c>
      <c r="C36" s="274"/>
      <c r="D36" s="275">
        <v>44407</v>
      </c>
      <c r="E36" s="275">
        <v>45503</v>
      </c>
      <c r="F36" s="275">
        <v>44804</v>
      </c>
      <c r="G36" s="275">
        <v>45264</v>
      </c>
      <c r="H36" s="274" t="s">
        <v>248</v>
      </c>
      <c r="I36" s="238" t="s">
        <v>303</v>
      </c>
      <c r="K36" s="317">
        <f t="shared" si="15"/>
        <v>2.3479452054794518</v>
      </c>
      <c r="L36" s="317" t="s">
        <v>365</v>
      </c>
      <c r="M36" s="277" t="s">
        <v>589</v>
      </c>
      <c r="N36" s="277" t="s">
        <v>590</v>
      </c>
      <c r="O36" s="276" t="s">
        <v>591</v>
      </c>
      <c r="U36" s="276">
        <v>1</v>
      </c>
      <c r="Y36" s="276">
        <f t="shared" si="1"/>
        <v>1</v>
      </c>
      <c r="AA36" s="276">
        <v>2</v>
      </c>
      <c r="AI36" s="276">
        <f t="shared" si="2"/>
        <v>2</v>
      </c>
      <c r="AJ36">
        <f t="shared" si="3"/>
        <v>2</v>
      </c>
      <c r="AK36">
        <f t="shared" si="4"/>
        <v>0</v>
      </c>
      <c r="AL36">
        <f t="shared" si="5"/>
        <v>0</v>
      </c>
      <c r="AM36">
        <f t="shared" si="6"/>
        <v>0</v>
      </c>
      <c r="AN36">
        <f t="shared" si="7"/>
        <v>-1</v>
      </c>
      <c r="AO36">
        <f t="shared" si="8"/>
        <v>0</v>
      </c>
      <c r="AP36">
        <f t="shared" si="9"/>
        <v>0</v>
      </c>
      <c r="AQ36">
        <f t="shared" si="10"/>
        <v>0</v>
      </c>
      <c r="AR36" s="276">
        <f t="shared" si="11"/>
        <v>1</v>
      </c>
      <c r="AT36" s="278">
        <f t="shared" si="17"/>
        <v>1</v>
      </c>
      <c r="AY36" s="279"/>
      <c r="BD36" s="279"/>
      <c r="BK36" s="280">
        <f t="shared" si="13"/>
        <v>0</v>
      </c>
      <c r="BL36" s="274">
        <f t="shared" si="14"/>
        <v>0</v>
      </c>
      <c r="BP36" s="281">
        <v>515822</v>
      </c>
      <c r="BQ36" s="281">
        <v>173145</v>
      </c>
      <c r="BR36" s="296" t="s">
        <v>145</v>
      </c>
      <c r="BS36" t="s">
        <v>169</v>
      </c>
      <c r="BT36" t="s">
        <v>145</v>
      </c>
      <c r="BU36"/>
      <c r="BV36"/>
      <c r="BW36"/>
      <c r="BX36"/>
      <c r="BY36"/>
      <c r="BZ36"/>
      <c r="CA36" t="s">
        <v>325</v>
      </c>
      <c r="CB36" t="s">
        <v>193</v>
      </c>
    </row>
    <row r="37" spans="1:81" ht="15" customHeight="1" x14ac:dyDescent="0.25">
      <c r="A37" s="274" t="s">
        <v>592</v>
      </c>
      <c r="B37" s="274" t="s">
        <v>444</v>
      </c>
      <c r="C37" s="274"/>
      <c r="D37" s="275">
        <v>44202</v>
      </c>
      <c r="E37" s="275">
        <v>45297</v>
      </c>
      <c r="F37" s="275">
        <v>44424</v>
      </c>
      <c r="G37" s="275">
        <v>45100</v>
      </c>
      <c r="H37" s="274" t="s">
        <v>248</v>
      </c>
      <c r="I37" s="238" t="s">
        <v>303</v>
      </c>
      <c r="K37" s="317">
        <f t="shared" si="15"/>
        <v>2.4602739726027396</v>
      </c>
      <c r="L37" s="317" t="s">
        <v>365</v>
      </c>
      <c r="M37" s="277" t="s">
        <v>593</v>
      </c>
      <c r="N37" s="274" t="s">
        <v>594</v>
      </c>
      <c r="O37" s="276" t="s">
        <v>595</v>
      </c>
      <c r="Y37" s="276">
        <f t="shared" si="1"/>
        <v>0</v>
      </c>
      <c r="AE37" s="276">
        <v>2</v>
      </c>
      <c r="AI37" s="276">
        <f t="shared" si="2"/>
        <v>2</v>
      </c>
      <c r="AJ37">
        <f t="shared" si="3"/>
        <v>0</v>
      </c>
      <c r="AK37">
        <f t="shared" si="4"/>
        <v>0</v>
      </c>
      <c r="AL37">
        <f t="shared" si="5"/>
        <v>0</v>
      </c>
      <c r="AM37">
        <f t="shared" si="6"/>
        <v>0</v>
      </c>
      <c r="AN37">
        <f t="shared" si="7"/>
        <v>2</v>
      </c>
      <c r="AO37">
        <f t="shared" si="8"/>
        <v>0</v>
      </c>
      <c r="AP37">
        <f t="shared" si="9"/>
        <v>0</v>
      </c>
      <c r="AQ37">
        <f t="shared" si="10"/>
        <v>0</v>
      </c>
      <c r="AR37" s="276">
        <f t="shared" si="11"/>
        <v>2</v>
      </c>
      <c r="AT37" s="278">
        <f t="shared" si="17"/>
        <v>2</v>
      </c>
      <c r="AY37" s="279"/>
      <c r="BD37" s="279"/>
      <c r="BK37" s="280">
        <f t="shared" si="13"/>
        <v>0</v>
      </c>
      <c r="BL37" s="274">
        <f t="shared" si="14"/>
        <v>0</v>
      </c>
      <c r="BP37" s="281">
        <v>513454</v>
      </c>
      <c r="BQ37" s="281">
        <v>170508</v>
      </c>
      <c r="BR37" s="296" t="s">
        <v>183</v>
      </c>
      <c r="BS37" t="s">
        <v>161</v>
      </c>
      <c r="BT37"/>
      <c r="BU37"/>
      <c r="BV37"/>
      <c r="BW37"/>
      <c r="BX37"/>
      <c r="BY37"/>
      <c r="BZ37"/>
      <c r="CA37" t="s">
        <v>325</v>
      </c>
      <c r="CB37" t="s">
        <v>189</v>
      </c>
    </row>
    <row r="38" spans="1:81" ht="15" customHeight="1" x14ac:dyDescent="0.25">
      <c r="A38" s="274" t="s">
        <v>596</v>
      </c>
      <c r="B38" s="274" t="s">
        <v>444</v>
      </c>
      <c r="C38" s="274"/>
      <c r="D38" s="275">
        <v>44323</v>
      </c>
      <c r="E38" s="275">
        <v>45419</v>
      </c>
      <c r="F38" s="275">
        <v>44835</v>
      </c>
      <c r="G38" s="275">
        <v>45209</v>
      </c>
      <c r="H38" s="274" t="s">
        <v>248</v>
      </c>
      <c r="I38" s="238" t="s">
        <v>303</v>
      </c>
      <c r="K38" s="317">
        <f t="shared" si="15"/>
        <v>2.4273972602739726</v>
      </c>
      <c r="L38" s="317" t="s">
        <v>365</v>
      </c>
      <c r="M38" s="277" t="s">
        <v>597</v>
      </c>
      <c r="N38" s="277" t="s">
        <v>598</v>
      </c>
      <c r="O38" s="276" t="s">
        <v>599</v>
      </c>
      <c r="Y38" s="276">
        <f t="shared" si="1"/>
        <v>0</v>
      </c>
      <c r="AB38" s="276">
        <v>1</v>
      </c>
      <c r="AI38" s="276">
        <f t="shared" si="2"/>
        <v>1</v>
      </c>
      <c r="AJ38">
        <f t="shared" si="3"/>
        <v>0</v>
      </c>
      <c r="AK38">
        <f t="shared" si="4"/>
        <v>1</v>
      </c>
      <c r="AL38">
        <f t="shared" si="5"/>
        <v>0</v>
      </c>
      <c r="AM38">
        <f t="shared" si="6"/>
        <v>0</v>
      </c>
      <c r="AN38">
        <f t="shared" si="7"/>
        <v>0</v>
      </c>
      <c r="AO38">
        <f t="shared" si="8"/>
        <v>0</v>
      </c>
      <c r="AP38">
        <f t="shared" si="9"/>
        <v>0</v>
      </c>
      <c r="AQ38">
        <f t="shared" si="10"/>
        <v>0</v>
      </c>
      <c r="AR38" s="276">
        <f t="shared" si="11"/>
        <v>1</v>
      </c>
      <c r="AT38" s="278">
        <f t="shared" si="17"/>
        <v>1</v>
      </c>
      <c r="AY38" s="279"/>
      <c r="BD38" s="279"/>
      <c r="BK38" s="280">
        <f t="shared" si="13"/>
        <v>0</v>
      </c>
      <c r="BL38" s="274">
        <f t="shared" si="14"/>
        <v>0</v>
      </c>
      <c r="BP38" s="281">
        <v>520935</v>
      </c>
      <c r="BQ38" s="281">
        <v>175143</v>
      </c>
      <c r="BR38" s="296" t="s">
        <v>181</v>
      </c>
      <c r="BS38" t="s">
        <v>140</v>
      </c>
      <c r="BT38"/>
      <c r="BU38"/>
      <c r="BV38"/>
      <c r="BW38"/>
      <c r="BX38"/>
      <c r="BY38"/>
      <c r="BZ38"/>
      <c r="CA38" t="s">
        <v>325</v>
      </c>
      <c r="CB38" t="s">
        <v>190</v>
      </c>
      <c r="CC38" s="276" t="s">
        <v>325</v>
      </c>
    </row>
    <row r="39" spans="1:81" ht="15" customHeight="1" x14ac:dyDescent="0.25">
      <c r="A39" s="274" t="s">
        <v>600</v>
      </c>
      <c r="B39" s="274" t="s">
        <v>444</v>
      </c>
      <c r="C39" s="274"/>
      <c r="D39" s="275">
        <v>44727</v>
      </c>
      <c r="E39" s="275">
        <v>45823</v>
      </c>
      <c r="F39" s="275">
        <v>44316</v>
      </c>
      <c r="G39" s="275">
        <v>45183</v>
      </c>
      <c r="H39" s="274" t="s">
        <v>248</v>
      </c>
      <c r="I39" s="238" t="s">
        <v>303</v>
      </c>
      <c r="K39" s="317">
        <f t="shared" si="15"/>
        <v>1.2493150684931507</v>
      </c>
      <c r="L39" s="317" t="s">
        <v>365</v>
      </c>
      <c r="M39" s="277" t="s">
        <v>601</v>
      </c>
      <c r="N39" s="277" t="s">
        <v>602</v>
      </c>
      <c r="O39" s="276" t="s">
        <v>603</v>
      </c>
      <c r="T39" s="276">
        <v>1</v>
      </c>
      <c r="Y39" s="276">
        <f t="shared" si="1"/>
        <v>1</v>
      </c>
      <c r="AD39" s="276">
        <v>2</v>
      </c>
      <c r="AI39" s="276">
        <f t="shared" si="2"/>
        <v>2</v>
      </c>
      <c r="AJ39">
        <f t="shared" si="3"/>
        <v>0</v>
      </c>
      <c r="AK39">
        <f t="shared" si="4"/>
        <v>0</v>
      </c>
      <c r="AL39">
        <f t="shared" si="5"/>
        <v>0</v>
      </c>
      <c r="AM39">
        <f t="shared" si="6"/>
        <v>1</v>
      </c>
      <c r="AN39">
        <f t="shared" si="7"/>
        <v>0</v>
      </c>
      <c r="AO39">
        <f t="shared" si="8"/>
        <v>0</v>
      </c>
      <c r="AP39">
        <f t="shared" si="9"/>
        <v>0</v>
      </c>
      <c r="AQ39">
        <f t="shared" si="10"/>
        <v>0</v>
      </c>
      <c r="AR39" s="276">
        <f t="shared" si="11"/>
        <v>1</v>
      </c>
      <c r="AT39" s="278">
        <f t="shared" si="17"/>
        <v>1</v>
      </c>
      <c r="AY39" s="279"/>
      <c r="BD39" s="279"/>
      <c r="BK39" s="280">
        <f t="shared" si="13"/>
        <v>0</v>
      </c>
      <c r="BL39" s="274">
        <f t="shared" si="14"/>
        <v>0</v>
      </c>
      <c r="BP39" s="281">
        <v>513837</v>
      </c>
      <c r="BQ39" s="281">
        <v>170102</v>
      </c>
      <c r="BR39" s="296" t="s">
        <v>183</v>
      </c>
      <c r="BS39" t="s">
        <v>161</v>
      </c>
      <c r="BT39"/>
      <c r="BU39"/>
      <c r="BV39"/>
      <c r="BW39"/>
      <c r="BX39"/>
      <c r="BY39"/>
      <c r="BZ39"/>
      <c r="CA39" t="s">
        <v>325</v>
      </c>
      <c r="CB39" t="s">
        <v>189</v>
      </c>
    </row>
    <row r="40" spans="1:81" ht="15" customHeight="1" x14ac:dyDescent="0.25">
      <c r="A40" s="274" t="s">
        <v>604</v>
      </c>
      <c r="B40" s="277" t="s">
        <v>459</v>
      </c>
      <c r="C40" s="274" t="s">
        <v>293</v>
      </c>
      <c r="D40" s="275">
        <v>44357</v>
      </c>
      <c r="E40" s="275">
        <v>45453</v>
      </c>
      <c r="F40" s="275">
        <v>45047</v>
      </c>
      <c r="G40" s="275">
        <v>45382</v>
      </c>
      <c r="H40" s="274" t="s">
        <v>248</v>
      </c>
      <c r="I40" s="238" t="s">
        <v>303</v>
      </c>
      <c r="K40" s="317">
        <f t="shared" si="15"/>
        <v>2.8082191780821919</v>
      </c>
      <c r="L40" s="317" t="s">
        <v>365</v>
      </c>
      <c r="M40" s="277" t="s">
        <v>605</v>
      </c>
      <c r="N40" s="277" t="s">
        <v>606</v>
      </c>
      <c r="O40" s="276" t="s">
        <v>607</v>
      </c>
      <c r="Y40" s="276">
        <f t="shared" si="1"/>
        <v>0</v>
      </c>
      <c r="AA40" s="276">
        <v>1</v>
      </c>
      <c r="AI40" s="276">
        <f t="shared" si="2"/>
        <v>1</v>
      </c>
      <c r="AJ40">
        <f t="shared" si="3"/>
        <v>1</v>
      </c>
      <c r="AK40">
        <f t="shared" si="4"/>
        <v>0</v>
      </c>
      <c r="AL40">
        <f t="shared" si="5"/>
        <v>0</v>
      </c>
      <c r="AM40">
        <f t="shared" si="6"/>
        <v>0</v>
      </c>
      <c r="AN40">
        <f t="shared" si="7"/>
        <v>0</v>
      </c>
      <c r="AO40">
        <f t="shared" si="8"/>
        <v>0</v>
      </c>
      <c r="AP40">
        <f t="shared" si="9"/>
        <v>0</v>
      </c>
      <c r="AQ40">
        <f t="shared" si="10"/>
        <v>0</v>
      </c>
      <c r="AR40" s="276">
        <f t="shared" si="11"/>
        <v>1</v>
      </c>
      <c r="AT40" s="278">
        <f t="shared" si="17"/>
        <v>1</v>
      </c>
      <c r="AY40" s="279"/>
      <c r="BD40" s="279"/>
      <c r="BK40" s="280">
        <f t="shared" si="13"/>
        <v>0</v>
      </c>
      <c r="BL40" s="274">
        <f t="shared" si="14"/>
        <v>0</v>
      </c>
      <c r="BP40" s="281">
        <v>516472</v>
      </c>
      <c r="BQ40" s="281">
        <v>174374</v>
      </c>
      <c r="BR40" s="296" t="s">
        <v>145</v>
      </c>
      <c r="BS40" t="s">
        <v>170</v>
      </c>
      <c r="BT40"/>
      <c r="BU40"/>
      <c r="BV40"/>
      <c r="BW40"/>
      <c r="BX40"/>
      <c r="BY40"/>
      <c r="BZ40"/>
      <c r="CA40" t="s">
        <v>325</v>
      </c>
      <c r="CB40" t="s">
        <v>193</v>
      </c>
    </row>
    <row r="41" spans="1:81" ht="15" customHeight="1" x14ac:dyDescent="0.25">
      <c r="A41" s="274" t="s">
        <v>608</v>
      </c>
      <c r="B41" s="277" t="s">
        <v>459</v>
      </c>
      <c r="C41" s="274" t="s">
        <v>293</v>
      </c>
      <c r="D41" s="275">
        <v>44357</v>
      </c>
      <c r="E41" s="275">
        <v>45453</v>
      </c>
      <c r="F41" s="275">
        <v>45047</v>
      </c>
      <c r="G41" s="275">
        <v>45382</v>
      </c>
      <c r="H41" s="274" t="s">
        <v>248</v>
      </c>
      <c r="I41" s="238" t="s">
        <v>303</v>
      </c>
      <c r="K41" s="317">
        <f t="shared" si="15"/>
        <v>2.8082191780821919</v>
      </c>
      <c r="L41" s="317" t="s">
        <v>365</v>
      </c>
      <c r="M41" s="277" t="s">
        <v>609</v>
      </c>
      <c r="N41" s="277" t="s">
        <v>610</v>
      </c>
      <c r="O41" s="276" t="s">
        <v>607</v>
      </c>
      <c r="Y41" s="276">
        <f t="shared" si="1"/>
        <v>0</v>
      </c>
      <c r="AA41" s="276">
        <v>3</v>
      </c>
      <c r="AI41" s="276">
        <f t="shared" si="2"/>
        <v>3</v>
      </c>
      <c r="AJ41">
        <f t="shared" si="3"/>
        <v>3</v>
      </c>
      <c r="AK41">
        <f t="shared" si="4"/>
        <v>0</v>
      </c>
      <c r="AL41">
        <f t="shared" si="5"/>
        <v>0</v>
      </c>
      <c r="AM41">
        <f t="shared" si="6"/>
        <v>0</v>
      </c>
      <c r="AN41">
        <f t="shared" si="7"/>
        <v>0</v>
      </c>
      <c r="AO41">
        <f t="shared" si="8"/>
        <v>0</v>
      </c>
      <c r="AP41">
        <f t="shared" si="9"/>
        <v>0</v>
      </c>
      <c r="AQ41">
        <f t="shared" si="10"/>
        <v>0</v>
      </c>
      <c r="AR41" s="276">
        <f t="shared" si="11"/>
        <v>3</v>
      </c>
      <c r="AT41" s="278">
        <f t="shared" si="17"/>
        <v>3</v>
      </c>
      <c r="AY41" s="279"/>
      <c r="BD41" s="279"/>
      <c r="BK41" s="280">
        <f t="shared" si="13"/>
        <v>0</v>
      </c>
      <c r="BL41" s="274">
        <f t="shared" si="14"/>
        <v>0</v>
      </c>
      <c r="BP41" s="281">
        <v>516481</v>
      </c>
      <c r="BQ41" s="281">
        <v>174369</v>
      </c>
      <c r="BR41" s="296" t="s">
        <v>145</v>
      </c>
      <c r="BS41" t="s">
        <v>170</v>
      </c>
      <c r="BT41"/>
      <c r="BU41"/>
      <c r="BV41"/>
      <c r="BW41"/>
      <c r="BX41"/>
      <c r="BY41"/>
      <c r="BZ41"/>
      <c r="CA41" t="s">
        <v>325</v>
      </c>
      <c r="CB41" t="s">
        <v>193</v>
      </c>
    </row>
    <row r="42" spans="1:81" ht="15" customHeight="1" x14ac:dyDescent="0.25">
      <c r="A42" s="274" t="s">
        <v>611</v>
      </c>
      <c r="B42" s="277" t="s">
        <v>444</v>
      </c>
      <c r="D42" s="275">
        <v>44799</v>
      </c>
      <c r="E42" s="275">
        <v>45895</v>
      </c>
      <c r="F42" s="275">
        <v>45068</v>
      </c>
      <c r="G42" s="275">
        <v>45382</v>
      </c>
      <c r="H42" s="274" t="s">
        <v>248</v>
      </c>
      <c r="I42" s="238" t="s">
        <v>303</v>
      </c>
      <c r="K42" s="317">
        <f t="shared" si="15"/>
        <v>1.5972602739726027</v>
      </c>
      <c r="L42" s="317" t="s">
        <v>365</v>
      </c>
      <c r="M42" s="277" t="s">
        <v>612</v>
      </c>
      <c r="N42" s="277" t="s">
        <v>613</v>
      </c>
      <c r="O42" s="276" t="s">
        <v>614</v>
      </c>
      <c r="Q42" s="276">
        <v>1</v>
      </c>
      <c r="Y42" s="276">
        <f t="shared" si="1"/>
        <v>1</v>
      </c>
      <c r="AB42" s="276">
        <v>1</v>
      </c>
      <c r="AI42" s="276">
        <f t="shared" si="2"/>
        <v>1</v>
      </c>
      <c r="AJ42">
        <f t="shared" si="3"/>
        <v>-1</v>
      </c>
      <c r="AK42">
        <f t="shared" si="4"/>
        <v>1</v>
      </c>
      <c r="AL42">
        <f t="shared" si="5"/>
        <v>0</v>
      </c>
      <c r="AM42">
        <f t="shared" si="6"/>
        <v>0</v>
      </c>
      <c r="AN42">
        <f t="shared" si="7"/>
        <v>0</v>
      </c>
      <c r="AO42">
        <f t="shared" si="8"/>
        <v>0</v>
      </c>
      <c r="AP42">
        <f t="shared" si="9"/>
        <v>0</v>
      </c>
      <c r="AQ42">
        <f t="shared" si="10"/>
        <v>0</v>
      </c>
      <c r="AR42" s="276">
        <f t="shared" si="11"/>
        <v>0</v>
      </c>
      <c r="AT42" s="278">
        <f t="shared" si="17"/>
        <v>0</v>
      </c>
      <c r="AY42" s="279"/>
      <c r="BD42" s="279"/>
      <c r="BK42" s="280">
        <f t="shared" si="13"/>
        <v>0</v>
      </c>
      <c r="BL42" s="274">
        <f t="shared" si="14"/>
        <v>0</v>
      </c>
      <c r="BP42" s="281">
        <v>514878</v>
      </c>
      <c r="BQ42" s="281">
        <v>171282</v>
      </c>
      <c r="BR42" s="296" t="s">
        <v>183</v>
      </c>
      <c r="BS42" t="s">
        <v>159</v>
      </c>
      <c r="BT42"/>
      <c r="BU42"/>
      <c r="BV42"/>
      <c r="BW42"/>
      <c r="BX42"/>
      <c r="BY42"/>
      <c r="BZ42"/>
      <c r="CA42" t="s">
        <v>325</v>
      </c>
      <c r="CB42" t="s">
        <v>192</v>
      </c>
    </row>
    <row r="43" spans="1:81" ht="15" customHeight="1" x14ac:dyDescent="0.25">
      <c r="A43" s="274" t="s">
        <v>615</v>
      </c>
      <c r="B43" s="277" t="s">
        <v>481</v>
      </c>
      <c r="D43" s="275">
        <v>44693</v>
      </c>
      <c r="E43" s="275">
        <v>45789</v>
      </c>
      <c r="F43" s="275">
        <v>45001</v>
      </c>
      <c r="G43" s="275">
        <v>45382</v>
      </c>
      <c r="H43" s="274" t="s">
        <v>248</v>
      </c>
      <c r="I43" s="238" t="s">
        <v>303</v>
      </c>
      <c r="K43" s="317">
        <f t="shared" ref="K43:K62" si="18">(G43-D43)/365</f>
        <v>1.8876712328767122</v>
      </c>
      <c r="L43" s="317" t="s">
        <v>365</v>
      </c>
      <c r="M43" s="277" t="s">
        <v>616</v>
      </c>
      <c r="N43" s="277" t="s">
        <v>617</v>
      </c>
      <c r="O43" s="276" t="s">
        <v>618</v>
      </c>
      <c r="U43" s="276">
        <v>1</v>
      </c>
      <c r="Y43" s="276">
        <f t="shared" si="1"/>
        <v>1</v>
      </c>
      <c r="AB43" s="276">
        <v>1</v>
      </c>
      <c r="AC43" s="276">
        <v>1</v>
      </c>
      <c r="AI43" s="276">
        <f t="shared" si="2"/>
        <v>2</v>
      </c>
      <c r="AJ43">
        <f t="shared" si="3"/>
        <v>0</v>
      </c>
      <c r="AK43">
        <f t="shared" si="4"/>
        <v>1</v>
      </c>
      <c r="AL43">
        <f t="shared" si="5"/>
        <v>1</v>
      </c>
      <c r="AM43">
        <f t="shared" si="6"/>
        <v>0</v>
      </c>
      <c r="AN43">
        <f t="shared" si="7"/>
        <v>-1</v>
      </c>
      <c r="AO43">
        <f t="shared" si="8"/>
        <v>0</v>
      </c>
      <c r="AP43">
        <f t="shared" si="9"/>
        <v>0</v>
      </c>
      <c r="AQ43">
        <f t="shared" si="10"/>
        <v>0</v>
      </c>
      <c r="AR43" s="276">
        <f t="shared" si="11"/>
        <v>1</v>
      </c>
      <c r="AT43" s="278">
        <f t="shared" si="17"/>
        <v>1</v>
      </c>
      <c r="AY43" s="279"/>
      <c r="BD43" s="279"/>
      <c r="BK43" s="280">
        <f t="shared" si="13"/>
        <v>0</v>
      </c>
      <c r="BL43" s="274">
        <f t="shared" si="14"/>
        <v>0</v>
      </c>
      <c r="BP43" s="281">
        <v>515512</v>
      </c>
      <c r="BQ43" s="281">
        <v>173771</v>
      </c>
      <c r="BR43" s="296" t="s">
        <v>145</v>
      </c>
      <c r="BS43" t="s">
        <v>170</v>
      </c>
      <c r="BT43"/>
      <c r="BU43"/>
      <c r="BV43"/>
      <c r="BW43"/>
      <c r="BX43"/>
      <c r="BY43"/>
      <c r="BZ43"/>
      <c r="CA43" t="s">
        <v>325</v>
      </c>
      <c r="CB43" t="s">
        <v>193</v>
      </c>
    </row>
    <row r="44" spans="1:81" ht="15" customHeight="1" x14ac:dyDescent="0.25">
      <c r="A44" s="274" t="s">
        <v>619</v>
      </c>
      <c r="B44" s="274" t="s">
        <v>481</v>
      </c>
      <c r="C44" s="274"/>
      <c r="D44" s="275">
        <v>44537</v>
      </c>
      <c r="E44" s="275">
        <v>45633</v>
      </c>
      <c r="F44" s="275">
        <v>44805</v>
      </c>
      <c r="G44" s="275">
        <v>45194</v>
      </c>
      <c r="H44" s="274" t="s">
        <v>248</v>
      </c>
      <c r="I44" s="238" t="s">
        <v>303</v>
      </c>
      <c r="K44" s="317">
        <f t="shared" si="18"/>
        <v>1.8</v>
      </c>
      <c r="L44" s="317" t="s">
        <v>365</v>
      </c>
      <c r="M44" s="277" t="s">
        <v>620</v>
      </c>
      <c r="N44" s="277" t="s">
        <v>621</v>
      </c>
      <c r="O44" s="276" t="s">
        <v>622</v>
      </c>
      <c r="S44" s="276">
        <v>1</v>
      </c>
      <c r="Y44" s="276">
        <f t="shared" si="1"/>
        <v>1</v>
      </c>
      <c r="AB44" s="276">
        <v>2</v>
      </c>
      <c r="AI44" s="276">
        <f t="shared" si="2"/>
        <v>2</v>
      </c>
      <c r="AJ44">
        <f t="shared" si="3"/>
        <v>0</v>
      </c>
      <c r="AK44">
        <f t="shared" si="4"/>
        <v>2</v>
      </c>
      <c r="AL44">
        <f t="shared" si="5"/>
        <v>-1</v>
      </c>
      <c r="AM44">
        <f t="shared" si="6"/>
        <v>0</v>
      </c>
      <c r="AN44">
        <f t="shared" si="7"/>
        <v>0</v>
      </c>
      <c r="AO44">
        <f t="shared" si="8"/>
        <v>0</v>
      </c>
      <c r="AP44">
        <f t="shared" si="9"/>
        <v>0</v>
      </c>
      <c r="AQ44">
        <f t="shared" si="10"/>
        <v>0</v>
      </c>
      <c r="AR44" s="276">
        <f t="shared" si="11"/>
        <v>1</v>
      </c>
      <c r="AT44" s="278">
        <f t="shared" si="17"/>
        <v>1</v>
      </c>
      <c r="AY44" s="279"/>
      <c r="BD44" s="279"/>
      <c r="BK44" s="280">
        <f t="shared" si="13"/>
        <v>0</v>
      </c>
      <c r="BL44" s="274">
        <f t="shared" si="14"/>
        <v>0</v>
      </c>
      <c r="BP44" s="281">
        <v>518834</v>
      </c>
      <c r="BQ44" s="281">
        <v>175928</v>
      </c>
      <c r="BR44" s="296" t="s">
        <v>141</v>
      </c>
      <c r="BS44" t="s">
        <v>165</v>
      </c>
      <c r="BT44"/>
      <c r="BU44"/>
      <c r="BV44"/>
      <c r="BW44"/>
      <c r="BX44"/>
      <c r="BY44"/>
      <c r="BZ44"/>
      <c r="CA44" t="s">
        <v>325</v>
      </c>
      <c r="CB44" t="s">
        <v>165</v>
      </c>
    </row>
    <row r="45" spans="1:81" ht="15" customHeight="1" x14ac:dyDescent="0.25">
      <c r="A45" s="274" t="s">
        <v>623</v>
      </c>
      <c r="B45" s="274" t="s">
        <v>444</v>
      </c>
      <c r="C45" s="274"/>
      <c r="D45" s="275">
        <v>44701</v>
      </c>
      <c r="E45" s="275">
        <v>45797</v>
      </c>
      <c r="F45" s="275">
        <v>44867</v>
      </c>
      <c r="G45" s="275">
        <v>45213</v>
      </c>
      <c r="H45" s="274" t="s">
        <v>248</v>
      </c>
      <c r="I45" s="238" t="s">
        <v>303</v>
      </c>
      <c r="K45" s="317">
        <f t="shared" si="18"/>
        <v>1.4027397260273973</v>
      </c>
      <c r="L45" s="317" t="s">
        <v>365</v>
      </c>
      <c r="M45" s="277" t="s">
        <v>624</v>
      </c>
      <c r="N45" s="277" t="s">
        <v>625</v>
      </c>
      <c r="O45" s="276" t="s">
        <v>626</v>
      </c>
      <c r="Y45" s="276">
        <f t="shared" si="1"/>
        <v>0</v>
      </c>
      <c r="AC45" s="276">
        <v>1</v>
      </c>
      <c r="AI45" s="276">
        <f t="shared" si="2"/>
        <v>1</v>
      </c>
      <c r="AJ45">
        <f t="shared" si="3"/>
        <v>0</v>
      </c>
      <c r="AK45">
        <f t="shared" si="4"/>
        <v>0</v>
      </c>
      <c r="AL45">
        <f t="shared" si="5"/>
        <v>1</v>
      </c>
      <c r="AM45">
        <f t="shared" si="6"/>
        <v>0</v>
      </c>
      <c r="AN45">
        <f t="shared" si="7"/>
        <v>0</v>
      </c>
      <c r="AO45">
        <f t="shared" si="8"/>
        <v>0</v>
      </c>
      <c r="AP45">
        <f t="shared" si="9"/>
        <v>0</v>
      </c>
      <c r="AQ45">
        <f t="shared" si="10"/>
        <v>0</v>
      </c>
      <c r="AR45" s="276">
        <f t="shared" si="11"/>
        <v>1</v>
      </c>
      <c r="AT45" s="278">
        <f t="shared" si="17"/>
        <v>1</v>
      </c>
      <c r="AY45" s="279"/>
      <c r="BD45" s="279"/>
      <c r="BK45" s="280">
        <f t="shared" si="13"/>
        <v>0</v>
      </c>
      <c r="BL45" s="274">
        <f t="shared" si="14"/>
        <v>0</v>
      </c>
      <c r="BP45" s="281">
        <v>519398</v>
      </c>
      <c r="BQ45" s="281">
        <v>175866</v>
      </c>
      <c r="BR45" s="296" t="s">
        <v>141</v>
      </c>
      <c r="BS45" t="s">
        <v>165</v>
      </c>
      <c r="BT45"/>
      <c r="BU45"/>
      <c r="BV45"/>
      <c r="BW45"/>
      <c r="BX45"/>
      <c r="BY45"/>
      <c r="BZ45"/>
      <c r="CA45" t="s">
        <v>325</v>
      </c>
      <c r="CB45" t="s">
        <v>165</v>
      </c>
      <c r="CC45" s="276" t="s">
        <v>325</v>
      </c>
    </row>
    <row r="46" spans="1:81" ht="15" customHeight="1" x14ac:dyDescent="0.25">
      <c r="A46" s="274" t="s">
        <v>627</v>
      </c>
      <c r="B46" s="274" t="s">
        <v>444</v>
      </c>
      <c r="C46" s="274"/>
      <c r="D46" s="275">
        <v>44524</v>
      </c>
      <c r="E46" s="275">
        <v>45620</v>
      </c>
      <c r="F46" s="275">
        <v>44593</v>
      </c>
      <c r="G46" s="275">
        <v>45268</v>
      </c>
      <c r="H46" s="274" t="s">
        <v>248</v>
      </c>
      <c r="I46" s="238" t="s">
        <v>303</v>
      </c>
      <c r="K46" s="317">
        <f t="shared" si="18"/>
        <v>2.0383561643835617</v>
      </c>
      <c r="L46" s="317" t="s">
        <v>365</v>
      </c>
      <c r="M46" s="277" t="s">
        <v>628</v>
      </c>
      <c r="N46" s="277" t="s">
        <v>629</v>
      </c>
      <c r="O46" s="276" t="s">
        <v>630</v>
      </c>
      <c r="T46" s="276">
        <v>1</v>
      </c>
      <c r="Y46" s="276">
        <f t="shared" si="1"/>
        <v>1</v>
      </c>
      <c r="AE46" s="276">
        <v>1</v>
      </c>
      <c r="AI46" s="276">
        <f t="shared" si="2"/>
        <v>1</v>
      </c>
      <c r="AJ46">
        <f t="shared" si="3"/>
        <v>0</v>
      </c>
      <c r="AK46">
        <f t="shared" si="4"/>
        <v>0</v>
      </c>
      <c r="AL46">
        <f t="shared" si="5"/>
        <v>0</v>
      </c>
      <c r="AM46">
        <f t="shared" si="6"/>
        <v>-1</v>
      </c>
      <c r="AN46">
        <f t="shared" si="7"/>
        <v>1</v>
      </c>
      <c r="AO46">
        <f t="shared" si="8"/>
        <v>0</v>
      </c>
      <c r="AP46">
        <f t="shared" si="9"/>
        <v>0</v>
      </c>
      <c r="AQ46">
        <f t="shared" si="10"/>
        <v>0</v>
      </c>
      <c r="AR46" s="276">
        <f t="shared" si="11"/>
        <v>0</v>
      </c>
      <c r="AT46" s="278">
        <f t="shared" si="17"/>
        <v>0</v>
      </c>
      <c r="AY46" s="279"/>
      <c r="BD46" s="279"/>
      <c r="BK46" s="280">
        <f t="shared" si="13"/>
        <v>0</v>
      </c>
      <c r="BL46" s="274">
        <f t="shared" si="14"/>
        <v>0</v>
      </c>
      <c r="BP46" s="281">
        <v>520008</v>
      </c>
      <c r="BQ46" s="281">
        <v>174808</v>
      </c>
      <c r="BR46" s="296" t="s">
        <v>181</v>
      </c>
      <c r="BS46" t="s">
        <v>140</v>
      </c>
      <c r="BT46"/>
      <c r="BU46"/>
      <c r="BV46"/>
      <c r="BW46"/>
      <c r="BX46"/>
      <c r="BY46" t="s">
        <v>631</v>
      </c>
      <c r="BZ46" t="s">
        <v>325</v>
      </c>
      <c r="CA46" t="s">
        <v>325</v>
      </c>
      <c r="CB46" t="s">
        <v>190</v>
      </c>
    </row>
    <row r="47" spans="1:81" ht="15" customHeight="1" x14ac:dyDescent="0.25">
      <c r="A47" s="274" t="s">
        <v>632</v>
      </c>
      <c r="B47" s="274" t="s">
        <v>481</v>
      </c>
      <c r="C47" s="274"/>
      <c r="D47" s="275">
        <v>44627</v>
      </c>
      <c r="E47" s="239">
        <v>45723</v>
      </c>
      <c r="F47" s="275">
        <v>44805</v>
      </c>
      <c r="G47" s="275">
        <v>45246</v>
      </c>
      <c r="H47" s="274" t="s">
        <v>248</v>
      </c>
      <c r="I47" s="238" t="s">
        <v>303</v>
      </c>
      <c r="K47" s="317">
        <f t="shared" si="18"/>
        <v>1.6958904109589041</v>
      </c>
      <c r="L47" s="317" t="s">
        <v>365</v>
      </c>
      <c r="M47" s="277" t="s">
        <v>633</v>
      </c>
      <c r="N47" s="277" t="s">
        <v>634</v>
      </c>
      <c r="O47" s="276" t="s">
        <v>635</v>
      </c>
      <c r="R47" s="276">
        <v>2</v>
      </c>
      <c r="Y47" s="276">
        <f t="shared" si="1"/>
        <v>2</v>
      </c>
      <c r="AD47" s="276">
        <v>1</v>
      </c>
      <c r="AI47" s="276">
        <f t="shared" si="2"/>
        <v>1</v>
      </c>
      <c r="AJ47">
        <f t="shared" si="3"/>
        <v>0</v>
      </c>
      <c r="AK47">
        <f t="shared" si="4"/>
        <v>-2</v>
      </c>
      <c r="AL47">
        <f t="shared" si="5"/>
        <v>0</v>
      </c>
      <c r="AM47">
        <f t="shared" si="6"/>
        <v>1</v>
      </c>
      <c r="AN47">
        <f t="shared" si="7"/>
        <v>0</v>
      </c>
      <c r="AO47">
        <f t="shared" si="8"/>
        <v>0</v>
      </c>
      <c r="AP47">
        <f t="shared" si="9"/>
        <v>0</v>
      </c>
      <c r="AQ47">
        <f t="shared" si="10"/>
        <v>0</v>
      </c>
      <c r="AR47" s="276">
        <f t="shared" si="11"/>
        <v>-1</v>
      </c>
      <c r="AT47" s="278">
        <f t="shared" si="17"/>
        <v>-1</v>
      </c>
      <c r="AY47" s="279"/>
      <c r="BD47" s="279"/>
      <c r="BK47" s="280">
        <f t="shared" si="13"/>
        <v>0</v>
      </c>
      <c r="BL47" s="274">
        <f t="shared" si="14"/>
        <v>0</v>
      </c>
      <c r="BP47" s="281">
        <v>522359</v>
      </c>
      <c r="BQ47" s="281">
        <v>176498</v>
      </c>
      <c r="BR47" s="296" t="s">
        <v>181</v>
      </c>
      <c r="BS47" t="s">
        <v>158</v>
      </c>
      <c r="BT47"/>
      <c r="BU47"/>
      <c r="BV47"/>
      <c r="BW47"/>
      <c r="BX47"/>
      <c r="BY47" t="s">
        <v>636</v>
      </c>
      <c r="BZ47" t="s">
        <v>325</v>
      </c>
      <c r="CA47" t="s">
        <v>325</v>
      </c>
      <c r="CB47" t="s">
        <v>158</v>
      </c>
    </row>
    <row r="48" spans="1:81" ht="15" customHeight="1" x14ac:dyDescent="0.25">
      <c r="A48" s="274" t="s">
        <v>637</v>
      </c>
      <c r="B48" s="277" t="s">
        <v>459</v>
      </c>
      <c r="C48" s="274" t="s">
        <v>293</v>
      </c>
      <c r="D48" s="275">
        <v>44540</v>
      </c>
      <c r="E48" s="275">
        <v>45636</v>
      </c>
      <c r="F48" s="275">
        <v>44543</v>
      </c>
      <c r="G48" s="275">
        <v>45382</v>
      </c>
      <c r="H48" s="274" t="s">
        <v>248</v>
      </c>
      <c r="I48" s="238" t="s">
        <v>303</v>
      </c>
      <c r="K48" s="317">
        <f t="shared" si="18"/>
        <v>2.3068493150684932</v>
      </c>
      <c r="L48" s="317" t="s">
        <v>365</v>
      </c>
      <c r="M48" s="277" t="s">
        <v>638</v>
      </c>
      <c r="N48" s="277" t="s">
        <v>639</v>
      </c>
      <c r="O48" s="276" t="s">
        <v>640</v>
      </c>
      <c r="Y48" s="276">
        <f t="shared" si="1"/>
        <v>0</v>
      </c>
      <c r="AE48" s="276">
        <v>1</v>
      </c>
      <c r="AI48" s="276">
        <f t="shared" si="2"/>
        <v>1</v>
      </c>
      <c r="AJ48">
        <f t="shared" si="3"/>
        <v>0</v>
      </c>
      <c r="AK48">
        <f t="shared" si="4"/>
        <v>0</v>
      </c>
      <c r="AL48">
        <f t="shared" si="5"/>
        <v>0</v>
      </c>
      <c r="AM48">
        <f t="shared" si="6"/>
        <v>0</v>
      </c>
      <c r="AN48">
        <f t="shared" si="7"/>
        <v>1</v>
      </c>
      <c r="AO48">
        <f t="shared" si="8"/>
        <v>0</v>
      </c>
      <c r="AP48">
        <f t="shared" si="9"/>
        <v>0</v>
      </c>
      <c r="AQ48">
        <f t="shared" si="10"/>
        <v>0</v>
      </c>
      <c r="AR48" s="276">
        <f t="shared" si="11"/>
        <v>1</v>
      </c>
      <c r="AT48" s="278">
        <f t="shared" si="17"/>
        <v>1</v>
      </c>
      <c r="AY48" s="279"/>
      <c r="BD48" s="279"/>
      <c r="BK48" s="280">
        <f t="shared" si="13"/>
        <v>0</v>
      </c>
      <c r="BL48" s="274">
        <f t="shared" si="14"/>
        <v>0</v>
      </c>
      <c r="BP48" s="281">
        <v>516107</v>
      </c>
      <c r="BQ48" s="281">
        <v>174400</v>
      </c>
      <c r="BR48" s="296" t="s">
        <v>145</v>
      </c>
      <c r="BS48" t="s">
        <v>170</v>
      </c>
      <c r="BT48"/>
      <c r="BU48"/>
      <c r="BV48"/>
      <c r="BW48"/>
      <c r="BX48"/>
      <c r="BY48"/>
      <c r="BZ48"/>
      <c r="CA48" t="s">
        <v>325</v>
      </c>
      <c r="CB48" t="s">
        <v>193</v>
      </c>
    </row>
    <row r="49" spans="1:81" ht="15" customHeight="1" x14ac:dyDescent="0.25">
      <c r="A49" s="274" t="s">
        <v>641</v>
      </c>
      <c r="B49" s="274" t="s">
        <v>481</v>
      </c>
      <c r="C49" s="274"/>
      <c r="D49" s="275">
        <v>44785</v>
      </c>
      <c r="E49" s="275">
        <v>45881</v>
      </c>
      <c r="F49" s="275">
        <v>44835</v>
      </c>
      <c r="G49" s="275">
        <v>45282</v>
      </c>
      <c r="H49" s="234" t="s">
        <v>248</v>
      </c>
      <c r="I49" s="238" t="s">
        <v>303</v>
      </c>
      <c r="K49" s="317">
        <f t="shared" si="18"/>
        <v>1.3616438356164384</v>
      </c>
      <c r="L49" s="317" t="s">
        <v>365</v>
      </c>
      <c r="M49" s="277" t="s">
        <v>642</v>
      </c>
      <c r="N49" s="277" t="s">
        <v>643</v>
      </c>
      <c r="O49" s="276" t="s">
        <v>644</v>
      </c>
      <c r="R49" s="276">
        <v>3</v>
      </c>
      <c r="Y49" s="276">
        <f t="shared" si="1"/>
        <v>3</v>
      </c>
      <c r="AF49" s="276">
        <v>1</v>
      </c>
      <c r="AI49" s="276">
        <f t="shared" si="2"/>
        <v>1</v>
      </c>
      <c r="AJ49">
        <f t="shared" si="3"/>
        <v>0</v>
      </c>
      <c r="AK49">
        <f t="shared" si="4"/>
        <v>-3</v>
      </c>
      <c r="AL49">
        <f t="shared" si="5"/>
        <v>0</v>
      </c>
      <c r="AM49">
        <f t="shared" si="6"/>
        <v>0</v>
      </c>
      <c r="AN49">
        <f t="shared" si="7"/>
        <v>0</v>
      </c>
      <c r="AO49">
        <f t="shared" si="8"/>
        <v>1</v>
      </c>
      <c r="AP49">
        <f t="shared" si="9"/>
        <v>0</v>
      </c>
      <c r="AQ49">
        <f t="shared" si="10"/>
        <v>0</v>
      </c>
      <c r="AR49" s="276">
        <f t="shared" si="11"/>
        <v>-2</v>
      </c>
      <c r="AT49" s="278">
        <f t="shared" si="17"/>
        <v>-2</v>
      </c>
      <c r="AY49" s="279"/>
      <c r="BD49" s="279"/>
      <c r="BK49" s="280">
        <f t="shared" si="13"/>
        <v>0</v>
      </c>
      <c r="BL49" s="274">
        <f t="shared" si="14"/>
        <v>0</v>
      </c>
      <c r="BP49" s="281">
        <v>516423</v>
      </c>
      <c r="BQ49" s="281">
        <v>171233</v>
      </c>
      <c r="BR49" s="296" t="s">
        <v>183</v>
      </c>
      <c r="BS49" t="s">
        <v>143</v>
      </c>
      <c r="BT49"/>
      <c r="BU49"/>
      <c r="BV49"/>
      <c r="BW49"/>
      <c r="BX49"/>
      <c r="BY49" t="s">
        <v>645</v>
      </c>
      <c r="BZ49" t="s">
        <v>325</v>
      </c>
      <c r="CA49" t="s">
        <v>325</v>
      </c>
      <c r="CB49" t="s">
        <v>192</v>
      </c>
    </row>
    <row r="50" spans="1:81" ht="15" customHeight="1" x14ac:dyDescent="0.25">
      <c r="A50" s="274" t="s">
        <v>646</v>
      </c>
      <c r="B50" s="274" t="s">
        <v>532</v>
      </c>
      <c r="C50" s="274"/>
      <c r="D50" s="275">
        <v>44762</v>
      </c>
      <c r="E50" s="275">
        <v>45858</v>
      </c>
      <c r="F50" s="275">
        <v>44866</v>
      </c>
      <c r="G50" s="275">
        <v>45141</v>
      </c>
      <c r="H50" s="274" t="s">
        <v>248</v>
      </c>
      <c r="I50" s="238" t="s">
        <v>303</v>
      </c>
      <c r="K50" s="317">
        <f t="shared" si="18"/>
        <v>1.0383561643835617</v>
      </c>
      <c r="L50" s="317" t="s">
        <v>365</v>
      </c>
      <c r="M50" s="277" t="s">
        <v>647</v>
      </c>
      <c r="N50" s="277" t="s">
        <v>648</v>
      </c>
      <c r="O50" s="276" t="s">
        <v>649</v>
      </c>
      <c r="T50" s="276">
        <v>1</v>
      </c>
      <c r="Y50" s="276">
        <f t="shared" si="1"/>
        <v>1</v>
      </c>
      <c r="AA50" s="276">
        <v>1</v>
      </c>
      <c r="AB50" s="276">
        <v>2</v>
      </c>
      <c r="AI50" s="276">
        <f t="shared" si="2"/>
        <v>3</v>
      </c>
      <c r="AJ50">
        <f t="shared" si="3"/>
        <v>1</v>
      </c>
      <c r="AK50">
        <f t="shared" si="4"/>
        <v>2</v>
      </c>
      <c r="AL50">
        <f t="shared" si="5"/>
        <v>0</v>
      </c>
      <c r="AM50">
        <f t="shared" si="6"/>
        <v>-1</v>
      </c>
      <c r="AN50">
        <f t="shared" si="7"/>
        <v>0</v>
      </c>
      <c r="AO50">
        <f t="shared" si="8"/>
        <v>0</v>
      </c>
      <c r="AP50">
        <f t="shared" si="9"/>
        <v>0</v>
      </c>
      <c r="AQ50">
        <f t="shared" si="10"/>
        <v>0</v>
      </c>
      <c r="AR50" s="276">
        <f t="shared" si="11"/>
        <v>2</v>
      </c>
      <c r="AT50" s="278">
        <f t="shared" si="17"/>
        <v>2</v>
      </c>
      <c r="AY50" s="279"/>
      <c r="BD50" s="279"/>
      <c r="BK50" s="280">
        <f t="shared" si="13"/>
        <v>0</v>
      </c>
      <c r="BL50" s="274">
        <f t="shared" si="14"/>
        <v>0</v>
      </c>
      <c r="BP50" s="281">
        <v>515969</v>
      </c>
      <c r="BQ50" s="281">
        <v>173779</v>
      </c>
      <c r="BR50" s="296" t="s">
        <v>145</v>
      </c>
      <c r="BS50" t="s">
        <v>170</v>
      </c>
      <c r="BT50"/>
      <c r="BU50"/>
      <c r="BV50"/>
      <c r="BW50"/>
      <c r="BX50"/>
      <c r="BY50"/>
      <c r="BZ50"/>
      <c r="CA50" t="s">
        <v>325</v>
      </c>
      <c r="CB50" t="s">
        <v>193</v>
      </c>
    </row>
    <row r="51" spans="1:81" ht="15" customHeight="1" x14ac:dyDescent="0.25">
      <c r="A51" s="274" t="s">
        <v>650</v>
      </c>
      <c r="B51" s="274" t="s">
        <v>459</v>
      </c>
      <c r="C51" s="274" t="s">
        <v>293</v>
      </c>
      <c r="D51" s="275">
        <v>44644</v>
      </c>
      <c r="E51" s="275">
        <v>45740</v>
      </c>
      <c r="F51" s="275">
        <v>44805</v>
      </c>
      <c r="G51" s="275">
        <v>45232</v>
      </c>
      <c r="H51" s="274" t="s">
        <v>248</v>
      </c>
      <c r="I51" s="238" t="s">
        <v>303</v>
      </c>
      <c r="K51" s="317">
        <f t="shared" si="18"/>
        <v>1.6109589041095891</v>
      </c>
      <c r="L51" s="317" t="s">
        <v>365</v>
      </c>
      <c r="M51" s="277" t="s">
        <v>651</v>
      </c>
      <c r="N51" s="277" t="s">
        <v>652</v>
      </c>
      <c r="O51" s="276" t="s">
        <v>653</v>
      </c>
      <c r="Y51" s="276">
        <f t="shared" si="1"/>
        <v>0</v>
      </c>
      <c r="AC51" s="276">
        <v>1</v>
      </c>
      <c r="AE51" s="276">
        <v>1</v>
      </c>
      <c r="AI51" s="276">
        <f t="shared" si="2"/>
        <v>2</v>
      </c>
      <c r="AJ51">
        <f t="shared" si="3"/>
        <v>0</v>
      </c>
      <c r="AK51">
        <f t="shared" si="4"/>
        <v>0</v>
      </c>
      <c r="AL51">
        <f t="shared" si="5"/>
        <v>1</v>
      </c>
      <c r="AM51">
        <f t="shared" si="6"/>
        <v>0</v>
      </c>
      <c r="AN51">
        <f t="shared" si="7"/>
        <v>1</v>
      </c>
      <c r="AO51">
        <f t="shared" si="8"/>
        <v>0</v>
      </c>
      <c r="AP51">
        <f t="shared" si="9"/>
        <v>0</v>
      </c>
      <c r="AQ51">
        <f t="shared" si="10"/>
        <v>0</v>
      </c>
      <c r="AR51" s="276">
        <f t="shared" si="11"/>
        <v>2</v>
      </c>
      <c r="AT51" s="278">
        <f t="shared" si="17"/>
        <v>2</v>
      </c>
      <c r="AY51" s="279"/>
      <c r="BD51" s="279"/>
      <c r="BK51" s="280">
        <f t="shared" si="13"/>
        <v>0</v>
      </c>
      <c r="BL51" s="274">
        <f t="shared" si="14"/>
        <v>0</v>
      </c>
      <c r="BP51" s="281">
        <v>516346</v>
      </c>
      <c r="BQ51" s="281">
        <v>173774</v>
      </c>
      <c r="BR51" s="296" t="s">
        <v>145</v>
      </c>
      <c r="BS51" t="s">
        <v>171</v>
      </c>
      <c r="BT51"/>
      <c r="BU51"/>
      <c r="BV51"/>
      <c r="BW51"/>
      <c r="BX51"/>
      <c r="BY51"/>
      <c r="BZ51"/>
      <c r="CA51" t="s">
        <v>325</v>
      </c>
      <c r="CB51" t="s">
        <v>193</v>
      </c>
    </row>
    <row r="52" spans="1:81" ht="15" customHeight="1" x14ac:dyDescent="0.25">
      <c r="A52" s="274" t="s">
        <v>654</v>
      </c>
      <c r="B52" s="277" t="s">
        <v>444</v>
      </c>
      <c r="D52" s="275">
        <v>44679</v>
      </c>
      <c r="E52" s="275">
        <v>45969</v>
      </c>
      <c r="F52" s="275">
        <v>44866</v>
      </c>
      <c r="G52" s="275">
        <v>45352</v>
      </c>
      <c r="H52" s="274" t="s">
        <v>248</v>
      </c>
      <c r="I52" s="238" t="s">
        <v>303</v>
      </c>
      <c r="K52" s="317">
        <f t="shared" si="18"/>
        <v>1.8438356164383563</v>
      </c>
      <c r="L52" s="317" t="s">
        <v>365</v>
      </c>
      <c r="M52" s="277" t="s">
        <v>655</v>
      </c>
      <c r="N52" s="277" t="s">
        <v>656</v>
      </c>
      <c r="O52" s="276" t="s">
        <v>657</v>
      </c>
      <c r="R52" s="276">
        <v>1</v>
      </c>
      <c r="Y52" s="276">
        <f t="shared" si="1"/>
        <v>1</v>
      </c>
      <c r="AE52" s="276">
        <v>1</v>
      </c>
      <c r="AI52" s="276">
        <f t="shared" si="2"/>
        <v>1</v>
      </c>
      <c r="AJ52">
        <f t="shared" si="3"/>
        <v>0</v>
      </c>
      <c r="AK52">
        <f t="shared" si="4"/>
        <v>-1</v>
      </c>
      <c r="AL52">
        <f t="shared" si="5"/>
        <v>0</v>
      </c>
      <c r="AM52">
        <f t="shared" si="6"/>
        <v>0</v>
      </c>
      <c r="AN52">
        <f t="shared" si="7"/>
        <v>1</v>
      </c>
      <c r="AO52">
        <f t="shared" si="8"/>
        <v>0</v>
      </c>
      <c r="AP52">
        <f t="shared" si="9"/>
        <v>0</v>
      </c>
      <c r="AQ52">
        <f t="shared" si="10"/>
        <v>0</v>
      </c>
      <c r="AR52" s="276">
        <f t="shared" si="11"/>
        <v>0</v>
      </c>
      <c r="AT52" s="278">
        <f t="shared" si="17"/>
        <v>0</v>
      </c>
      <c r="AY52" s="279"/>
      <c r="BD52" s="279"/>
      <c r="BK52" s="280">
        <f t="shared" si="13"/>
        <v>0</v>
      </c>
      <c r="BL52" s="274">
        <f t="shared" si="14"/>
        <v>0</v>
      </c>
      <c r="BP52" s="281">
        <v>516605</v>
      </c>
      <c r="BQ52" s="281">
        <v>171002</v>
      </c>
      <c r="BR52" s="296" t="s">
        <v>183</v>
      </c>
      <c r="BS52" t="s">
        <v>163</v>
      </c>
      <c r="BT52"/>
      <c r="BU52"/>
      <c r="BV52"/>
      <c r="BW52"/>
      <c r="BX52"/>
      <c r="BY52"/>
      <c r="BZ52"/>
      <c r="CA52" t="s">
        <v>325</v>
      </c>
      <c r="CB52" t="s">
        <v>192</v>
      </c>
    </row>
    <row r="53" spans="1:81" ht="15" customHeight="1" x14ac:dyDescent="0.25">
      <c r="A53" s="274" t="s">
        <v>658</v>
      </c>
      <c r="B53" s="274" t="s">
        <v>459</v>
      </c>
      <c r="C53" s="274" t="s">
        <v>293</v>
      </c>
      <c r="D53" s="275">
        <v>44672</v>
      </c>
      <c r="E53" s="275">
        <v>45768</v>
      </c>
      <c r="F53" s="275">
        <v>45017</v>
      </c>
      <c r="G53" s="275">
        <v>45168</v>
      </c>
      <c r="H53" s="274" t="s">
        <v>248</v>
      </c>
      <c r="I53" s="238" t="s">
        <v>303</v>
      </c>
      <c r="K53" s="317">
        <f t="shared" si="18"/>
        <v>1.3589041095890411</v>
      </c>
      <c r="L53" s="317" t="s">
        <v>365</v>
      </c>
      <c r="M53" s="277" t="s">
        <v>659</v>
      </c>
      <c r="N53" s="277" t="s">
        <v>660</v>
      </c>
      <c r="O53" s="276" t="s">
        <v>661</v>
      </c>
      <c r="Y53" s="276">
        <f t="shared" si="1"/>
        <v>0</v>
      </c>
      <c r="AA53" s="276">
        <v>3</v>
      </c>
      <c r="AI53" s="276">
        <f t="shared" si="2"/>
        <v>3</v>
      </c>
      <c r="AJ53">
        <f t="shared" si="3"/>
        <v>3</v>
      </c>
      <c r="AK53">
        <f t="shared" si="4"/>
        <v>0</v>
      </c>
      <c r="AL53">
        <f t="shared" si="5"/>
        <v>0</v>
      </c>
      <c r="AM53">
        <f t="shared" si="6"/>
        <v>0</v>
      </c>
      <c r="AN53">
        <f t="shared" si="7"/>
        <v>0</v>
      </c>
      <c r="AO53">
        <f t="shared" si="8"/>
        <v>0</v>
      </c>
      <c r="AP53">
        <f t="shared" si="9"/>
        <v>0</v>
      </c>
      <c r="AQ53">
        <f t="shared" si="10"/>
        <v>0</v>
      </c>
      <c r="AR53" s="276">
        <f t="shared" si="11"/>
        <v>3</v>
      </c>
      <c r="AT53" s="278">
        <f t="shared" si="17"/>
        <v>3</v>
      </c>
      <c r="AY53" s="279"/>
      <c r="BD53" s="279"/>
      <c r="BK53" s="280">
        <f t="shared" si="13"/>
        <v>0</v>
      </c>
      <c r="BL53" s="274">
        <f t="shared" si="14"/>
        <v>0</v>
      </c>
      <c r="BP53" s="281">
        <v>515980</v>
      </c>
      <c r="BQ53" s="281">
        <v>171081</v>
      </c>
      <c r="BR53" s="296" t="s">
        <v>183</v>
      </c>
      <c r="BS53" t="s">
        <v>143</v>
      </c>
      <c r="BT53" t="s">
        <v>143</v>
      </c>
      <c r="BU53"/>
      <c r="BV53"/>
      <c r="BW53"/>
      <c r="BX53"/>
      <c r="BY53" t="s">
        <v>662</v>
      </c>
      <c r="BZ53" t="s">
        <v>325</v>
      </c>
      <c r="CA53" t="s">
        <v>325</v>
      </c>
      <c r="CB53" t="s">
        <v>192</v>
      </c>
    </row>
    <row r="54" spans="1:81" ht="15" customHeight="1" x14ac:dyDescent="0.25">
      <c r="A54" s="274" t="s">
        <v>663</v>
      </c>
      <c r="B54" s="277" t="s">
        <v>481</v>
      </c>
      <c r="D54" s="275">
        <v>44820</v>
      </c>
      <c r="E54" s="275">
        <v>45916</v>
      </c>
      <c r="F54" s="275">
        <v>44866</v>
      </c>
      <c r="G54" s="275">
        <v>45382</v>
      </c>
      <c r="H54" s="274" t="s">
        <v>248</v>
      </c>
      <c r="I54" s="238" t="s">
        <v>303</v>
      </c>
      <c r="K54" s="317">
        <f t="shared" si="18"/>
        <v>1.5397260273972602</v>
      </c>
      <c r="L54" s="317" t="s">
        <v>365</v>
      </c>
      <c r="M54" s="277" t="s">
        <v>664</v>
      </c>
      <c r="N54" s="277" t="s">
        <v>665</v>
      </c>
      <c r="O54" s="276" t="s">
        <v>666</v>
      </c>
      <c r="S54" s="276">
        <v>1</v>
      </c>
      <c r="Y54" s="276">
        <f t="shared" si="1"/>
        <v>1</v>
      </c>
      <c r="AA54" s="276">
        <v>1</v>
      </c>
      <c r="AB54" s="276">
        <v>1</v>
      </c>
      <c r="AI54" s="276">
        <f t="shared" si="2"/>
        <v>2</v>
      </c>
      <c r="AJ54">
        <f t="shared" si="3"/>
        <v>1</v>
      </c>
      <c r="AK54">
        <f t="shared" si="4"/>
        <v>1</v>
      </c>
      <c r="AL54">
        <f t="shared" si="5"/>
        <v>-1</v>
      </c>
      <c r="AM54">
        <f t="shared" si="6"/>
        <v>0</v>
      </c>
      <c r="AN54">
        <f t="shared" si="7"/>
        <v>0</v>
      </c>
      <c r="AO54">
        <f t="shared" si="8"/>
        <v>0</v>
      </c>
      <c r="AP54">
        <f t="shared" si="9"/>
        <v>0</v>
      </c>
      <c r="AQ54">
        <f t="shared" si="10"/>
        <v>0</v>
      </c>
      <c r="AR54" s="276">
        <f t="shared" si="11"/>
        <v>1</v>
      </c>
      <c r="AT54" s="278">
        <f t="shared" si="17"/>
        <v>1</v>
      </c>
      <c r="AY54" s="279"/>
      <c r="BD54" s="279"/>
      <c r="BK54" s="280">
        <f t="shared" si="13"/>
        <v>0</v>
      </c>
      <c r="BL54" s="274">
        <f t="shared" si="14"/>
        <v>0</v>
      </c>
      <c r="BP54" s="281">
        <v>520450</v>
      </c>
      <c r="BQ54" s="281">
        <v>175359</v>
      </c>
      <c r="BR54" s="296" t="s">
        <v>181</v>
      </c>
      <c r="BS54" t="s">
        <v>140</v>
      </c>
      <c r="BT54" t="s">
        <v>140</v>
      </c>
      <c r="BU54"/>
      <c r="BV54"/>
      <c r="BW54"/>
      <c r="BX54"/>
      <c r="BY54"/>
      <c r="BZ54"/>
      <c r="CA54" t="s">
        <v>325</v>
      </c>
      <c r="CB54" t="s">
        <v>190</v>
      </c>
    </row>
    <row r="55" spans="1:81" ht="15" customHeight="1" x14ac:dyDescent="0.25">
      <c r="A55" s="274" t="s">
        <v>667</v>
      </c>
      <c r="B55" s="277" t="s">
        <v>459</v>
      </c>
      <c r="C55" s="274" t="s">
        <v>293</v>
      </c>
      <c r="D55" s="275">
        <v>44712</v>
      </c>
      <c r="E55" s="275">
        <v>45808</v>
      </c>
      <c r="F55" s="275">
        <v>45231</v>
      </c>
      <c r="G55" s="275">
        <v>45382</v>
      </c>
      <c r="H55" s="234" t="s">
        <v>248</v>
      </c>
      <c r="I55" s="238" t="s">
        <v>303</v>
      </c>
      <c r="K55" s="317">
        <f t="shared" si="18"/>
        <v>1.8356164383561644</v>
      </c>
      <c r="L55" s="317" t="s">
        <v>365</v>
      </c>
      <c r="M55" s="277" t="s">
        <v>668</v>
      </c>
      <c r="N55" s="277" t="s">
        <v>669</v>
      </c>
      <c r="O55" s="276" t="s">
        <v>670</v>
      </c>
      <c r="Y55" s="276">
        <f t="shared" si="1"/>
        <v>0</v>
      </c>
      <c r="AB55" s="276">
        <v>2</v>
      </c>
      <c r="AI55" s="276">
        <f t="shared" si="2"/>
        <v>2</v>
      </c>
      <c r="AJ55">
        <f t="shared" si="3"/>
        <v>0</v>
      </c>
      <c r="AK55">
        <f t="shared" si="4"/>
        <v>2</v>
      </c>
      <c r="AL55">
        <f t="shared" si="5"/>
        <v>0</v>
      </c>
      <c r="AM55">
        <f t="shared" si="6"/>
        <v>0</v>
      </c>
      <c r="AN55">
        <f t="shared" si="7"/>
        <v>0</v>
      </c>
      <c r="AO55">
        <f t="shared" si="8"/>
        <v>0</v>
      </c>
      <c r="AP55">
        <f t="shared" si="9"/>
        <v>0</v>
      </c>
      <c r="AQ55">
        <f t="shared" si="10"/>
        <v>0</v>
      </c>
      <c r="AR55" s="276">
        <f t="shared" si="11"/>
        <v>2</v>
      </c>
      <c r="AT55" s="278">
        <f t="shared" si="17"/>
        <v>2</v>
      </c>
      <c r="AY55" s="279"/>
      <c r="BD55" s="279"/>
      <c r="BK55" s="280">
        <f t="shared" si="13"/>
        <v>0</v>
      </c>
      <c r="BL55" s="274">
        <f t="shared" si="14"/>
        <v>0</v>
      </c>
      <c r="BP55" s="281">
        <v>517895</v>
      </c>
      <c r="BQ55" s="281">
        <v>174884</v>
      </c>
      <c r="BR55" s="296" t="s">
        <v>141</v>
      </c>
      <c r="BS55" t="s">
        <v>168</v>
      </c>
      <c r="BT55" t="s">
        <v>141</v>
      </c>
      <c r="BU55"/>
      <c r="BV55"/>
      <c r="BW55"/>
      <c r="BX55"/>
      <c r="BY55" t="s">
        <v>546</v>
      </c>
      <c r="BZ55" t="s">
        <v>325</v>
      </c>
      <c r="CA55" t="s">
        <v>325</v>
      </c>
      <c r="CB55" t="s">
        <v>191</v>
      </c>
    </row>
    <row r="56" spans="1:81" ht="15" customHeight="1" x14ac:dyDescent="0.25">
      <c r="A56" s="274" t="s">
        <v>671</v>
      </c>
      <c r="B56" s="274" t="s">
        <v>459</v>
      </c>
      <c r="C56" s="274" t="s">
        <v>293</v>
      </c>
      <c r="D56" s="275">
        <v>44795</v>
      </c>
      <c r="E56" s="275">
        <v>45891</v>
      </c>
      <c r="F56" s="275">
        <v>44860</v>
      </c>
      <c r="G56" s="275">
        <v>45112</v>
      </c>
      <c r="H56" s="274" t="s">
        <v>248</v>
      </c>
      <c r="I56" s="238" t="s">
        <v>303</v>
      </c>
      <c r="K56" s="317">
        <f t="shared" si="18"/>
        <v>0.86849315068493149</v>
      </c>
      <c r="L56" s="317" t="s">
        <v>365</v>
      </c>
      <c r="M56" s="277" t="s">
        <v>672</v>
      </c>
      <c r="N56" s="277" t="s">
        <v>673</v>
      </c>
      <c r="O56" s="276" t="s">
        <v>674</v>
      </c>
      <c r="Y56" s="276">
        <f t="shared" si="1"/>
        <v>0</v>
      </c>
      <c r="AA56" s="276">
        <v>1</v>
      </c>
      <c r="AB56" s="276">
        <v>1</v>
      </c>
      <c r="AI56" s="276">
        <f t="shared" si="2"/>
        <v>2</v>
      </c>
      <c r="AJ56">
        <f t="shared" si="3"/>
        <v>1</v>
      </c>
      <c r="AK56">
        <f t="shared" si="4"/>
        <v>1</v>
      </c>
      <c r="AL56">
        <f t="shared" si="5"/>
        <v>0</v>
      </c>
      <c r="AM56">
        <f t="shared" si="6"/>
        <v>0</v>
      </c>
      <c r="AN56">
        <f t="shared" si="7"/>
        <v>0</v>
      </c>
      <c r="AO56">
        <f t="shared" si="8"/>
        <v>0</v>
      </c>
      <c r="AP56">
        <f t="shared" si="9"/>
        <v>0</v>
      </c>
      <c r="AQ56">
        <f t="shared" si="10"/>
        <v>0</v>
      </c>
      <c r="AR56" s="276">
        <f t="shared" si="11"/>
        <v>2</v>
      </c>
      <c r="AT56" s="278">
        <f t="shared" si="17"/>
        <v>2</v>
      </c>
      <c r="AY56" s="279"/>
      <c r="BD56" s="279"/>
      <c r="BK56" s="280">
        <f t="shared" si="13"/>
        <v>0</v>
      </c>
      <c r="BL56" s="274">
        <f t="shared" si="14"/>
        <v>0</v>
      </c>
      <c r="BP56" s="281">
        <v>516001</v>
      </c>
      <c r="BQ56" s="281">
        <v>173141</v>
      </c>
      <c r="BR56" s="296" t="s">
        <v>145</v>
      </c>
      <c r="BS56" t="s">
        <v>171</v>
      </c>
      <c r="BT56" t="s">
        <v>145</v>
      </c>
      <c r="BU56"/>
      <c r="BV56"/>
      <c r="BW56"/>
      <c r="BX56"/>
      <c r="BY56"/>
      <c r="BZ56"/>
      <c r="CA56" t="s">
        <v>325</v>
      </c>
      <c r="CB56" t="s">
        <v>193</v>
      </c>
    </row>
    <row r="57" spans="1:81" ht="15" customHeight="1" x14ac:dyDescent="0.25">
      <c r="A57" s="274" t="s">
        <v>675</v>
      </c>
      <c r="B57" s="277" t="s">
        <v>481</v>
      </c>
      <c r="D57" s="275">
        <v>44973</v>
      </c>
      <c r="E57" s="275">
        <v>46069</v>
      </c>
      <c r="F57" s="275">
        <v>44986</v>
      </c>
      <c r="G57" s="275">
        <v>45261</v>
      </c>
      <c r="H57" s="274" t="s">
        <v>248</v>
      </c>
      <c r="I57" s="238" t="s">
        <v>303</v>
      </c>
      <c r="K57" s="317">
        <f t="shared" si="18"/>
        <v>0.78904109589041094</v>
      </c>
      <c r="L57" s="317" t="s">
        <v>365</v>
      </c>
      <c r="M57" s="277" t="s">
        <v>676</v>
      </c>
      <c r="N57" s="277" t="s">
        <v>677</v>
      </c>
      <c r="O57" s="276" t="s">
        <v>678</v>
      </c>
      <c r="Q57" s="276">
        <v>1</v>
      </c>
      <c r="U57" s="276">
        <v>1</v>
      </c>
      <c r="Y57" s="276">
        <f t="shared" si="1"/>
        <v>2</v>
      </c>
      <c r="AE57" s="276">
        <v>1</v>
      </c>
      <c r="AI57" s="276">
        <f t="shared" si="2"/>
        <v>1</v>
      </c>
      <c r="AJ57">
        <f t="shared" si="3"/>
        <v>-1</v>
      </c>
      <c r="AK57">
        <f t="shared" si="4"/>
        <v>0</v>
      </c>
      <c r="AL57">
        <f t="shared" si="5"/>
        <v>0</v>
      </c>
      <c r="AM57">
        <f t="shared" si="6"/>
        <v>0</v>
      </c>
      <c r="AN57">
        <f t="shared" si="7"/>
        <v>0</v>
      </c>
      <c r="AO57">
        <f t="shared" si="8"/>
        <v>0</v>
      </c>
      <c r="AP57">
        <f t="shared" si="9"/>
        <v>0</v>
      </c>
      <c r="AQ57">
        <f t="shared" si="10"/>
        <v>0</v>
      </c>
      <c r="AR57" s="276">
        <f t="shared" si="11"/>
        <v>-1</v>
      </c>
      <c r="AT57" s="278">
        <f t="shared" si="17"/>
        <v>-1</v>
      </c>
      <c r="AY57" s="279"/>
      <c r="BD57" s="279"/>
      <c r="BK57" s="280">
        <f t="shared" si="13"/>
        <v>0</v>
      </c>
      <c r="BL57" s="274">
        <f t="shared" si="14"/>
        <v>0</v>
      </c>
      <c r="BP57" s="281">
        <v>516027</v>
      </c>
      <c r="BQ57" s="281">
        <v>172735</v>
      </c>
      <c r="BR57" s="296" t="s">
        <v>145</v>
      </c>
      <c r="BS57" t="s">
        <v>171</v>
      </c>
      <c r="BT57"/>
      <c r="BU57"/>
      <c r="BV57"/>
      <c r="BW57"/>
      <c r="BX57" t="s">
        <v>326</v>
      </c>
      <c r="BY57" t="s">
        <v>679</v>
      </c>
      <c r="BZ57" t="s">
        <v>325</v>
      </c>
      <c r="CA57" t="s">
        <v>325</v>
      </c>
      <c r="CB57" t="s">
        <v>193</v>
      </c>
    </row>
    <row r="58" spans="1:81" ht="15" customHeight="1" x14ac:dyDescent="0.25">
      <c r="A58" s="274" t="s">
        <v>680</v>
      </c>
      <c r="B58" s="277" t="s">
        <v>459</v>
      </c>
      <c r="C58" s="274" t="s">
        <v>293</v>
      </c>
      <c r="D58" s="275">
        <v>44792</v>
      </c>
      <c r="E58" s="275">
        <v>45888</v>
      </c>
      <c r="F58" s="275">
        <v>44942</v>
      </c>
      <c r="G58" s="275">
        <v>45086</v>
      </c>
      <c r="H58" s="274" t="s">
        <v>248</v>
      </c>
      <c r="I58" s="238" t="s">
        <v>303</v>
      </c>
      <c r="K58" s="317">
        <f t="shared" si="18"/>
        <v>0.80547945205479454</v>
      </c>
      <c r="L58" s="317" t="s">
        <v>365</v>
      </c>
      <c r="M58" s="277" t="s">
        <v>681</v>
      </c>
      <c r="N58" s="277" t="s">
        <v>682</v>
      </c>
      <c r="O58" s="276" t="s">
        <v>683</v>
      </c>
      <c r="Y58" s="276">
        <f t="shared" si="1"/>
        <v>0</v>
      </c>
      <c r="AA58" s="276">
        <v>3</v>
      </c>
      <c r="AI58" s="276">
        <f t="shared" si="2"/>
        <v>3</v>
      </c>
      <c r="AJ58">
        <f t="shared" si="3"/>
        <v>3</v>
      </c>
      <c r="AK58">
        <f t="shared" si="4"/>
        <v>0</v>
      </c>
      <c r="AL58">
        <f t="shared" si="5"/>
        <v>0</v>
      </c>
      <c r="AM58">
        <f t="shared" si="6"/>
        <v>0</v>
      </c>
      <c r="AN58">
        <f t="shared" si="7"/>
        <v>0</v>
      </c>
      <c r="AO58">
        <f t="shared" si="8"/>
        <v>0</v>
      </c>
      <c r="AP58">
        <f t="shared" si="9"/>
        <v>0</v>
      </c>
      <c r="AQ58">
        <f t="shared" si="10"/>
        <v>0</v>
      </c>
      <c r="AR58" s="276">
        <f t="shared" si="11"/>
        <v>3</v>
      </c>
      <c r="AT58" s="278">
        <f t="shared" si="17"/>
        <v>3</v>
      </c>
      <c r="AY58" s="279"/>
      <c r="BD58" s="279"/>
      <c r="BK58" s="280">
        <f t="shared" si="13"/>
        <v>0</v>
      </c>
      <c r="BL58" s="274">
        <f t="shared" si="14"/>
        <v>0</v>
      </c>
      <c r="BP58" s="281">
        <v>517627</v>
      </c>
      <c r="BQ58" s="281">
        <v>174827</v>
      </c>
      <c r="BR58" s="296" t="s">
        <v>141</v>
      </c>
      <c r="BS58" t="s">
        <v>168</v>
      </c>
      <c r="BT58"/>
      <c r="BU58"/>
      <c r="BV58"/>
      <c r="BW58"/>
      <c r="BX58"/>
      <c r="BY58" t="s">
        <v>684</v>
      </c>
      <c r="BZ58" t="s">
        <v>325</v>
      </c>
      <c r="CA58" t="s">
        <v>325</v>
      </c>
      <c r="CB58" t="s">
        <v>191</v>
      </c>
    </row>
    <row r="59" spans="1:81" ht="15" customHeight="1" x14ac:dyDescent="0.25">
      <c r="A59" s="274" t="s">
        <v>685</v>
      </c>
      <c r="B59" s="277" t="s">
        <v>459</v>
      </c>
      <c r="C59" s="274" t="s">
        <v>293</v>
      </c>
      <c r="D59" s="275">
        <v>44796</v>
      </c>
      <c r="E59" s="275">
        <v>45892</v>
      </c>
      <c r="F59" s="275">
        <v>44942</v>
      </c>
      <c r="G59" s="275">
        <v>45086</v>
      </c>
      <c r="H59" s="274" t="s">
        <v>248</v>
      </c>
      <c r="I59" s="238" t="s">
        <v>303</v>
      </c>
      <c r="K59" s="317">
        <f t="shared" si="18"/>
        <v>0.79452054794520544</v>
      </c>
      <c r="L59" s="317" t="s">
        <v>365</v>
      </c>
      <c r="M59" s="277" t="s">
        <v>686</v>
      </c>
      <c r="N59" s="277" t="s">
        <v>687</v>
      </c>
      <c r="O59" s="276" t="s">
        <v>683</v>
      </c>
      <c r="Y59" s="276">
        <f t="shared" si="1"/>
        <v>0</v>
      </c>
      <c r="AA59" s="276">
        <v>1</v>
      </c>
      <c r="AI59" s="276">
        <f t="shared" si="2"/>
        <v>1</v>
      </c>
      <c r="AJ59">
        <f t="shared" si="3"/>
        <v>1</v>
      </c>
      <c r="AK59">
        <f t="shared" si="4"/>
        <v>0</v>
      </c>
      <c r="AL59">
        <f t="shared" si="5"/>
        <v>0</v>
      </c>
      <c r="AM59">
        <f t="shared" si="6"/>
        <v>0</v>
      </c>
      <c r="AN59">
        <f t="shared" si="7"/>
        <v>0</v>
      </c>
      <c r="AO59">
        <f t="shared" si="8"/>
        <v>0</v>
      </c>
      <c r="AP59">
        <f t="shared" si="9"/>
        <v>0</v>
      </c>
      <c r="AQ59">
        <f t="shared" si="10"/>
        <v>0</v>
      </c>
      <c r="AR59" s="276">
        <f t="shared" si="11"/>
        <v>1</v>
      </c>
      <c r="AT59" s="278">
        <f t="shared" si="17"/>
        <v>1</v>
      </c>
      <c r="AY59" s="279"/>
      <c r="BD59" s="279"/>
      <c r="BK59" s="280">
        <f t="shared" si="13"/>
        <v>0</v>
      </c>
      <c r="BL59" s="274">
        <f t="shared" si="14"/>
        <v>0</v>
      </c>
      <c r="BP59" s="281">
        <v>517621</v>
      </c>
      <c r="BQ59" s="281">
        <v>174819</v>
      </c>
      <c r="BR59" s="296" t="s">
        <v>141</v>
      </c>
      <c r="BS59" t="s">
        <v>168</v>
      </c>
      <c r="BT59"/>
      <c r="BU59"/>
      <c r="BV59"/>
      <c r="BW59"/>
      <c r="BX59"/>
      <c r="BY59" t="s">
        <v>684</v>
      </c>
      <c r="BZ59" t="s">
        <v>325</v>
      </c>
      <c r="CA59" t="s">
        <v>325</v>
      </c>
      <c r="CB59" t="s">
        <v>191</v>
      </c>
    </row>
    <row r="60" spans="1:81" ht="15" customHeight="1" x14ac:dyDescent="0.25">
      <c r="A60" s="274" t="s">
        <v>688</v>
      </c>
      <c r="B60" s="274" t="s">
        <v>459</v>
      </c>
      <c r="C60" s="274"/>
      <c r="D60" s="275">
        <v>45022</v>
      </c>
      <c r="E60" s="275">
        <v>46118</v>
      </c>
      <c r="F60" s="275">
        <v>45022</v>
      </c>
      <c r="G60" s="275">
        <v>45229</v>
      </c>
      <c r="H60" s="274" t="s">
        <v>248</v>
      </c>
      <c r="I60" s="238" t="s">
        <v>303</v>
      </c>
      <c r="K60" s="317">
        <f t="shared" si="18"/>
        <v>0.56712328767123288</v>
      </c>
      <c r="L60" s="317" t="s">
        <v>365</v>
      </c>
      <c r="M60" s="277" t="s">
        <v>689</v>
      </c>
      <c r="N60" s="277" t="s">
        <v>690</v>
      </c>
      <c r="O60" s="276" t="s">
        <v>691</v>
      </c>
      <c r="U60" s="276">
        <v>1</v>
      </c>
      <c r="Y60" s="276">
        <f t="shared" si="1"/>
        <v>1</v>
      </c>
      <c r="AB60" s="276">
        <v>1</v>
      </c>
      <c r="AI60" s="276">
        <f t="shared" si="2"/>
        <v>1</v>
      </c>
      <c r="AJ60">
        <f t="shared" si="3"/>
        <v>0</v>
      </c>
      <c r="AK60">
        <f t="shared" si="4"/>
        <v>1</v>
      </c>
      <c r="AL60">
        <f t="shared" si="5"/>
        <v>0</v>
      </c>
      <c r="AM60">
        <f t="shared" si="6"/>
        <v>0</v>
      </c>
      <c r="AN60">
        <f t="shared" si="7"/>
        <v>-1</v>
      </c>
      <c r="AO60">
        <f t="shared" si="8"/>
        <v>0</v>
      </c>
      <c r="AP60">
        <f t="shared" si="9"/>
        <v>0</v>
      </c>
      <c r="AQ60">
        <f t="shared" si="10"/>
        <v>0</v>
      </c>
      <c r="AR60" s="276">
        <f t="shared" si="11"/>
        <v>0</v>
      </c>
      <c r="AT60" s="278">
        <f t="shared" si="17"/>
        <v>0</v>
      </c>
      <c r="AY60" s="279"/>
      <c r="BD60" s="279"/>
      <c r="BK60" s="280">
        <f t="shared" si="13"/>
        <v>0</v>
      </c>
      <c r="BL60" s="274">
        <f t="shared" si="14"/>
        <v>0</v>
      </c>
      <c r="BP60" s="281">
        <v>520884</v>
      </c>
      <c r="BQ60" s="281">
        <v>175760</v>
      </c>
      <c r="BR60" s="296" t="s">
        <v>181</v>
      </c>
      <c r="BS60" t="s">
        <v>166</v>
      </c>
      <c r="BT60"/>
      <c r="BU60"/>
      <c r="BV60"/>
      <c r="BW60"/>
      <c r="BX60"/>
      <c r="BY60"/>
      <c r="BZ60"/>
      <c r="CA60" t="s">
        <v>325</v>
      </c>
      <c r="CB60" t="s">
        <v>190</v>
      </c>
    </row>
    <row r="61" spans="1:81" ht="15" customHeight="1" x14ac:dyDescent="0.25">
      <c r="A61" s="282" t="s">
        <v>692</v>
      </c>
      <c r="B61" s="282" t="s">
        <v>481</v>
      </c>
      <c r="C61" s="282"/>
      <c r="D61" s="243">
        <v>45371</v>
      </c>
      <c r="E61" s="243">
        <v>46466</v>
      </c>
      <c r="F61" s="243">
        <v>45371</v>
      </c>
      <c r="G61" s="243">
        <v>45371</v>
      </c>
      <c r="H61" s="274" t="s">
        <v>248</v>
      </c>
      <c r="I61" s="238" t="s">
        <v>303</v>
      </c>
      <c r="J61" s="242"/>
      <c r="K61" s="317">
        <f t="shared" si="18"/>
        <v>0</v>
      </c>
      <c r="L61" s="317" t="s">
        <v>365</v>
      </c>
      <c r="M61" s="242" t="s">
        <v>693</v>
      </c>
      <c r="N61" s="277" t="s">
        <v>694</v>
      </c>
      <c r="O61" s="282" t="s">
        <v>695</v>
      </c>
      <c r="P61" s="282"/>
      <c r="Q61" s="242"/>
      <c r="R61" s="242"/>
      <c r="S61" s="283">
        <v>1</v>
      </c>
      <c r="T61" s="242"/>
      <c r="U61" s="242"/>
      <c r="V61" s="242"/>
      <c r="W61" s="242"/>
      <c r="X61" s="242"/>
      <c r="Y61" s="276">
        <f t="shared" si="1"/>
        <v>1</v>
      </c>
      <c r="Z61" s="282"/>
      <c r="AA61" s="283">
        <v>2</v>
      </c>
      <c r="AB61" s="242"/>
      <c r="AC61" s="242"/>
      <c r="AD61" s="242"/>
      <c r="AE61" s="242"/>
      <c r="AF61" s="242"/>
      <c r="AG61" s="242"/>
      <c r="AH61" s="242"/>
      <c r="AI61" s="276">
        <f t="shared" si="2"/>
        <v>2</v>
      </c>
      <c r="AJ61">
        <f t="shared" si="3"/>
        <v>2</v>
      </c>
      <c r="AK61">
        <f t="shared" si="4"/>
        <v>0</v>
      </c>
      <c r="AL61">
        <f t="shared" si="5"/>
        <v>-1</v>
      </c>
      <c r="AM61">
        <f t="shared" si="6"/>
        <v>0</v>
      </c>
      <c r="AN61">
        <f t="shared" si="7"/>
        <v>0</v>
      </c>
      <c r="AO61">
        <f t="shared" si="8"/>
        <v>0</v>
      </c>
      <c r="AP61">
        <f t="shared" si="9"/>
        <v>0</v>
      </c>
      <c r="AQ61">
        <f t="shared" si="10"/>
        <v>0</v>
      </c>
      <c r="AR61" s="276">
        <f t="shared" si="11"/>
        <v>1</v>
      </c>
      <c r="AT61" s="278">
        <f t="shared" si="17"/>
        <v>1</v>
      </c>
      <c r="AY61" s="279"/>
      <c r="BD61" s="279"/>
      <c r="BK61" s="280">
        <f t="shared" si="13"/>
        <v>0</v>
      </c>
      <c r="BL61" s="274">
        <f t="shared" si="14"/>
        <v>0</v>
      </c>
      <c r="BM61" s="282"/>
      <c r="BN61" s="282"/>
      <c r="BO61" s="294"/>
      <c r="BP61" s="284">
        <v>513626</v>
      </c>
      <c r="BQ61" s="284">
        <v>173221</v>
      </c>
      <c r="BR61" t="s">
        <v>147</v>
      </c>
      <c r="BS61" t="s">
        <v>164</v>
      </c>
      <c r="BT61"/>
      <c r="BU61"/>
      <c r="BV61"/>
      <c r="BW61"/>
      <c r="BX61"/>
      <c r="BY61"/>
      <c r="BZ61"/>
      <c r="CA61" t="s">
        <v>325</v>
      </c>
      <c r="CB61" t="s">
        <v>194</v>
      </c>
      <c r="CC61" s="282"/>
    </row>
    <row r="62" spans="1:81" ht="15" customHeight="1" x14ac:dyDescent="0.25">
      <c r="A62" s="274" t="s">
        <v>696</v>
      </c>
      <c r="B62" s="274" t="s">
        <v>459</v>
      </c>
      <c r="C62" s="274" t="s">
        <v>293</v>
      </c>
      <c r="D62" s="275">
        <v>44952</v>
      </c>
      <c r="E62" s="275">
        <v>45683</v>
      </c>
      <c r="F62" s="275">
        <v>44774</v>
      </c>
      <c r="G62" s="275">
        <v>45366</v>
      </c>
      <c r="H62" s="274" t="s">
        <v>248</v>
      </c>
      <c r="I62" s="238" t="s">
        <v>303</v>
      </c>
      <c r="K62" s="317">
        <f t="shared" si="18"/>
        <v>1.1342465753424658</v>
      </c>
      <c r="L62" s="317" t="s">
        <v>365</v>
      </c>
      <c r="M62" s="277" t="s">
        <v>697</v>
      </c>
      <c r="N62" s="277" t="s">
        <v>698</v>
      </c>
      <c r="O62" s="276" t="s">
        <v>699</v>
      </c>
      <c r="Y62" s="276">
        <f t="shared" si="1"/>
        <v>0</v>
      </c>
      <c r="AB62" s="276">
        <v>1</v>
      </c>
      <c r="AI62" s="276">
        <f t="shared" si="2"/>
        <v>1</v>
      </c>
      <c r="AJ62">
        <f t="shared" si="3"/>
        <v>0</v>
      </c>
      <c r="AK62">
        <f t="shared" si="4"/>
        <v>1</v>
      </c>
      <c r="AL62">
        <f t="shared" si="5"/>
        <v>0</v>
      </c>
      <c r="AM62">
        <f t="shared" si="6"/>
        <v>0</v>
      </c>
      <c r="AN62">
        <f t="shared" si="7"/>
        <v>0</v>
      </c>
      <c r="AO62">
        <f t="shared" si="8"/>
        <v>0</v>
      </c>
      <c r="AP62">
        <f t="shared" si="9"/>
        <v>0</v>
      </c>
      <c r="AQ62">
        <f t="shared" si="10"/>
        <v>0</v>
      </c>
      <c r="AR62" s="276">
        <f t="shared" si="11"/>
        <v>1</v>
      </c>
      <c r="AT62" s="278">
        <f t="shared" si="17"/>
        <v>1</v>
      </c>
      <c r="AY62" s="279"/>
      <c r="BD62" s="279"/>
      <c r="BK62" s="280">
        <f t="shared" si="13"/>
        <v>0</v>
      </c>
      <c r="BL62" s="274">
        <f t="shared" si="14"/>
        <v>0</v>
      </c>
      <c r="BP62" s="281">
        <v>519074</v>
      </c>
      <c r="BQ62" s="281">
        <v>176043</v>
      </c>
      <c r="BR62" s="296" t="s">
        <v>141</v>
      </c>
      <c r="BS62" t="s">
        <v>165</v>
      </c>
      <c r="BT62"/>
      <c r="BU62"/>
      <c r="BV62"/>
      <c r="BW62"/>
      <c r="BX62"/>
      <c r="BY62"/>
      <c r="BZ62"/>
      <c r="CA62" t="s">
        <v>325</v>
      </c>
      <c r="CB62" t="s">
        <v>165</v>
      </c>
    </row>
    <row r="63" spans="1:81" ht="15" customHeight="1" x14ac:dyDescent="0.25">
      <c r="A63" s="274" t="s">
        <v>700</v>
      </c>
      <c r="B63" s="274" t="s">
        <v>459</v>
      </c>
      <c r="C63" s="274"/>
      <c r="D63" s="275">
        <v>45204</v>
      </c>
      <c r="E63" s="275">
        <v>46300</v>
      </c>
      <c r="F63" s="275">
        <v>45204</v>
      </c>
      <c r="G63" s="275">
        <v>45204</v>
      </c>
      <c r="H63" s="274" t="s">
        <v>248</v>
      </c>
      <c r="I63" s="238" t="s">
        <v>303</v>
      </c>
      <c r="K63" s="317"/>
      <c r="L63" s="317"/>
      <c r="M63" s="277" t="s">
        <v>701</v>
      </c>
      <c r="N63" s="277" t="s">
        <v>702</v>
      </c>
      <c r="O63" s="276" t="s">
        <v>703</v>
      </c>
      <c r="S63" s="276">
        <v>1</v>
      </c>
      <c r="Y63" s="276">
        <f t="shared" si="1"/>
        <v>1</v>
      </c>
      <c r="AB63" s="276">
        <v>1</v>
      </c>
      <c r="AI63" s="276">
        <f t="shared" si="2"/>
        <v>1</v>
      </c>
      <c r="AJ63">
        <f t="shared" si="3"/>
        <v>0</v>
      </c>
      <c r="AK63">
        <f t="shared" si="4"/>
        <v>1</v>
      </c>
      <c r="AL63">
        <f t="shared" si="5"/>
        <v>-1</v>
      </c>
      <c r="AM63">
        <f t="shared" si="6"/>
        <v>0</v>
      </c>
      <c r="AN63">
        <f t="shared" si="7"/>
        <v>0</v>
      </c>
      <c r="AO63">
        <f t="shared" si="8"/>
        <v>0</v>
      </c>
      <c r="AP63">
        <f t="shared" si="9"/>
        <v>0</v>
      </c>
      <c r="AQ63">
        <f t="shared" si="10"/>
        <v>0</v>
      </c>
      <c r="AR63" s="276">
        <f t="shared" si="11"/>
        <v>0</v>
      </c>
      <c r="AT63" s="278">
        <f t="shared" si="17"/>
        <v>0</v>
      </c>
      <c r="AY63" s="279"/>
      <c r="BD63" s="279"/>
      <c r="BK63" s="280">
        <f t="shared" si="13"/>
        <v>0</v>
      </c>
      <c r="BL63" s="274">
        <f t="shared" si="14"/>
        <v>0</v>
      </c>
      <c r="BP63" s="281">
        <v>519914</v>
      </c>
      <c r="BQ63" s="281">
        <v>175383</v>
      </c>
      <c r="BR63" s="296" t="s">
        <v>141</v>
      </c>
      <c r="BS63" t="s">
        <v>167</v>
      </c>
      <c r="BT63"/>
      <c r="BU63"/>
      <c r="BV63"/>
      <c r="BW63"/>
      <c r="BX63"/>
      <c r="BY63"/>
      <c r="BZ63"/>
      <c r="CA63" t="s">
        <v>325</v>
      </c>
      <c r="CB63" t="s">
        <v>190</v>
      </c>
    </row>
    <row r="64" spans="1:81" ht="15" customHeight="1" x14ac:dyDescent="0.25">
      <c r="A64" s="274" t="s">
        <v>704</v>
      </c>
      <c r="B64" s="274" t="s">
        <v>481</v>
      </c>
      <c r="C64" s="274"/>
      <c r="D64" s="275">
        <v>45069</v>
      </c>
      <c r="E64" s="275">
        <v>45069</v>
      </c>
      <c r="F64" s="275">
        <v>45069</v>
      </c>
      <c r="G64" s="275">
        <v>45069</v>
      </c>
      <c r="H64" s="274" t="s">
        <v>248</v>
      </c>
      <c r="I64" s="238" t="s">
        <v>303</v>
      </c>
      <c r="K64" s="317"/>
      <c r="L64" s="317"/>
      <c r="M64" s="277" t="s">
        <v>705</v>
      </c>
      <c r="N64" s="277" t="s">
        <v>706</v>
      </c>
      <c r="O64" s="276" t="s">
        <v>707</v>
      </c>
      <c r="R64" s="276">
        <v>1</v>
      </c>
      <c r="S64" s="276">
        <v>1</v>
      </c>
      <c r="Y64" s="276">
        <f t="shared" si="1"/>
        <v>2</v>
      </c>
      <c r="AD64" s="276">
        <v>1</v>
      </c>
      <c r="AI64" s="276">
        <f t="shared" si="2"/>
        <v>1</v>
      </c>
      <c r="AJ64">
        <f t="shared" si="3"/>
        <v>0</v>
      </c>
      <c r="AK64">
        <f t="shared" si="4"/>
        <v>-1</v>
      </c>
      <c r="AL64">
        <f t="shared" si="5"/>
        <v>-1</v>
      </c>
      <c r="AM64">
        <f t="shared" si="6"/>
        <v>1</v>
      </c>
      <c r="AN64">
        <f t="shared" si="7"/>
        <v>0</v>
      </c>
      <c r="AO64">
        <f t="shared" si="8"/>
        <v>0</v>
      </c>
      <c r="AP64">
        <f t="shared" si="9"/>
        <v>0</v>
      </c>
      <c r="AQ64">
        <f t="shared" si="10"/>
        <v>0</v>
      </c>
      <c r="AR64" s="276">
        <f t="shared" si="11"/>
        <v>-1</v>
      </c>
      <c r="AT64" s="278">
        <f t="shared" si="17"/>
        <v>-1</v>
      </c>
      <c r="AY64" s="279"/>
      <c r="BD64" s="279"/>
      <c r="BK64" s="280">
        <f t="shared" si="13"/>
        <v>0</v>
      </c>
      <c r="BL64" s="274">
        <f t="shared" si="14"/>
        <v>0</v>
      </c>
      <c r="BP64" s="281">
        <v>520521</v>
      </c>
      <c r="BQ64" s="281">
        <v>174895</v>
      </c>
      <c r="BR64" s="296" t="s">
        <v>181</v>
      </c>
      <c r="BS64" t="s">
        <v>140</v>
      </c>
      <c r="BT64"/>
      <c r="BU64"/>
      <c r="BV64"/>
      <c r="BW64"/>
      <c r="BX64"/>
      <c r="BY64"/>
      <c r="BZ64"/>
      <c r="CA64" t="s">
        <v>325</v>
      </c>
      <c r="CB64" t="s">
        <v>190</v>
      </c>
    </row>
    <row r="65" spans="1:81" ht="15" customHeight="1" x14ac:dyDescent="0.25">
      <c r="A65" s="274" t="s">
        <v>708</v>
      </c>
      <c r="B65" s="274" t="s">
        <v>481</v>
      </c>
      <c r="C65" s="274"/>
      <c r="D65" s="275">
        <v>45099</v>
      </c>
      <c r="E65" s="275">
        <v>45099</v>
      </c>
      <c r="F65" s="275">
        <v>45099</v>
      </c>
      <c r="G65" s="275">
        <v>45099</v>
      </c>
      <c r="H65" s="274" t="s">
        <v>248</v>
      </c>
      <c r="I65" s="238" t="s">
        <v>303</v>
      </c>
      <c r="K65" s="317"/>
      <c r="L65" s="317"/>
      <c r="M65" s="277" t="s">
        <v>709</v>
      </c>
      <c r="N65" s="277" t="s">
        <v>710</v>
      </c>
      <c r="O65" s="276" t="s">
        <v>711</v>
      </c>
      <c r="R65" s="276">
        <v>1</v>
      </c>
      <c r="Y65" s="276">
        <f t="shared" si="1"/>
        <v>1</v>
      </c>
      <c r="AA65" s="276">
        <v>2</v>
      </c>
      <c r="AI65" s="276">
        <f t="shared" si="2"/>
        <v>2</v>
      </c>
      <c r="AJ65">
        <f t="shared" si="3"/>
        <v>2</v>
      </c>
      <c r="AK65">
        <f t="shared" si="4"/>
        <v>-1</v>
      </c>
      <c r="AL65">
        <f t="shared" si="5"/>
        <v>0</v>
      </c>
      <c r="AM65">
        <f t="shared" si="6"/>
        <v>0</v>
      </c>
      <c r="AN65">
        <f t="shared" si="7"/>
        <v>0</v>
      </c>
      <c r="AO65">
        <f t="shared" si="8"/>
        <v>0</v>
      </c>
      <c r="AP65">
        <f t="shared" si="9"/>
        <v>0</v>
      </c>
      <c r="AQ65">
        <f t="shared" si="10"/>
        <v>0</v>
      </c>
      <c r="AR65" s="276">
        <f t="shared" si="11"/>
        <v>1</v>
      </c>
      <c r="AT65" s="278">
        <f t="shared" si="17"/>
        <v>1</v>
      </c>
      <c r="AY65" s="279"/>
      <c r="BD65" s="279"/>
      <c r="BK65" s="280">
        <f t="shared" si="13"/>
        <v>0</v>
      </c>
      <c r="BL65" s="274">
        <f t="shared" si="14"/>
        <v>0</v>
      </c>
      <c r="BP65" s="281">
        <v>517013</v>
      </c>
      <c r="BQ65" s="281">
        <v>174244</v>
      </c>
      <c r="BR65" s="296" t="s">
        <v>145</v>
      </c>
      <c r="BS65" t="s">
        <v>170</v>
      </c>
      <c r="BT65"/>
      <c r="BU65"/>
      <c r="BV65"/>
      <c r="BW65"/>
      <c r="BX65"/>
      <c r="BY65" t="s">
        <v>712</v>
      </c>
      <c r="BZ65" t="s">
        <v>325</v>
      </c>
      <c r="CA65" t="s">
        <v>325</v>
      </c>
      <c r="CB65" t="s">
        <v>193</v>
      </c>
    </row>
    <row r="66" spans="1:81" ht="15" customHeight="1" x14ac:dyDescent="0.25">
      <c r="A66" s="274" t="s">
        <v>713</v>
      </c>
      <c r="B66" s="274" t="s">
        <v>481</v>
      </c>
      <c r="C66" s="274"/>
      <c r="D66" s="275">
        <v>45124</v>
      </c>
      <c r="E66" s="275">
        <v>45124</v>
      </c>
      <c r="F66" s="275">
        <v>45124</v>
      </c>
      <c r="G66" s="275">
        <v>45124</v>
      </c>
      <c r="H66" s="274" t="s">
        <v>248</v>
      </c>
      <c r="I66" s="238" t="s">
        <v>303</v>
      </c>
      <c r="K66" s="317"/>
      <c r="L66" s="317"/>
      <c r="M66" s="277" t="s">
        <v>714</v>
      </c>
      <c r="N66" s="277" t="s">
        <v>715</v>
      </c>
      <c r="O66" s="276" t="s">
        <v>716</v>
      </c>
      <c r="Y66" s="276">
        <f t="shared" ref="Y66:Y129" si="19">SUM(Q66:X66)</f>
        <v>0</v>
      </c>
      <c r="AA66" s="276">
        <v>1</v>
      </c>
      <c r="AI66" s="276">
        <f t="shared" ref="AI66:AI129" si="20">SUM(AA66:AH66)</f>
        <v>1</v>
      </c>
      <c r="AJ66">
        <f t="shared" ref="AJ66:AJ129" si="21">AA66-Q66</f>
        <v>1</v>
      </c>
      <c r="AK66">
        <f t="shared" ref="AK66:AK129" si="22">AB66-R66</f>
        <v>0</v>
      </c>
      <c r="AL66">
        <f t="shared" ref="AL66:AL129" si="23">AC66-S66</f>
        <v>0</v>
      </c>
      <c r="AM66">
        <f t="shared" ref="AM66:AM129" si="24">AD66-T66</f>
        <v>0</v>
      </c>
      <c r="AN66">
        <f t="shared" ref="AN66:AN129" si="25">AE66-U66</f>
        <v>0</v>
      </c>
      <c r="AO66">
        <f t="shared" ref="AO66:AO129" si="26">AF66-V66</f>
        <v>0</v>
      </c>
      <c r="AP66">
        <f t="shared" ref="AP66:AP129" si="27">AG66-W66</f>
        <v>0</v>
      </c>
      <c r="AQ66">
        <f t="shared" ref="AQ66:AQ129" si="28">AH66-X66</f>
        <v>0</v>
      </c>
      <c r="AR66" s="276">
        <f t="shared" ref="AR66:AR129" si="29">AI66-Y66</f>
        <v>1</v>
      </c>
      <c r="AT66" s="278">
        <f t="shared" si="17"/>
        <v>1</v>
      </c>
      <c r="AY66" s="279"/>
      <c r="BD66" s="279"/>
      <c r="BK66" s="280">
        <f t="shared" ref="BK66:BK129" si="30">SUM(AU66:AY66)</f>
        <v>0</v>
      </c>
      <c r="BL66" s="274">
        <f t="shared" ref="BL66:BL129" si="31">SUM(AU66:BD66)</f>
        <v>0</v>
      </c>
      <c r="BP66" s="281">
        <v>519103</v>
      </c>
      <c r="BQ66" s="281">
        <v>177232</v>
      </c>
      <c r="BR66" s="296" t="s">
        <v>141</v>
      </c>
      <c r="BS66" t="s">
        <v>165</v>
      </c>
      <c r="BT66"/>
      <c r="BU66"/>
      <c r="BV66"/>
      <c r="BW66"/>
      <c r="BX66"/>
      <c r="BY66" t="s">
        <v>717</v>
      </c>
      <c r="BZ66" t="s">
        <v>325</v>
      </c>
      <c r="CA66" t="s">
        <v>325</v>
      </c>
      <c r="CB66" t="s">
        <v>165</v>
      </c>
    </row>
    <row r="67" spans="1:81" ht="15" customHeight="1" x14ac:dyDescent="0.25">
      <c r="A67" s="274" t="s">
        <v>718</v>
      </c>
      <c r="B67" s="274" t="s">
        <v>459</v>
      </c>
      <c r="C67" s="274"/>
      <c r="D67" s="275">
        <v>45146</v>
      </c>
      <c r="E67" s="239">
        <v>45146</v>
      </c>
      <c r="F67" s="275">
        <v>45146</v>
      </c>
      <c r="G67" s="275">
        <v>45146</v>
      </c>
      <c r="H67" s="274" t="s">
        <v>248</v>
      </c>
      <c r="I67" s="276" t="s">
        <v>303</v>
      </c>
      <c r="K67" s="317"/>
      <c r="L67" s="317"/>
      <c r="M67" s="277" t="s">
        <v>719</v>
      </c>
      <c r="N67" s="277" t="s">
        <v>720</v>
      </c>
      <c r="O67" s="276" t="s">
        <v>721</v>
      </c>
      <c r="X67" s="276">
        <v>1</v>
      </c>
      <c r="Y67" s="276">
        <f t="shared" si="19"/>
        <v>1</v>
      </c>
      <c r="AI67" s="276">
        <f t="shared" si="20"/>
        <v>0</v>
      </c>
      <c r="AJ67">
        <f t="shared" si="21"/>
        <v>0</v>
      </c>
      <c r="AK67">
        <f t="shared" si="22"/>
        <v>0</v>
      </c>
      <c r="AL67">
        <f t="shared" si="23"/>
        <v>0</v>
      </c>
      <c r="AM67">
        <f t="shared" si="24"/>
        <v>0</v>
      </c>
      <c r="AN67">
        <f t="shared" si="25"/>
        <v>0</v>
      </c>
      <c r="AO67">
        <f t="shared" si="26"/>
        <v>0</v>
      </c>
      <c r="AP67">
        <f t="shared" si="27"/>
        <v>0</v>
      </c>
      <c r="AQ67">
        <f t="shared" si="28"/>
        <v>-1</v>
      </c>
      <c r="AR67" s="244">
        <f t="shared" si="29"/>
        <v>-1</v>
      </c>
      <c r="AT67" s="245">
        <f t="shared" si="17"/>
        <v>-1</v>
      </c>
      <c r="AY67" s="279"/>
      <c r="BD67" s="279"/>
      <c r="BK67" s="280">
        <f t="shared" si="30"/>
        <v>0</v>
      </c>
      <c r="BL67" s="274">
        <f t="shared" si="31"/>
        <v>0</v>
      </c>
      <c r="BP67" s="281">
        <v>520456</v>
      </c>
      <c r="BQ67" s="281">
        <v>175172</v>
      </c>
      <c r="BR67" s="296" t="s">
        <v>181</v>
      </c>
      <c r="BS67" t="s">
        <v>140</v>
      </c>
      <c r="BT67"/>
      <c r="BU67"/>
      <c r="BV67"/>
      <c r="BW67"/>
      <c r="BX67"/>
      <c r="BY67" t="s">
        <v>722</v>
      </c>
      <c r="BZ67" t="s">
        <v>325</v>
      </c>
      <c r="CA67" t="s">
        <v>325</v>
      </c>
      <c r="CB67" t="s">
        <v>190</v>
      </c>
    </row>
    <row r="68" spans="1:81" ht="15" customHeight="1" x14ac:dyDescent="0.25">
      <c r="A68" s="274" t="s">
        <v>723</v>
      </c>
      <c r="B68" s="274" t="s">
        <v>481</v>
      </c>
      <c r="C68" s="274"/>
      <c r="D68" s="275">
        <v>45313</v>
      </c>
      <c r="E68" s="275">
        <v>46409</v>
      </c>
      <c r="F68" s="275">
        <v>45313</v>
      </c>
      <c r="G68" s="275">
        <v>45313</v>
      </c>
      <c r="H68" s="274" t="s">
        <v>248</v>
      </c>
      <c r="I68" s="238" t="s">
        <v>303</v>
      </c>
      <c r="K68" s="317"/>
      <c r="L68" s="317"/>
      <c r="M68" s="277" t="s">
        <v>724</v>
      </c>
      <c r="N68" s="277" t="s">
        <v>725</v>
      </c>
      <c r="O68" s="276" t="s">
        <v>726</v>
      </c>
      <c r="R68" s="276">
        <v>1</v>
      </c>
      <c r="S68" s="276">
        <v>1</v>
      </c>
      <c r="Y68" s="276">
        <f t="shared" si="19"/>
        <v>2</v>
      </c>
      <c r="AD68" s="276">
        <v>1</v>
      </c>
      <c r="AI68" s="276">
        <f t="shared" si="20"/>
        <v>1</v>
      </c>
      <c r="AJ68">
        <f t="shared" si="21"/>
        <v>0</v>
      </c>
      <c r="AK68">
        <f t="shared" si="22"/>
        <v>-1</v>
      </c>
      <c r="AL68">
        <f t="shared" si="23"/>
        <v>-1</v>
      </c>
      <c r="AM68">
        <f t="shared" si="24"/>
        <v>1</v>
      </c>
      <c r="AN68">
        <f t="shared" si="25"/>
        <v>0</v>
      </c>
      <c r="AO68">
        <f t="shared" si="26"/>
        <v>0</v>
      </c>
      <c r="AP68">
        <f t="shared" si="27"/>
        <v>0</v>
      </c>
      <c r="AQ68">
        <f t="shared" si="28"/>
        <v>0</v>
      </c>
      <c r="AR68" s="276">
        <f t="shared" si="29"/>
        <v>-1</v>
      </c>
      <c r="AT68" s="278">
        <f t="shared" si="17"/>
        <v>-1</v>
      </c>
      <c r="AY68" s="279"/>
      <c r="BD68" s="279"/>
      <c r="BK68" s="280">
        <f t="shared" si="30"/>
        <v>0</v>
      </c>
      <c r="BL68" s="274">
        <f t="shared" si="31"/>
        <v>0</v>
      </c>
      <c r="BP68" s="281">
        <v>521592</v>
      </c>
      <c r="BQ68" s="281">
        <v>176487</v>
      </c>
      <c r="BR68" s="296" t="s">
        <v>181</v>
      </c>
      <c r="BS68" t="s">
        <v>158</v>
      </c>
      <c r="BT68"/>
      <c r="BU68" t="s">
        <v>142</v>
      </c>
      <c r="BV68"/>
      <c r="BW68"/>
      <c r="BX68"/>
      <c r="BY68" t="s">
        <v>727</v>
      </c>
      <c r="BZ68" t="s">
        <v>325</v>
      </c>
      <c r="CA68" t="s">
        <v>325</v>
      </c>
      <c r="CB68" t="s">
        <v>158</v>
      </c>
    </row>
    <row r="69" spans="1:81" ht="15" customHeight="1" x14ac:dyDescent="0.25">
      <c r="A69" s="274" t="s">
        <v>728</v>
      </c>
      <c r="B69" s="274" t="s">
        <v>459</v>
      </c>
      <c r="C69" s="274"/>
      <c r="D69" s="275">
        <v>45320</v>
      </c>
      <c r="E69" s="275">
        <v>45320</v>
      </c>
      <c r="F69" s="275">
        <v>45320</v>
      </c>
      <c r="G69" s="275">
        <v>45320</v>
      </c>
      <c r="H69" s="274" t="s">
        <v>248</v>
      </c>
      <c r="I69" s="238" t="s">
        <v>303</v>
      </c>
      <c r="J69" s="274"/>
      <c r="K69" s="317"/>
      <c r="L69" s="317"/>
      <c r="M69" s="277" t="s">
        <v>729</v>
      </c>
      <c r="N69" s="277" t="s">
        <v>730</v>
      </c>
      <c r="O69" s="274" t="s">
        <v>731</v>
      </c>
      <c r="P69" s="274"/>
      <c r="Q69" s="274"/>
      <c r="R69" s="274"/>
      <c r="S69" s="274"/>
      <c r="T69" s="274"/>
      <c r="U69" s="274"/>
      <c r="V69" s="274"/>
      <c r="W69" s="274"/>
      <c r="X69" s="274"/>
      <c r="Y69" s="273">
        <f t="shared" si="19"/>
        <v>0</v>
      </c>
      <c r="Z69" s="274"/>
      <c r="AA69" s="273">
        <v>1</v>
      </c>
      <c r="AB69" s="274"/>
      <c r="AC69" s="274"/>
      <c r="AD69" s="274"/>
      <c r="AE69" s="274"/>
      <c r="AF69" s="274"/>
      <c r="AG69" s="274"/>
      <c r="AH69" s="274"/>
      <c r="AI69" s="273">
        <f t="shared" si="20"/>
        <v>1</v>
      </c>
      <c r="AJ69">
        <f t="shared" si="21"/>
        <v>1</v>
      </c>
      <c r="AK69">
        <f t="shared" si="22"/>
        <v>0</v>
      </c>
      <c r="AL69">
        <f t="shared" si="23"/>
        <v>0</v>
      </c>
      <c r="AM69">
        <f t="shared" si="24"/>
        <v>0</v>
      </c>
      <c r="AN69">
        <f t="shared" si="25"/>
        <v>0</v>
      </c>
      <c r="AO69">
        <f t="shared" si="26"/>
        <v>0</v>
      </c>
      <c r="AP69">
        <f t="shared" si="27"/>
        <v>0</v>
      </c>
      <c r="AQ69">
        <f t="shared" si="28"/>
        <v>0</v>
      </c>
      <c r="AR69" s="273">
        <f t="shared" si="29"/>
        <v>1</v>
      </c>
      <c r="AT69" s="278">
        <f t="shared" si="17"/>
        <v>1</v>
      </c>
      <c r="AY69" s="279"/>
      <c r="BD69" s="279"/>
      <c r="BK69" s="280">
        <f t="shared" si="30"/>
        <v>0</v>
      </c>
      <c r="BL69" s="274">
        <f t="shared" si="31"/>
        <v>0</v>
      </c>
      <c r="BM69" s="274"/>
      <c r="BN69" s="274"/>
      <c r="BO69" s="246"/>
      <c r="BP69" s="285">
        <v>516632</v>
      </c>
      <c r="BQ69" s="285">
        <v>174395</v>
      </c>
      <c r="BR69" s="296" t="s">
        <v>145</v>
      </c>
      <c r="BS69" t="s">
        <v>170</v>
      </c>
      <c r="BT69"/>
      <c r="BU69"/>
      <c r="BV69"/>
      <c r="BW69"/>
      <c r="BX69"/>
      <c r="BY69"/>
      <c r="BZ69"/>
      <c r="CA69" t="s">
        <v>325</v>
      </c>
      <c r="CB69" t="s">
        <v>193</v>
      </c>
      <c r="CC69" s="274"/>
    </row>
    <row r="70" spans="1:81" ht="15" customHeight="1" x14ac:dyDescent="0.25">
      <c r="A70" s="274" t="s">
        <v>732</v>
      </c>
      <c r="B70" s="277" t="s">
        <v>542</v>
      </c>
      <c r="D70" s="275">
        <v>44418</v>
      </c>
      <c r="E70" s="275">
        <v>45514</v>
      </c>
      <c r="F70" s="275">
        <v>45323</v>
      </c>
      <c r="H70" s="274" t="s">
        <v>272</v>
      </c>
      <c r="I70" s="238" t="s">
        <v>303</v>
      </c>
      <c r="M70" s="277" t="s">
        <v>733</v>
      </c>
      <c r="N70" s="277" t="s">
        <v>734</v>
      </c>
      <c r="O70" s="276" t="s">
        <v>447</v>
      </c>
      <c r="R70" s="276">
        <v>1</v>
      </c>
      <c r="Y70" s="276">
        <f t="shared" si="19"/>
        <v>1</v>
      </c>
      <c r="AA70" s="276">
        <v>2</v>
      </c>
      <c r="AI70" s="276">
        <f t="shared" si="20"/>
        <v>2</v>
      </c>
      <c r="AJ70">
        <f t="shared" si="21"/>
        <v>2</v>
      </c>
      <c r="AK70">
        <f t="shared" si="22"/>
        <v>-1</v>
      </c>
      <c r="AL70">
        <f t="shared" si="23"/>
        <v>0</v>
      </c>
      <c r="AM70">
        <f t="shared" si="24"/>
        <v>0</v>
      </c>
      <c r="AN70">
        <f t="shared" si="25"/>
        <v>0</v>
      </c>
      <c r="AO70">
        <f t="shared" si="26"/>
        <v>0</v>
      </c>
      <c r="AP70">
        <f t="shared" si="27"/>
        <v>0</v>
      </c>
      <c r="AQ70">
        <f t="shared" si="28"/>
        <v>0</v>
      </c>
      <c r="AR70" s="276">
        <f t="shared" si="29"/>
        <v>1</v>
      </c>
      <c r="AT70" s="278"/>
      <c r="AU70" s="274">
        <v>0.5</v>
      </c>
      <c r="AV70" s="274">
        <v>0.5</v>
      </c>
      <c r="AY70" s="279"/>
      <c r="BD70" s="279"/>
      <c r="BK70" s="280">
        <f t="shared" si="30"/>
        <v>1</v>
      </c>
      <c r="BL70" s="274">
        <f t="shared" si="31"/>
        <v>1</v>
      </c>
      <c r="BP70" s="281">
        <v>512771</v>
      </c>
      <c r="BQ70" s="281">
        <v>173675</v>
      </c>
      <c r="BR70" t="s">
        <v>147</v>
      </c>
      <c r="BS70" t="s">
        <v>164</v>
      </c>
      <c r="BT70"/>
      <c r="BU70"/>
      <c r="BV70" t="s">
        <v>448</v>
      </c>
      <c r="BW70" t="s">
        <v>325</v>
      </c>
      <c r="BX70"/>
      <c r="BY70"/>
      <c r="BZ70"/>
      <c r="CA70"/>
      <c r="CB70" t="s">
        <v>194</v>
      </c>
    </row>
    <row r="71" spans="1:81" ht="15" customHeight="1" x14ac:dyDescent="0.25">
      <c r="A71" s="274" t="s">
        <v>735</v>
      </c>
      <c r="B71" s="277" t="s">
        <v>459</v>
      </c>
      <c r="C71" s="274" t="s">
        <v>293</v>
      </c>
      <c r="D71" s="275">
        <v>44298</v>
      </c>
      <c r="E71" s="239">
        <v>45394</v>
      </c>
      <c r="F71" s="275">
        <v>44578</v>
      </c>
      <c r="H71" s="234" t="s">
        <v>272</v>
      </c>
      <c r="I71" s="238" t="s">
        <v>303</v>
      </c>
      <c r="J71" s="276" t="s">
        <v>327</v>
      </c>
      <c r="M71" s="277" t="s">
        <v>736</v>
      </c>
      <c r="N71" s="277" t="s">
        <v>737</v>
      </c>
      <c r="O71" s="276" t="s">
        <v>738</v>
      </c>
      <c r="Y71" s="276">
        <f t="shared" si="19"/>
        <v>0</v>
      </c>
      <c r="AA71" s="276">
        <v>4</v>
      </c>
      <c r="AB71" s="276">
        <v>8</v>
      </c>
      <c r="AI71" s="276">
        <f t="shared" si="20"/>
        <v>12</v>
      </c>
      <c r="AJ71">
        <f t="shared" si="21"/>
        <v>4</v>
      </c>
      <c r="AK71">
        <f t="shared" si="22"/>
        <v>8</v>
      </c>
      <c r="AL71">
        <f t="shared" si="23"/>
        <v>0</v>
      </c>
      <c r="AM71">
        <f t="shared" si="24"/>
        <v>0</v>
      </c>
      <c r="AN71">
        <f t="shared" si="25"/>
        <v>0</v>
      </c>
      <c r="AO71">
        <f t="shared" si="26"/>
        <v>0</v>
      </c>
      <c r="AP71">
        <f t="shared" si="27"/>
        <v>0</v>
      </c>
      <c r="AQ71">
        <f t="shared" si="28"/>
        <v>0</v>
      </c>
      <c r="AR71" s="276">
        <f t="shared" si="29"/>
        <v>12</v>
      </c>
      <c r="AT71" s="278"/>
      <c r="AU71" s="234">
        <v>12</v>
      </c>
      <c r="AY71" s="279"/>
      <c r="BD71" s="279"/>
      <c r="BK71" s="280">
        <f t="shared" si="30"/>
        <v>12</v>
      </c>
      <c r="BL71" s="274">
        <f t="shared" si="31"/>
        <v>12</v>
      </c>
      <c r="BP71" s="281">
        <v>514247</v>
      </c>
      <c r="BQ71" s="281">
        <v>170821</v>
      </c>
      <c r="BR71" s="296" t="s">
        <v>183</v>
      </c>
      <c r="BS71" t="s">
        <v>159</v>
      </c>
      <c r="BT71"/>
      <c r="BU71"/>
      <c r="BV71" t="s">
        <v>739</v>
      </c>
      <c r="BW71" t="s">
        <v>325</v>
      </c>
      <c r="BX71"/>
      <c r="BY71" t="s">
        <v>740</v>
      </c>
      <c r="BZ71" t="s">
        <v>325</v>
      </c>
      <c r="CA71"/>
      <c r="CB71" t="s">
        <v>189</v>
      </c>
    </row>
    <row r="72" spans="1:81" ht="15" customHeight="1" x14ac:dyDescent="0.25">
      <c r="A72" s="274" t="s">
        <v>741</v>
      </c>
      <c r="B72" s="277" t="s">
        <v>444</v>
      </c>
      <c r="D72" s="275">
        <v>43215</v>
      </c>
      <c r="E72" s="275">
        <v>44311</v>
      </c>
      <c r="F72" s="275">
        <v>44270</v>
      </c>
      <c r="H72" s="274" t="s">
        <v>272</v>
      </c>
      <c r="I72" s="238" t="s">
        <v>303</v>
      </c>
      <c r="M72" s="277" t="s">
        <v>742</v>
      </c>
      <c r="N72" s="277" t="s">
        <v>743</v>
      </c>
      <c r="O72" s="276" t="s">
        <v>744</v>
      </c>
      <c r="Y72" s="276">
        <f t="shared" si="19"/>
        <v>0</v>
      </c>
      <c r="AC72" s="276">
        <v>1</v>
      </c>
      <c r="AI72" s="276">
        <f t="shared" si="20"/>
        <v>1</v>
      </c>
      <c r="AJ72">
        <f t="shared" si="21"/>
        <v>0</v>
      </c>
      <c r="AK72">
        <f t="shared" si="22"/>
        <v>0</v>
      </c>
      <c r="AL72">
        <f t="shared" si="23"/>
        <v>1</v>
      </c>
      <c r="AM72">
        <f t="shared" si="24"/>
        <v>0</v>
      </c>
      <c r="AN72">
        <f t="shared" si="25"/>
        <v>0</v>
      </c>
      <c r="AO72">
        <f t="shared" si="26"/>
        <v>0</v>
      </c>
      <c r="AP72">
        <f t="shared" si="27"/>
        <v>0</v>
      </c>
      <c r="AQ72">
        <f t="shared" si="28"/>
        <v>0</v>
      </c>
      <c r="AR72" s="276">
        <f t="shared" si="29"/>
        <v>1</v>
      </c>
      <c r="AT72" s="278"/>
      <c r="AU72" s="274">
        <v>1</v>
      </c>
      <c r="AY72" s="279"/>
      <c r="BD72" s="279"/>
      <c r="BK72" s="280">
        <f t="shared" si="30"/>
        <v>1</v>
      </c>
      <c r="BL72" s="274">
        <f t="shared" si="31"/>
        <v>1</v>
      </c>
      <c r="BP72" s="281">
        <v>517808</v>
      </c>
      <c r="BQ72" s="281">
        <v>173353</v>
      </c>
      <c r="BR72" s="296" t="s">
        <v>182</v>
      </c>
      <c r="BS72" t="s">
        <v>160</v>
      </c>
      <c r="BT72"/>
      <c r="BU72" t="s">
        <v>142</v>
      </c>
      <c r="BV72"/>
      <c r="BW72"/>
      <c r="BX72" t="s">
        <v>745</v>
      </c>
      <c r="BY72" t="s">
        <v>746</v>
      </c>
      <c r="BZ72" t="s">
        <v>325</v>
      </c>
      <c r="CA72"/>
      <c r="CB72" t="s">
        <v>188</v>
      </c>
    </row>
    <row r="73" spans="1:81" ht="15" customHeight="1" x14ac:dyDescent="0.25">
      <c r="A73" s="274" t="s">
        <v>747</v>
      </c>
      <c r="B73" s="277" t="s">
        <v>444</v>
      </c>
      <c r="D73" s="275">
        <v>43472</v>
      </c>
      <c r="E73" s="275">
        <v>44568</v>
      </c>
      <c r="F73" s="275">
        <v>44455</v>
      </c>
      <c r="H73" s="274" t="s">
        <v>272</v>
      </c>
      <c r="I73" s="238" t="s">
        <v>303</v>
      </c>
      <c r="M73" s="277" t="s">
        <v>748</v>
      </c>
      <c r="N73" s="277" t="s">
        <v>749</v>
      </c>
      <c r="O73" s="276" t="s">
        <v>750</v>
      </c>
      <c r="Y73" s="276">
        <f t="shared" si="19"/>
        <v>0</v>
      </c>
      <c r="AB73" s="276">
        <v>1</v>
      </c>
      <c r="AI73" s="276">
        <f t="shared" si="20"/>
        <v>1</v>
      </c>
      <c r="AJ73">
        <f t="shared" si="21"/>
        <v>0</v>
      </c>
      <c r="AK73">
        <f t="shared" si="22"/>
        <v>1</v>
      </c>
      <c r="AL73">
        <f t="shared" si="23"/>
        <v>0</v>
      </c>
      <c r="AM73">
        <f t="shared" si="24"/>
        <v>0</v>
      </c>
      <c r="AN73">
        <f t="shared" si="25"/>
        <v>0</v>
      </c>
      <c r="AO73">
        <f t="shared" si="26"/>
        <v>0</v>
      </c>
      <c r="AP73">
        <f t="shared" si="27"/>
        <v>0</v>
      </c>
      <c r="AQ73">
        <f t="shared" si="28"/>
        <v>0</v>
      </c>
      <c r="AR73" s="276">
        <f t="shared" si="29"/>
        <v>1</v>
      </c>
      <c r="AT73" s="278"/>
      <c r="AU73" s="274">
        <v>0.5</v>
      </c>
      <c r="AV73" s="274">
        <v>0.5</v>
      </c>
      <c r="AY73" s="279"/>
      <c r="BD73" s="279"/>
      <c r="BK73" s="280">
        <f t="shared" si="30"/>
        <v>1</v>
      </c>
      <c r="BL73" s="274">
        <f t="shared" si="31"/>
        <v>1</v>
      </c>
      <c r="BP73" s="281">
        <v>514703</v>
      </c>
      <c r="BQ73" s="281">
        <v>172701</v>
      </c>
      <c r="BR73" s="296" t="s">
        <v>145</v>
      </c>
      <c r="BS73" t="s">
        <v>172</v>
      </c>
      <c r="BT73"/>
      <c r="BU73"/>
      <c r="BV73"/>
      <c r="BW73"/>
      <c r="BX73"/>
      <c r="BY73"/>
      <c r="BZ73"/>
      <c r="CA73"/>
      <c r="CB73" t="s">
        <v>193</v>
      </c>
    </row>
    <row r="74" spans="1:81" ht="15" customHeight="1" x14ac:dyDescent="0.25">
      <c r="A74" s="274" t="s">
        <v>751</v>
      </c>
      <c r="B74" s="277" t="s">
        <v>444</v>
      </c>
      <c r="D74" s="275">
        <v>43433</v>
      </c>
      <c r="E74" s="275">
        <v>44814</v>
      </c>
      <c r="F74" s="275">
        <v>44718</v>
      </c>
      <c r="H74" s="274" t="s">
        <v>272</v>
      </c>
      <c r="I74" s="238" t="s">
        <v>303</v>
      </c>
      <c r="M74" s="277" t="s">
        <v>752</v>
      </c>
      <c r="N74" s="277" t="s">
        <v>753</v>
      </c>
      <c r="O74" s="276" t="s">
        <v>754</v>
      </c>
      <c r="Y74" s="276">
        <f t="shared" si="19"/>
        <v>0</v>
      </c>
      <c r="AB74" s="276">
        <v>2</v>
      </c>
      <c r="AI74" s="276">
        <f t="shared" si="20"/>
        <v>2</v>
      </c>
      <c r="AJ74">
        <f t="shared" si="21"/>
        <v>0</v>
      </c>
      <c r="AK74">
        <f t="shared" si="22"/>
        <v>2</v>
      </c>
      <c r="AL74">
        <f t="shared" si="23"/>
        <v>0</v>
      </c>
      <c r="AM74">
        <f t="shared" si="24"/>
        <v>0</v>
      </c>
      <c r="AN74">
        <f t="shared" si="25"/>
        <v>0</v>
      </c>
      <c r="AO74">
        <f t="shared" si="26"/>
        <v>0</v>
      </c>
      <c r="AP74">
        <f t="shared" si="27"/>
        <v>0</v>
      </c>
      <c r="AQ74">
        <f t="shared" si="28"/>
        <v>0</v>
      </c>
      <c r="AR74" s="276">
        <f t="shared" si="29"/>
        <v>2</v>
      </c>
      <c r="AT74" s="278"/>
      <c r="AU74" s="274">
        <v>2</v>
      </c>
      <c r="AY74" s="279"/>
      <c r="BD74" s="279"/>
      <c r="BK74" s="280">
        <f t="shared" si="30"/>
        <v>2</v>
      </c>
      <c r="BL74" s="274">
        <f t="shared" si="31"/>
        <v>2</v>
      </c>
      <c r="BP74" s="281">
        <v>513221</v>
      </c>
      <c r="BQ74" s="281">
        <v>170897</v>
      </c>
      <c r="BR74" s="296" t="s">
        <v>183</v>
      </c>
      <c r="BS74" t="s">
        <v>162</v>
      </c>
      <c r="BT74"/>
      <c r="BU74"/>
      <c r="BV74"/>
      <c r="BW74"/>
      <c r="BX74"/>
      <c r="BY74"/>
      <c r="BZ74"/>
      <c r="CA74"/>
      <c r="CB74" t="s">
        <v>189</v>
      </c>
      <c r="CC74" s="276" t="s">
        <v>325</v>
      </c>
    </row>
    <row r="75" spans="1:81" ht="15" customHeight="1" x14ac:dyDescent="0.25">
      <c r="A75" s="274" t="s">
        <v>755</v>
      </c>
      <c r="B75" s="274" t="s">
        <v>444</v>
      </c>
      <c r="C75" s="274"/>
      <c r="D75" s="275">
        <v>44377</v>
      </c>
      <c r="E75" s="275">
        <v>45473</v>
      </c>
      <c r="F75" s="275">
        <v>45262</v>
      </c>
      <c r="H75" s="274" t="s">
        <v>272</v>
      </c>
      <c r="I75" s="234" t="s">
        <v>312</v>
      </c>
      <c r="J75" s="234"/>
      <c r="K75" s="234"/>
      <c r="L75" s="234"/>
      <c r="M75" s="277" t="s">
        <v>756</v>
      </c>
      <c r="N75" s="277" t="s">
        <v>757</v>
      </c>
      <c r="O75" s="276" t="s">
        <v>758</v>
      </c>
      <c r="Y75" s="276">
        <f t="shared" si="19"/>
        <v>0</v>
      </c>
      <c r="Z75" s="276" t="s">
        <v>325</v>
      </c>
      <c r="AA75" s="276">
        <v>4</v>
      </c>
      <c r="AI75" s="276">
        <f t="shared" si="20"/>
        <v>4</v>
      </c>
      <c r="AJ75">
        <f t="shared" si="21"/>
        <v>4</v>
      </c>
      <c r="AK75">
        <f t="shared" si="22"/>
        <v>0</v>
      </c>
      <c r="AL75">
        <f t="shared" si="23"/>
        <v>0</v>
      </c>
      <c r="AM75">
        <f t="shared" si="24"/>
        <v>0</v>
      </c>
      <c r="AN75">
        <f t="shared" si="25"/>
        <v>0</v>
      </c>
      <c r="AO75">
        <f t="shared" si="26"/>
        <v>0</v>
      </c>
      <c r="AP75">
        <f t="shared" si="27"/>
        <v>0</v>
      </c>
      <c r="AQ75">
        <f t="shared" si="28"/>
        <v>0</v>
      </c>
      <c r="AR75" s="276">
        <f t="shared" si="29"/>
        <v>4</v>
      </c>
      <c r="AT75" s="278"/>
      <c r="AU75" s="274">
        <v>4</v>
      </c>
      <c r="AY75" s="279"/>
      <c r="BD75" s="279"/>
      <c r="BK75" s="280">
        <f t="shared" si="30"/>
        <v>4</v>
      </c>
      <c r="BL75" s="274">
        <f t="shared" si="31"/>
        <v>4</v>
      </c>
      <c r="BP75" s="281">
        <v>518792</v>
      </c>
      <c r="BQ75" s="281">
        <v>174254</v>
      </c>
      <c r="BR75" s="296" t="s">
        <v>141</v>
      </c>
      <c r="BS75" t="s">
        <v>168</v>
      </c>
      <c r="BT75"/>
      <c r="BU75"/>
      <c r="BV75"/>
      <c r="BW75"/>
      <c r="BX75"/>
      <c r="BY75"/>
      <c r="BZ75"/>
      <c r="CA75"/>
      <c r="CB75" t="s">
        <v>191</v>
      </c>
    </row>
    <row r="76" spans="1:81" ht="15" customHeight="1" x14ac:dyDescent="0.25">
      <c r="A76" s="274" t="s">
        <v>755</v>
      </c>
      <c r="B76" s="274" t="s">
        <v>444</v>
      </c>
      <c r="C76" s="274"/>
      <c r="D76" s="275">
        <v>44377</v>
      </c>
      <c r="E76" s="275">
        <v>45473</v>
      </c>
      <c r="F76" s="275">
        <v>45262</v>
      </c>
      <c r="H76" s="274" t="s">
        <v>272</v>
      </c>
      <c r="I76" s="234" t="s">
        <v>338</v>
      </c>
      <c r="J76" s="234"/>
      <c r="K76" s="234"/>
      <c r="L76" s="234"/>
      <c r="M76" s="277" t="s">
        <v>756</v>
      </c>
      <c r="N76" s="277" t="s">
        <v>757</v>
      </c>
      <c r="O76" s="276" t="s">
        <v>758</v>
      </c>
      <c r="Y76" s="276">
        <f t="shared" si="19"/>
        <v>0</v>
      </c>
      <c r="Z76" s="276" t="s">
        <v>325</v>
      </c>
      <c r="AA76" s="276">
        <v>7</v>
      </c>
      <c r="AB76" s="276">
        <v>1</v>
      </c>
      <c r="AI76" s="276">
        <f t="shared" si="20"/>
        <v>8</v>
      </c>
      <c r="AJ76">
        <f t="shared" si="21"/>
        <v>7</v>
      </c>
      <c r="AK76">
        <f t="shared" si="22"/>
        <v>1</v>
      </c>
      <c r="AL76">
        <f t="shared" si="23"/>
        <v>0</v>
      </c>
      <c r="AM76">
        <f t="shared" si="24"/>
        <v>0</v>
      </c>
      <c r="AN76">
        <f t="shared" si="25"/>
        <v>0</v>
      </c>
      <c r="AO76">
        <f t="shared" si="26"/>
        <v>0</v>
      </c>
      <c r="AP76">
        <f t="shared" si="27"/>
        <v>0</v>
      </c>
      <c r="AQ76">
        <f t="shared" si="28"/>
        <v>0</v>
      </c>
      <c r="AR76" s="276">
        <f t="shared" si="29"/>
        <v>8</v>
      </c>
      <c r="AT76" s="278"/>
      <c r="AU76" s="274">
        <v>8</v>
      </c>
      <c r="AY76" s="279"/>
      <c r="BD76" s="279"/>
      <c r="BK76" s="280">
        <f t="shared" si="30"/>
        <v>8</v>
      </c>
      <c r="BL76" s="274">
        <f t="shared" si="31"/>
        <v>8</v>
      </c>
      <c r="BP76" s="281">
        <v>518792</v>
      </c>
      <c r="BQ76" s="281">
        <v>174254</v>
      </c>
      <c r="BR76" s="296" t="s">
        <v>141</v>
      </c>
      <c r="BS76" t="s">
        <v>168</v>
      </c>
      <c r="BT76"/>
      <c r="BU76"/>
      <c r="BV76"/>
      <c r="BW76"/>
      <c r="BX76"/>
      <c r="BY76"/>
      <c r="BZ76"/>
      <c r="CA76"/>
      <c r="CB76" t="s">
        <v>191</v>
      </c>
    </row>
    <row r="77" spans="1:81" ht="15" customHeight="1" x14ac:dyDescent="0.25">
      <c r="A77" s="274" t="s">
        <v>759</v>
      </c>
      <c r="B77" s="277" t="s">
        <v>459</v>
      </c>
      <c r="D77" s="275">
        <v>44106</v>
      </c>
      <c r="E77" s="239">
        <v>45201</v>
      </c>
      <c r="F77" s="239">
        <v>45170</v>
      </c>
      <c r="H77" s="274" t="s">
        <v>272</v>
      </c>
      <c r="I77" s="238" t="s">
        <v>303</v>
      </c>
      <c r="M77" s="277" t="s">
        <v>760</v>
      </c>
      <c r="N77" s="277" t="s">
        <v>761</v>
      </c>
      <c r="O77" s="276" t="s">
        <v>762</v>
      </c>
      <c r="Y77" s="276">
        <f t="shared" si="19"/>
        <v>0</v>
      </c>
      <c r="AD77" s="276">
        <v>1</v>
      </c>
      <c r="AI77" s="276">
        <f t="shared" si="20"/>
        <v>1</v>
      </c>
      <c r="AJ77">
        <f t="shared" si="21"/>
        <v>0</v>
      </c>
      <c r="AK77">
        <f t="shared" si="22"/>
        <v>0</v>
      </c>
      <c r="AL77">
        <f t="shared" si="23"/>
        <v>0</v>
      </c>
      <c r="AM77">
        <f t="shared" si="24"/>
        <v>1</v>
      </c>
      <c r="AN77">
        <f t="shared" si="25"/>
        <v>0</v>
      </c>
      <c r="AO77">
        <f t="shared" si="26"/>
        <v>0</v>
      </c>
      <c r="AP77">
        <f t="shared" si="27"/>
        <v>0</v>
      </c>
      <c r="AQ77">
        <f t="shared" si="28"/>
        <v>0</v>
      </c>
      <c r="AR77" s="276">
        <f t="shared" si="29"/>
        <v>1</v>
      </c>
      <c r="AT77" s="278"/>
      <c r="AU77" s="274">
        <v>1</v>
      </c>
      <c r="AY77" s="279"/>
      <c r="BD77" s="279"/>
      <c r="BK77" s="280">
        <f t="shared" si="30"/>
        <v>1</v>
      </c>
      <c r="BL77" s="274">
        <f t="shared" si="31"/>
        <v>1</v>
      </c>
      <c r="BP77" s="281">
        <v>513956</v>
      </c>
      <c r="BQ77" s="281">
        <v>171140</v>
      </c>
      <c r="BR77" s="296" t="s">
        <v>183</v>
      </c>
      <c r="BS77" t="s">
        <v>159</v>
      </c>
      <c r="BT77"/>
      <c r="BU77"/>
      <c r="BV77"/>
      <c r="BW77"/>
      <c r="BX77"/>
      <c r="BY77"/>
      <c r="BZ77"/>
      <c r="CA77"/>
      <c r="CB77" t="s">
        <v>189</v>
      </c>
    </row>
    <row r="78" spans="1:81" ht="15" customHeight="1" x14ac:dyDescent="0.25">
      <c r="A78" s="274" t="s">
        <v>763</v>
      </c>
      <c r="B78" s="277" t="s">
        <v>444</v>
      </c>
      <c r="D78" s="275">
        <v>44371</v>
      </c>
      <c r="E78" s="275">
        <v>45467</v>
      </c>
      <c r="F78" s="275">
        <v>45139</v>
      </c>
      <c r="H78" s="274" t="s">
        <v>272</v>
      </c>
      <c r="I78" s="238" t="s">
        <v>303</v>
      </c>
      <c r="M78" s="277" t="s">
        <v>764</v>
      </c>
      <c r="N78" s="277" t="s">
        <v>765</v>
      </c>
      <c r="O78" s="276" t="s">
        <v>766</v>
      </c>
      <c r="Y78" s="276">
        <f t="shared" si="19"/>
        <v>0</v>
      </c>
      <c r="AC78" s="276">
        <v>1</v>
      </c>
      <c r="AI78" s="276">
        <f t="shared" si="20"/>
        <v>1</v>
      </c>
      <c r="AJ78">
        <f t="shared" si="21"/>
        <v>0</v>
      </c>
      <c r="AK78">
        <f t="shared" si="22"/>
        <v>0</v>
      </c>
      <c r="AL78">
        <f t="shared" si="23"/>
        <v>1</v>
      </c>
      <c r="AM78">
        <f t="shared" si="24"/>
        <v>0</v>
      </c>
      <c r="AN78">
        <f t="shared" si="25"/>
        <v>0</v>
      </c>
      <c r="AO78">
        <f t="shared" si="26"/>
        <v>0</v>
      </c>
      <c r="AP78">
        <f t="shared" si="27"/>
        <v>0</v>
      </c>
      <c r="AQ78">
        <f t="shared" si="28"/>
        <v>0</v>
      </c>
      <c r="AR78" s="276">
        <f t="shared" si="29"/>
        <v>1</v>
      </c>
      <c r="AT78" s="278"/>
      <c r="AU78" s="274">
        <v>1</v>
      </c>
      <c r="AY78" s="279"/>
      <c r="BD78" s="279"/>
      <c r="BK78" s="280">
        <f t="shared" si="30"/>
        <v>1</v>
      </c>
      <c r="BL78" s="274">
        <f t="shared" si="31"/>
        <v>1</v>
      </c>
      <c r="BP78" s="281">
        <v>513278</v>
      </c>
      <c r="BQ78" s="281">
        <v>171616</v>
      </c>
      <c r="BR78" s="296" t="s">
        <v>183</v>
      </c>
      <c r="BS78" t="s">
        <v>162</v>
      </c>
      <c r="BT78"/>
      <c r="BU78"/>
      <c r="BV78"/>
      <c r="BW78"/>
      <c r="BX78"/>
      <c r="BY78"/>
      <c r="BZ78"/>
      <c r="CA78"/>
      <c r="CB78" t="s">
        <v>189</v>
      </c>
      <c r="CC78" s="276" t="s">
        <v>325</v>
      </c>
    </row>
    <row r="79" spans="1:81" ht="15" customHeight="1" x14ac:dyDescent="0.25">
      <c r="A79" s="274" t="s">
        <v>767</v>
      </c>
      <c r="B79" s="277" t="s">
        <v>459</v>
      </c>
      <c r="D79" s="275">
        <v>44796</v>
      </c>
      <c r="E79" s="275">
        <v>45892</v>
      </c>
      <c r="F79" s="275">
        <v>44805</v>
      </c>
      <c r="H79" s="274" t="s">
        <v>272</v>
      </c>
      <c r="I79" s="238" t="s">
        <v>303</v>
      </c>
      <c r="M79" s="277" t="s">
        <v>768</v>
      </c>
      <c r="N79" s="277" t="s">
        <v>769</v>
      </c>
      <c r="O79" s="276" t="s">
        <v>770</v>
      </c>
      <c r="Y79" s="276">
        <f t="shared" si="19"/>
        <v>0</v>
      </c>
      <c r="AC79" s="276">
        <v>1</v>
      </c>
      <c r="AI79" s="276">
        <f t="shared" si="20"/>
        <v>1</v>
      </c>
      <c r="AJ79">
        <f t="shared" si="21"/>
        <v>0</v>
      </c>
      <c r="AK79">
        <f t="shared" si="22"/>
        <v>0</v>
      </c>
      <c r="AL79">
        <f t="shared" si="23"/>
        <v>1</v>
      </c>
      <c r="AM79">
        <f t="shared" si="24"/>
        <v>0</v>
      </c>
      <c r="AN79">
        <f t="shared" si="25"/>
        <v>0</v>
      </c>
      <c r="AO79">
        <f t="shared" si="26"/>
        <v>0</v>
      </c>
      <c r="AP79">
        <f t="shared" si="27"/>
        <v>0</v>
      </c>
      <c r="AQ79">
        <f t="shared" si="28"/>
        <v>0</v>
      </c>
      <c r="AR79" s="276">
        <f t="shared" si="29"/>
        <v>1</v>
      </c>
      <c r="AT79" s="278"/>
      <c r="AU79" s="274">
        <v>0.5</v>
      </c>
      <c r="AV79" s="274">
        <v>0.5</v>
      </c>
      <c r="AY79" s="279"/>
      <c r="BD79" s="279"/>
      <c r="BK79" s="280">
        <f t="shared" si="30"/>
        <v>1</v>
      </c>
      <c r="BL79" s="274">
        <f t="shared" si="31"/>
        <v>1</v>
      </c>
      <c r="BP79" s="281">
        <v>517302</v>
      </c>
      <c r="BQ79" s="281">
        <v>172517</v>
      </c>
      <c r="BR79" s="297" t="s">
        <v>182</v>
      </c>
      <c r="BS79" t="s">
        <v>160</v>
      </c>
      <c r="BT79"/>
      <c r="BU79"/>
      <c r="BV79"/>
      <c r="BW79"/>
      <c r="BX79" t="s">
        <v>771</v>
      </c>
      <c r="BY79" t="s">
        <v>772</v>
      </c>
      <c r="BZ79" t="s">
        <v>325</v>
      </c>
      <c r="CA79"/>
      <c r="CB79" t="s">
        <v>188</v>
      </c>
    </row>
    <row r="80" spans="1:81" ht="15" customHeight="1" x14ac:dyDescent="0.25">
      <c r="A80" s="274" t="s">
        <v>773</v>
      </c>
      <c r="B80" s="277" t="s">
        <v>444</v>
      </c>
      <c r="D80" s="275">
        <v>44594</v>
      </c>
      <c r="E80" s="275">
        <v>45690</v>
      </c>
      <c r="F80" s="239">
        <v>45180</v>
      </c>
      <c r="H80" s="274" t="s">
        <v>272</v>
      </c>
      <c r="I80" s="238" t="s">
        <v>303</v>
      </c>
      <c r="M80" s="277" t="s">
        <v>774</v>
      </c>
      <c r="N80" s="277" t="s">
        <v>775</v>
      </c>
      <c r="O80" s="276" t="s">
        <v>776</v>
      </c>
      <c r="Y80" s="276">
        <f t="shared" si="19"/>
        <v>0</v>
      </c>
      <c r="AC80" s="276">
        <v>3</v>
      </c>
      <c r="AI80" s="276">
        <f t="shared" si="20"/>
        <v>3</v>
      </c>
      <c r="AJ80">
        <f t="shared" si="21"/>
        <v>0</v>
      </c>
      <c r="AK80">
        <f t="shared" si="22"/>
        <v>0</v>
      </c>
      <c r="AL80">
        <f t="shared" si="23"/>
        <v>3</v>
      </c>
      <c r="AM80">
        <f t="shared" si="24"/>
        <v>0</v>
      </c>
      <c r="AN80">
        <f t="shared" si="25"/>
        <v>0</v>
      </c>
      <c r="AO80">
        <f t="shared" si="26"/>
        <v>0</v>
      </c>
      <c r="AP80">
        <f t="shared" si="27"/>
        <v>0</v>
      </c>
      <c r="AQ80">
        <f t="shared" si="28"/>
        <v>0</v>
      </c>
      <c r="AR80" s="276">
        <f t="shared" si="29"/>
        <v>3</v>
      </c>
      <c r="AT80" s="278"/>
      <c r="AU80" s="274">
        <v>3</v>
      </c>
      <c r="AY80" s="279"/>
      <c r="BD80" s="279"/>
      <c r="BK80" s="280">
        <f t="shared" si="30"/>
        <v>3</v>
      </c>
      <c r="BL80" s="274">
        <f t="shared" si="31"/>
        <v>3</v>
      </c>
      <c r="BP80" s="281">
        <v>513958</v>
      </c>
      <c r="BQ80" s="281">
        <v>171178</v>
      </c>
      <c r="BR80" s="296" t="s">
        <v>183</v>
      </c>
      <c r="BS80" t="s">
        <v>159</v>
      </c>
      <c r="BT80"/>
      <c r="BU80"/>
      <c r="BV80"/>
      <c r="BW80"/>
      <c r="BX80"/>
      <c r="BY80"/>
      <c r="BZ80"/>
      <c r="CA80"/>
      <c r="CB80" t="s">
        <v>189</v>
      </c>
    </row>
    <row r="81" spans="1:81" ht="15" customHeight="1" x14ac:dyDescent="0.25">
      <c r="A81" s="274" t="s">
        <v>777</v>
      </c>
      <c r="B81" s="277" t="s">
        <v>444</v>
      </c>
      <c r="D81" s="275">
        <v>44964</v>
      </c>
      <c r="E81" s="275">
        <v>46060</v>
      </c>
      <c r="F81" s="239">
        <v>45200</v>
      </c>
      <c r="H81" s="274" t="s">
        <v>272</v>
      </c>
      <c r="I81" s="238" t="s">
        <v>303</v>
      </c>
      <c r="M81" s="277" t="s">
        <v>778</v>
      </c>
      <c r="N81" s="277" t="s">
        <v>779</v>
      </c>
      <c r="O81" s="276" t="s">
        <v>780</v>
      </c>
      <c r="Y81" s="276">
        <f t="shared" si="19"/>
        <v>0</v>
      </c>
      <c r="AD81" s="276">
        <v>1</v>
      </c>
      <c r="AI81" s="276">
        <f t="shared" si="20"/>
        <v>1</v>
      </c>
      <c r="AJ81">
        <f t="shared" si="21"/>
        <v>0</v>
      </c>
      <c r="AK81">
        <f t="shared" si="22"/>
        <v>0</v>
      </c>
      <c r="AL81">
        <f t="shared" si="23"/>
        <v>0</v>
      </c>
      <c r="AM81">
        <f t="shared" si="24"/>
        <v>1</v>
      </c>
      <c r="AN81">
        <f t="shared" si="25"/>
        <v>0</v>
      </c>
      <c r="AO81">
        <f t="shared" si="26"/>
        <v>0</v>
      </c>
      <c r="AP81">
        <f t="shared" si="27"/>
        <v>0</v>
      </c>
      <c r="AQ81">
        <f t="shared" si="28"/>
        <v>0</v>
      </c>
      <c r="AR81" s="276">
        <f t="shared" si="29"/>
        <v>1</v>
      </c>
      <c r="AT81" s="278"/>
      <c r="AU81" s="274">
        <v>1</v>
      </c>
      <c r="AY81" s="279"/>
      <c r="BD81" s="279"/>
      <c r="BK81" s="280">
        <f t="shared" si="30"/>
        <v>1</v>
      </c>
      <c r="BL81" s="274">
        <f t="shared" si="31"/>
        <v>1</v>
      </c>
      <c r="BP81" s="281">
        <v>513293</v>
      </c>
      <c r="BQ81" s="281">
        <v>170928</v>
      </c>
      <c r="BR81" s="296" t="s">
        <v>183</v>
      </c>
      <c r="BS81" t="s">
        <v>162</v>
      </c>
      <c r="BT81"/>
      <c r="BU81"/>
      <c r="BV81"/>
      <c r="BW81"/>
      <c r="BX81"/>
      <c r="BY81"/>
      <c r="BZ81"/>
      <c r="CA81"/>
      <c r="CB81" t="s">
        <v>189</v>
      </c>
      <c r="CC81" s="276" t="s">
        <v>325</v>
      </c>
    </row>
    <row r="82" spans="1:81" ht="15" customHeight="1" x14ac:dyDescent="0.25">
      <c r="A82" s="274" t="s">
        <v>781</v>
      </c>
      <c r="B82" s="277" t="s">
        <v>444</v>
      </c>
      <c r="D82" s="275">
        <v>44782</v>
      </c>
      <c r="E82" s="275">
        <v>45878</v>
      </c>
      <c r="F82" s="275">
        <v>45108</v>
      </c>
      <c r="H82" s="274" t="s">
        <v>272</v>
      </c>
      <c r="I82" s="238" t="s">
        <v>303</v>
      </c>
      <c r="M82" s="277" t="s">
        <v>782</v>
      </c>
      <c r="N82" s="277" t="s">
        <v>783</v>
      </c>
      <c r="O82" s="276" t="s">
        <v>784</v>
      </c>
      <c r="T82" s="276">
        <v>1</v>
      </c>
      <c r="Y82" s="276">
        <f t="shared" si="19"/>
        <v>1</v>
      </c>
      <c r="AE82" s="276">
        <v>1</v>
      </c>
      <c r="AI82" s="276">
        <f t="shared" si="20"/>
        <v>1</v>
      </c>
      <c r="AJ82">
        <f t="shared" si="21"/>
        <v>0</v>
      </c>
      <c r="AK82">
        <f t="shared" si="22"/>
        <v>0</v>
      </c>
      <c r="AL82">
        <f t="shared" si="23"/>
        <v>0</v>
      </c>
      <c r="AM82">
        <f t="shared" si="24"/>
        <v>-1</v>
      </c>
      <c r="AN82">
        <f t="shared" si="25"/>
        <v>1</v>
      </c>
      <c r="AO82">
        <f t="shared" si="26"/>
        <v>0</v>
      </c>
      <c r="AP82">
        <f t="shared" si="27"/>
        <v>0</v>
      </c>
      <c r="AQ82">
        <f t="shared" si="28"/>
        <v>0</v>
      </c>
      <c r="AR82" s="276">
        <f t="shared" si="29"/>
        <v>0</v>
      </c>
      <c r="AT82" s="278"/>
      <c r="AU82" s="274">
        <v>0</v>
      </c>
      <c r="AY82" s="279"/>
      <c r="BD82" s="279"/>
      <c r="BK82" s="280">
        <f t="shared" si="30"/>
        <v>0</v>
      </c>
      <c r="BL82" s="274">
        <f t="shared" si="31"/>
        <v>0</v>
      </c>
      <c r="BP82" s="281">
        <v>517552</v>
      </c>
      <c r="BQ82" s="281">
        <v>172166</v>
      </c>
      <c r="BR82" s="297" t="s">
        <v>182</v>
      </c>
      <c r="BS82" t="s">
        <v>160</v>
      </c>
      <c r="BT82"/>
      <c r="BU82"/>
      <c r="BV82"/>
      <c r="BW82"/>
      <c r="BX82"/>
      <c r="BY82" t="s">
        <v>785</v>
      </c>
      <c r="BZ82" t="s">
        <v>325</v>
      </c>
      <c r="CA82"/>
      <c r="CB82" t="s">
        <v>188</v>
      </c>
    </row>
    <row r="83" spans="1:81" ht="15" customHeight="1" x14ac:dyDescent="0.25">
      <c r="A83" s="274" t="s">
        <v>786</v>
      </c>
      <c r="B83" s="277" t="s">
        <v>459</v>
      </c>
      <c r="D83" s="275">
        <v>38194</v>
      </c>
      <c r="E83" s="275">
        <v>40017</v>
      </c>
      <c r="F83" s="275">
        <v>39995</v>
      </c>
      <c r="H83" s="274" t="s">
        <v>272</v>
      </c>
      <c r="I83" s="238" t="s">
        <v>303</v>
      </c>
      <c r="M83" s="277" t="s">
        <v>787</v>
      </c>
      <c r="N83" s="277" t="s">
        <v>788</v>
      </c>
      <c r="O83" s="276" t="s">
        <v>789</v>
      </c>
      <c r="Y83" s="276">
        <f t="shared" si="19"/>
        <v>0</v>
      </c>
      <c r="AA83" s="276">
        <v>1</v>
      </c>
      <c r="AI83" s="276">
        <f t="shared" si="20"/>
        <v>1</v>
      </c>
      <c r="AJ83">
        <f t="shared" si="21"/>
        <v>1</v>
      </c>
      <c r="AK83">
        <f t="shared" si="22"/>
        <v>0</v>
      </c>
      <c r="AL83">
        <f t="shared" si="23"/>
        <v>0</v>
      </c>
      <c r="AM83">
        <f t="shared" si="24"/>
        <v>0</v>
      </c>
      <c r="AN83">
        <f t="shared" si="25"/>
        <v>0</v>
      </c>
      <c r="AO83">
        <f t="shared" si="26"/>
        <v>0</v>
      </c>
      <c r="AP83">
        <f t="shared" si="27"/>
        <v>0</v>
      </c>
      <c r="AQ83">
        <f t="shared" si="28"/>
        <v>0</v>
      </c>
      <c r="AR83" s="276">
        <f t="shared" si="29"/>
        <v>1</v>
      </c>
      <c r="AT83" s="278"/>
      <c r="AU83" s="274">
        <v>0.5</v>
      </c>
      <c r="AV83" s="274">
        <v>0.5</v>
      </c>
      <c r="AY83" s="279"/>
      <c r="BD83" s="279"/>
      <c r="BK83" s="280">
        <f t="shared" si="30"/>
        <v>1</v>
      </c>
      <c r="BL83" s="274">
        <f t="shared" si="31"/>
        <v>1</v>
      </c>
      <c r="BP83" s="281">
        <v>517419</v>
      </c>
      <c r="BQ83" s="281">
        <v>169715</v>
      </c>
      <c r="BR83" s="296" t="s">
        <v>183</v>
      </c>
      <c r="BS83" t="s">
        <v>163</v>
      </c>
      <c r="BT83"/>
      <c r="BU83"/>
      <c r="BV83" t="s">
        <v>790</v>
      </c>
      <c r="BW83" t="s">
        <v>325</v>
      </c>
      <c r="BX83"/>
      <c r="BY83" t="s">
        <v>791</v>
      </c>
      <c r="BZ83" t="s">
        <v>325</v>
      </c>
      <c r="CA83" t="s">
        <v>325</v>
      </c>
      <c r="CB83" t="s">
        <v>192</v>
      </c>
    </row>
    <row r="84" spans="1:81" ht="15" customHeight="1" x14ac:dyDescent="0.25">
      <c r="A84" s="274" t="s">
        <v>792</v>
      </c>
      <c r="B84" s="277" t="s">
        <v>444</v>
      </c>
      <c r="D84" s="275">
        <v>40609</v>
      </c>
      <c r="E84" s="275">
        <v>41705</v>
      </c>
      <c r="F84" s="275">
        <v>40609</v>
      </c>
      <c r="H84" s="274" t="s">
        <v>272</v>
      </c>
      <c r="I84" s="238" t="s">
        <v>303</v>
      </c>
      <c r="J84" s="276" t="s">
        <v>327</v>
      </c>
      <c r="M84" s="277" t="s">
        <v>793</v>
      </c>
      <c r="N84" s="277" t="s">
        <v>794</v>
      </c>
      <c r="Y84" s="276">
        <f t="shared" si="19"/>
        <v>0</v>
      </c>
      <c r="AA84" s="276">
        <v>4</v>
      </c>
      <c r="AB84" s="276">
        <v>7</v>
      </c>
      <c r="AI84" s="276">
        <f t="shared" si="20"/>
        <v>11</v>
      </c>
      <c r="AJ84">
        <f t="shared" si="21"/>
        <v>4</v>
      </c>
      <c r="AK84">
        <f t="shared" si="22"/>
        <v>7</v>
      </c>
      <c r="AL84">
        <f t="shared" si="23"/>
        <v>0</v>
      </c>
      <c r="AM84">
        <f t="shared" si="24"/>
        <v>0</v>
      </c>
      <c r="AN84">
        <f t="shared" si="25"/>
        <v>0</v>
      </c>
      <c r="AO84">
        <f t="shared" si="26"/>
        <v>0</v>
      </c>
      <c r="AP84">
        <f t="shared" si="27"/>
        <v>0</v>
      </c>
      <c r="AQ84">
        <f t="shared" si="28"/>
        <v>0</v>
      </c>
      <c r="AR84" s="276">
        <f t="shared" si="29"/>
        <v>11</v>
      </c>
      <c r="AT84" s="278"/>
      <c r="AU84" s="234">
        <v>2.75</v>
      </c>
      <c r="AV84" s="234">
        <v>2.75</v>
      </c>
      <c r="AW84" s="234">
        <v>2.75</v>
      </c>
      <c r="AX84" s="234">
        <v>2.75</v>
      </c>
      <c r="AY84" s="279"/>
      <c r="BD84" s="279"/>
      <c r="BK84" s="280">
        <f t="shared" si="30"/>
        <v>11</v>
      </c>
      <c r="BL84" s="274">
        <f t="shared" si="31"/>
        <v>11</v>
      </c>
      <c r="BP84" s="281">
        <v>517650</v>
      </c>
      <c r="BQ84" s="281">
        <v>169624</v>
      </c>
      <c r="BR84" s="296" t="s">
        <v>183</v>
      </c>
      <c r="BS84" t="s">
        <v>163</v>
      </c>
      <c r="BT84"/>
      <c r="BU84" t="s">
        <v>142</v>
      </c>
      <c r="BV84" t="s">
        <v>790</v>
      </c>
      <c r="BW84" t="s">
        <v>325</v>
      </c>
      <c r="BX84"/>
      <c r="BY84" t="s">
        <v>791</v>
      </c>
      <c r="BZ84" t="s">
        <v>325</v>
      </c>
      <c r="CA84" t="s">
        <v>325</v>
      </c>
      <c r="CB84" t="s">
        <v>192</v>
      </c>
    </row>
    <row r="85" spans="1:81" ht="15" customHeight="1" x14ac:dyDescent="0.25">
      <c r="A85" s="274" t="s">
        <v>795</v>
      </c>
      <c r="B85" s="277" t="s">
        <v>444</v>
      </c>
      <c r="D85" s="275">
        <v>43041</v>
      </c>
      <c r="E85" s="275">
        <v>44654</v>
      </c>
      <c r="F85" s="275">
        <v>44636</v>
      </c>
      <c r="H85" s="274" t="s">
        <v>272</v>
      </c>
      <c r="I85" s="238" t="s">
        <v>303</v>
      </c>
      <c r="M85" s="277" t="s">
        <v>796</v>
      </c>
      <c r="N85" s="277" t="s">
        <v>797</v>
      </c>
      <c r="O85" s="276" t="s">
        <v>798</v>
      </c>
      <c r="Q85" s="276">
        <v>3</v>
      </c>
      <c r="Y85" s="276">
        <f t="shared" si="19"/>
        <v>3</v>
      </c>
      <c r="AA85" s="276">
        <v>1</v>
      </c>
      <c r="AB85" s="276">
        <v>7</v>
      </c>
      <c r="AI85" s="276">
        <f t="shared" si="20"/>
        <v>8</v>
      </c>
      <c r="AJ85">
        <f t="shared" si="21"/>
        <v>-2</v>
      </c>
      <c r="AK85">
        <f t="shared" si="22"/>
        <v>7</v>
      </c>
      <c r="AL85">
        <f t="shared" si="23"/>
        <v>0</v>
      </c>
      <c r="AM85">
        <f t="shared" si="24"/>
        <v>0</v>
      </c>
      <c r="AN85">
        <f t="shared" si="25"/>
        <v>0</v>
      </c>
      <c r="AO85">
        <f t="shared" si="26"/>
        <v>0</v>
      </c>
      <c r="AP85">
        <f t="shared" si="27"/>
        <v>0</v>
      </c>
      <c r="AQ85">
        <f t="shared" si="28"/>
        <v>0</v>
      </c>
      <c r="AR85" s="276">
        <f t="shared" si="29"/>
        <v>5</v>
      </c>
      <c r="AT85" s="278"/>
      <c r="AV85" s="274">
        <v>2.5</v>
      </c>
      <c r="AW85" s="274">
        <v>2.5</v>
      </c>
      <c r="AY85" s="279"/>
      <c r="BD85" s="279"/>
      <c r="BK85" s="280">
        <f t="shared" si="30"/>
        <v>5</v>
      </c>
      <c r="BL85" s="274">
        <f t="shared" si="31"/>
        <v>5</v>
      </c>
      <c r="BP85" s="281">
        <v>517622</v>
      </c>
      <c r="BQ85" s="281">
        <v>169605</v>
      </c>
      <c r="BR85" s="296" t="s">
        <v>183</v>
      </c>
      <c r="BS85" t="s">
        <v>163</v>
      </c>
      <c r="BT85"/>
      <c r="BU85" t="s">
        <v>142</v>
      </c>
      <c r="BV85" t="s">
        <v>790</v>
      </c>
      <c r="BW85" t="s">
        <v>325</v>
      </c>
      <c r="BX85"/>
      <c r="BY85" t="s">
        <v>791</v>
      </c>
      <c r="BZ85" t="s">
        <v>325</v>
      </c>
      <c r="CA85" t="s">
        <v>325</v>
      </c>
      <c r="CB85" t="s">
        <v>192</v>
      </c>
    </row>
    <row r="86" spans="1:81" ht="15" customHeight="1" x14ac:dyDescent="0.25">
      <c r="A86" s="274" t="s">
        <v>799</v>
      </c>
      <c r="B86" s="277" t="s">
        <v>532</v>
      </c>
      <c r="D86" s="275">
        <v>44092</v>
      </c>
      <c r="E86" s="275">
        <v>45187</v>
      </c>
      <c r="F86" s="275">
        <v>45016</v>
      </c>
      <c r="H86" s="274" t="s">
        <v>272</v>
      </c>
      <c r="I86" s="238" t="s">
        <v>303</v>
      </c>
      <c r="M86" s="277" t="s">
        <v>800</v>
      </c>
      <c r="N86" s="277" t="s">
        <v>801</v>
      </c>
      <c r="O86" s="276" t="s">
        <v>789</v>
      </c>
      <c r="Y86" s="276">
        <f t="shared" si="19"/>
        <v>0</v>
      </c>
      <c r="AA86" s="276">
        <v>1</v>
      </c>
      <c r="AI86" s="276">
        <f t="shared" si="20"/>
        <v>1</v>
      </c>
      <c r="AJ86">
        <f t="shared" si="21"/>
        <v>1</v>
      </c>
      <c r="AK86">
        <f t="shared" si="22"/>
        <v>0</v>
      </c>
      <c r="AL86">
        <f t="shared" si="23"/>
        <v>0</v>
      </c>
      <c r="AM86">
        <f t="shared" si="24"/>
        <v>0</v>
      </c>
      <c r="AN86">
        <f t="shared" si="25"/>
        <v>0</v>
      </c>
      <c r="AO86">
        <f t="shared" si="26"/>
        <v>0</v>
      </c>
      <c r="AP86">
        <f t="shared" si="27"/>
        <v>0</v>
      </c>
      <c r="AQ86">
        <f t="shared" si="28"/>
        <v>0</v>
      </c>
      <c r="AR86" s="276">
        <f t="shared" si="29"/>
        <v>1</v>
      </c>
      <c r="AT86" s="278"/>
      <c r="AU86" s="274">
        <v>0.5</v>
      </c>
      <c r="AV86" s="274">
        <v>0.5</v>
      </c>
      <c r="AY86" s="279"/>
      <c r="BD86" s="279"/>
      <c r="BK86" s="280">
        <f t="shared" si="30"/>
        <v>1</v>
      </c>
      <c r="BL86" s="274">
        <f t="shared" si="31"/>
        <v>1</v>
      </c>
      <c r="BP86" s="281">
        <v>517423</v>
      </c>
      <c r="BQ86" s="281">
        <v>169711</v>
      </c>
      <c r="BR86" s="296" t="s">
        <v>183</v>
      </c>
      <c r="BS86" t="s">
        <v>163</v>
      </c>
      <c r="BT86"/>
      <c r="BU86"/>
      <c r="BV86" t="s">
        <v>790</v>
      </c>
      <c r="BW86" t="s">
        <v>325</v>
      </c>
      <c r="BX86"/>
      <c r="BY86" t="s">
        <v>791</v>
      </c>
      <c r="BZ86" t="s">
        <v>325</v>
      </c>
      <c r="CA86" t="s">
        <v>325</v>
      </c>
      <c r="CB86" t="s">
        <v>192</v>
      </c>
    </row>
    <row r="87" spans="1:81" ht="15" customHeight="1" x14ac:dyDescent="0.25">
      <c r="A87" s="274" t="s">
        <v>802</v>
      </c>
      <c r="B87" s="274" t="s">
        <v>459</v>
      </c>
      <c r="C87" s="274"/>
      <c r="D87" s="275">
        <v>44754</v>
      </c>
      <c r="E87" s="275">
        <v>45850</v>
      </c>
      <c r="F87" s="239">
        <v>45047</v>
      </c>
      <c r="H87" s="274" t="s">
        <v>272</v>
      </c>
      <c r="I87" s="238" t="s">
        <v>303</v>
      </c>
      <c r="M87" s="277" t="s">
        <v>803</v>
      </c>
      <c r="N87" s="277" t="s">
        <v>804</v>
      </c>
      <c r="O87" s="276" t="s">
        <v>805</v>
      </c>
      <c r="Y87" s="276">
        <f t="shared" si="19"/>
        <v>0</v>
      </c>
      <c r="AA87" s="276">
        <v>1</v>
      </c>
      <c r="AB87" s="276">
        <v>3</v>
      </c>
      <c r="AI87" s="276">
        <f t="shared" si="20"/>
        <v>4</v>
      </c>
      <c r="AJ87">
        <f t="shared" si="21"/>
        <v>1</v>
      </c>
      <c r="AK87">
        <f t="shared" si="22"/>
        <v>3</v>
      </c>
      <c r="AL87">
        <f t="shared" si="23"/>
        <v>0</v>
      </c>
      <c r="AM87">
        <f t="shared" si="24"/>
        <v>0</v>
      </c>
      <c r="AN87">
        <f t="shared" si="25"/>
        <v>0</v>
      </c>
      <c r="AO87">
        <f t="shared" si="26"/>
        <v>0</v>
      </c>
      <c r="AP87">
        <f t="shared" si="27"/>
        <v>0</v>
      </c>
      <c r="AQ87">
        <f t="shared" si="28"/>
        <v>0</v>
      </c>
      <c r="AR87" s="276">
        <f t="shared" si="29"/>
        <v>4</v>
      </c>
      <c r="AT87" s="278"/>
      <c r="AV87" s="274">
        <v>2</v>
      </c>
      <c r="AW87" s="274">
        <v>2</v>
      </c>
      <c r="AY87" s="279"/>
      <c r="BD87" s="279"/>
      <c r="BK87" s="280">
        <f t="shared" si="30"/>
        <v>4</v>
      </c>
      <c r="BL87" s="274">
        <f t="shared" si="31"/>
        <v>4</v>
      </c>
      <c r="BP87" s="281">
        <v>517498</v>
      </c>
      <c r="BQ87" s="281">
        <v>169337</v>
      </c>
      <c r="BR87" s="296" t="s">
        <v>183</v>
      </c>
      <c r="BS87" t="s">
        <v>163</v>
      </c>
      <c r="BT87"/>
      <c r="BU87" t="s">
        <v>142</v>
      </c>
      <c r="BV87" t="s">
        <v>790</v>
      </c>
      <c r="BW87" t="s">
        <v>325</v>
      </c>
      <c r="BX87" t="s">
        <v>806</v>
      </c>
      <c r="BY87" t="s">
        <v>791</v>
      </c>
      <c r="BZ87" t="s">
        <v>325</v>
      </c>
      <c r="CA87" t="s">
        <v>325</v>
      </c>
      <c r="CB87" t="s">
        <v>189</v>
      </c>
    </row>
    <row r="88" spans="1:81" ht="15" customHeight="1" x14ac:dyDescent="0.25">
      <c r="A88" s="274" t="s">
        <v>807</v>
      </c>
      <c r="B88" s="277" t="s">
        <v>459</v>
      </c>
      <c r="C88" s="274" t="s">
        <v>293</v>
      </c>
      <c r="D88" s="275">
        <v>45124</v>
      </c>
      <c r="E88" s="275">
        <v>46220</v>
      </c>
      <c r="F88" s="275">
        <v>45124</v>
      </c>
      <c r="H88" s="274" t="s">
        <v>272</v>
      </c>
      <c r="I88" s="238" t="s">
        <v>303</v>
      </c>
      <c r="M88" s="277" t="s">
        <v>808</v>
      </c>
      <c r="N88" s="277" t="s">
        <v>809</v>
      </c>
      <c r="O88" s="276" t="s">
        <v>810</v>
      </c>
      <c r="Y88" s="276">
        <f t="shared" si="19"/>
        <v>0</v>
      </c>
      <c r="AA88" s="276">
        <v>4</v>
      </c>
      <c r="AB88" s="276">
        <v>1</v>
      </c>
      <c r="AI88" s="276">
        <f t="shared" si="20"/>
        <v>5</v>
      </c>
      <c r="AJ88">
        <f t="shared" si="21"/>
        <v>4</v>
      </c>
      <c r="AK88">
        <f t="shared" si="22"/>
        <v>1</v>
      </c>
      <c r="AL88">
        <f t="shared" si="23"/>
        <v>0</v>
      </c>
      <c r="AM88">
        <f t="shared" si="24"/>
        <v>0</v>
      </c>
      <c r="AN88">
        <f t="shared" si="25"/>
        <v>0</v>
      </c>
      <c r="AO88">
        <f t="shared" si="26"/>
        <v>0</v>
      </c>
      <c r="AP88">
        <f t="shared" si="27"/>
        <v>0</v>
      </c>
      <c r="AQ88">
        <f t="shared" si="28"/>
        <v>0</v>
      </c>
      <c r="AR88" s="276">
        <f t="shared" si="29"/>
        <v>5</v>
      </c>
      <c r="AT88" s="278"/>
      <c r="AU88" s="274">
        <v>5</v>
      </c>
      <c r="AY88" s="279"/>
      <c r="BD88" s="279"/>
      <c r="BK88" s="280">
        <f t="shared" si="30"/>
        <v>5</v>
      </c>
      <c r="BL88" s="274">
        <f t="shared" si="31"/>
        <v>5</v>
      </c>
      <c r="BP88" s="281">
        <v>517458</v>
      </c>
      <c r="BQ88" s="281">
        <v>169588</v>
      </c>
      <c r="BR88" s="296" t="s">
        <v>183</v>
      </c>
      <c r="BS88" t="s">
        <v>163</v>
      </c>
      <c r="BT88"/>
      <c r="BU88"/>
      <c r="BV88" t="s">
        <v>790</v>
      </c>
      <c r="BW88" t="s">
        <v>325</v>
      </c>
      <c r="BX88"/>
      <c r="BY88" t="s">
        <v>791</v>
      </c>
      <c r="BZ88" t="s">
        <v>325</v>
      </c>
      <c r="CA88" t="s">
        <v>325</v>
      </c>
      <c r="CB88" t="s">
        <v>192</v>
      </c>
    </row>
    <row r="89" spans="1:81" ht="15" customHeight="1" x14ac:dyDescent="0.25">
      <c r="A89" s="274" t="s">
        <v>811</v>
      </c>
      <c r="B89" s="277" t="s">
        <v>532</v>
      </c>
      <c r="D89" s="275">
        <v>44239</v>
      </c>
      <c r="E89" s="239">
        <v>45334</v>
      </c>
      <c r="F89" s="239">
        <v>45201</v>
      </c>
      <c r="H89" s="274" t="s">
        <v>272</v>
      </c>
      <c r="I89" s="238" t="s">
        <v>303</v>
      </c>
      <c r="M89" s="277" t="s">
        <v>812</v>
      </c>
      <c r="N89" s="277" t="s">
        <v>813</v>
      </c>
      <c r="O89" s="276" t="s">
        <v>814</v>
      </c>
      <c r="Y89" s="276">
        <f t="shared" si="19"/>
        <v>0</v>
      </c>
      <c r="AA89" s="276">
        <v>1</v>
      </c>
      <c r="AI89" s="276">
        <f t="shared" si="20"/>
        <v>1</v>
      </c>
      <c r="AJ89">
        <f t="shared" si="21"/>
        <v>1</v>
      </c>
      <c r="AK89">
        <f t="shared" si="22"/>
        <v>0</v>
      </c>
      <c r="AL89">
        <f t="shared" si="23"/>
        <v>0</v>
      </c>
      <c r="AM89">
        <f t="shared" si="24"/>
        <v>0</v>
      </c>
      <c r="AN89">
        <f t="shared" si="25"/>
        <v>0</v>
      </c>
      <c r="AO89">
        <f t="shared" si="26"/>
        <v>0</v>
      </c>
      <c r="AP89">
        <f t="shared" si="27"/>
        <v>0</v>
      </c>
      <c r="AQ89">
        <f t="shared" si="28"/>
        <v>0</v>
      </c>
      <c r="AR89" s="276">
        <f t="shared" si="29"/>
        <v>1</v>
      </c>
      <c r="AT89" s="278"/>
      <c r="AU89" s="274">
        <v>1</v>
      </c>
      <c r="AY89" s="279"/>
      <c r="BD89" s="279"/>
      <c r="BK89" s="280">
        <f t="shared" si="30"/>
        <v>1</v>
      </c>
      <c r="BL89" s="274">
        <f t="shared" si="31"/>
        <v>1</v>
      </c>
      <c r="BP89" s="281">
        <v>514515</v>
      </c>
      <c r="BQ89" s="281">
        <v>171261</v>
      </c>
      <c r="BR89" s="296" t="s">
        <v>183</v>
      </c>
      <c r="BS89" t="s">
        <v>159</v>
      </c>
      <c r="BT89"/>
      <c r="BU89"/>
      <c r="BV89" t="s">
        <v>739</v>
      </c>
      <c r="BW89" t="s">
        <v>325</v>
      </c>
      <c r="BX89"/>
      <c r="BY89"/>
      <c r="BZ89"/>
      <c r="CA89" t="s">
        <v>325</v>
      </c>
      <c r="CB89" t="s">
        <v>189</v>
      </c>
    </row>
    <row r="90" spans="1:81" ht="15" customHeight="1" x14ac:dyDescent="0.25">
      <c r="A90" s="274" t="s">
        <v>815</v>
      </c>
      <c r="B90" s="277" t="s">
        <v>444</v>
      </c>
      <c r="D90" s="275">
        <v>45146</v>
      </c>
      <c r="E90" s="275">
        <v>46242</v>
      </c>
      <c r="F90" s="275">
        <v>45146</v>
      </c>
      <c r="H90" s="274" t="s">
        <v>272</v>
      </c>
      <c r="I90" s="238" t="s">
        <v>303</v>
      </c>
      <c r="M90" s="277" t="s">
        <v>816</v>
      </c>
      <c r="N90" s="277" t="s">
        <v>817</v>
      </c>
      <c r="O90" s="276" t="s">
        <v>818</v>
      </c>
      <c r="Y90" s="276">
        <f t="shared" si="19"/>
        <v>0</v>
      </c>
      <c r="AA90" s="276">
        <v>3</v>
      </c>
      <c r="AB90" s="276">
        <v>6</v>
      </c>
      <c r="AI90" s="276">
        <f t="shared" si="20"/>
        <v>9</v>
      </c>
      <c r="AJ90">
        <f t="shared" si="21"/>
        <v>3</v>
      </c>
      <c r="AK90">
        <f t="shared" si="22"/>
        <v>6</v>
      </c>
      <c r="AL90">
        <f t="shared" si="23"/>
        <v>0</v>
      </c>
      <c r="AM90">
        <f t="shared" si="24"/>
        <v>0</v>
      </c>
      <c r="AN90">
        <f t="shared" si="25"/>
        <v>0</v>
      </c>
      <c r="AO90">
        <f t="shared" si="26"/>
        <v>0</v>
      </c>
      <c r="AP90">
        <f t="shared" si="27"/>
        <v>0</v>
      </c>
      <c r="AQ90">
        <f t="shared" si="28"/>
        <v>0</v>
      </c>
      <c r="AR90" s="276">
        <f t="shared" si="29"/>
        <v>9</v>
      </c>
      <c r="AT90" s="278"/>
      <c r="AU90" s="274">
        <v>4.5</v>
      </c>
      <c r="AV90" s="274">
        <v>4.5</v>
      </c>
      <c r="AY90" s="279"/>
      <c r="BD90" s="279"/>
      <c r="BK90" s="280">
        <f t="shared" si="30"/>
        <v>9</v>
      </c>
      <c r="BL90" s="274">
        <f t="shared" si="31"/>
        <v>9</v>
      </c>
      <c r="BP90" s="281">
        <v>521492</v>
      </c>
      <c r="BQ90" s="281">
        <v>175545</v>
      </c>
      <c r="BR90" s="296" t="s">
        <v>181</v>
      </c>
      <c r="BS90" t="s">
        <v>166</v>
      </c>
      <c r="BT90"/>
      <c r="BU90"/>
      <c r="BV90" t="s">
        <v>509</v>
      </c>
      <c r="BW90" t="s">
        <v>325</v>
      </c>
      <c r="BX90"/>
      <c r="BY90"/>
      <c r="BZ90"/>
      <c r="CA90" t="s">
        <v>325</v>
      </c>
      <c r="CB90" t="s">
        <v>158</v>
      </c>
    </row>
    <row r="91" spans="1:81" ht="15" customHeight="1" x14ac:dyDescent="0.25">
      <c r="A91" s="274" t="s">
        <v>819</v>
      </c>
      <c r="B91" s="277" t="s">
        <v>459</v>
      </c>
      <c r="D91" s="275">
        <v>43300</v>
      </c>
      <c r="E91" s="275">
        <v>44396</v>
      </c>
      <c r="F91" s="275">
        <v>44382</v>
      </c>
      <c r="H91" s="274" t="s">
        <v>272</v>
      </c>
      <c r="I91" s="238" t="s">
        <v>303</v>
      </c>
      <c r="M91" s="277" t="s">
        <v>820</v>
      </c>
      <c r="N91" s="277" t="s">
        <v>821</v>
      </c>
      <c r="O91" s="276" t="s">
        <v>822</v>
      </c>
      <c r="Y91" s="276">
        <f t="shared" si="19"/>
        <v>0</v>
      </c>
      <c r="AB91" s="276">
        <v>2</v>
      </c>
      <c r="AI91" s="276">
        <f t="shared" si="20"/>
        <v>2</v>
      </c>
      <c r="AJ91">
        <f t="shared" si="21"/>
        <v>0</v>
      </c>
      <c r="AK91">
        <f t="shared" si="22"/>
        <v>2</v>
      </c>
      <c r="AL91">
        <f t="shared" si="23"/>
        <v>0</v>
      </c>
      <c r="AM91">
        <f t="shared" si="24"/>
        <v>0</v>
      </c>
      <c r="AN91">
        <f t="shared" si="25"/>
        <v>0</v>
      </c>
      <c r="AO91">
        <f t="shared" si="26"/>
        <v>0</v>
      </c>
      <c r="AP91">
        <f t="shared" si="27"/>
        <v>0</v>
      </c>
      <c r="AQ91">
        <f t="shared" si="28"/>
        <v>0</v>
      </c>
      <c r="AR91" s="276">
        <f t="shared" si="29"/>
        <v>2</v>
      </c>
      <c r="AT91" s="278"/>
      <c r="AV91" s="274">
        <v>1</v>
      </c>
      <c r="AW91" s="274">
        <v>1</v>
      </c>
      <c r="AY91" s="279"/>
      <c r="BD91" s="279"/>
      <c r="BK91" s="280">
        <f t="shared" si="30"/>
        <v>2</v>
      </c>
      <c r="BL91" s="274">
        <f t="shared" si="31"/>
        <v>2</v>
      </c>
      <c r="BP91" s="281">
        <v>518392</v>
      </c>
      <c r="BQ91" s="281">
        <v>175032</v>
      </c>
      <c r="BR91" s="296" t="s">
        <v>141</v>
      </c>
      <c r="BS91" t="s">
        <v>168</v>
      </c>
      <c r="BT91"/>
      <c r="BU91"/>
      <c r="BV91" t="s">
        <v>514</v>
      </c>
      <c r="BW91" t="s">
        <v>325</v>
      </c>
      <c r="BX91"/>
      <c r="BY91" t="s">
        <v>515</v>
      </c>
      <c r="BZ91" t="s">
        <v>325</v>
      </c>
      <c r="CA91" t="s">
        <v>325</v>
      </c>
      <c r="CB91" t="s">
        <v>191</v>
      </c>
    </row>
    <row r="92" spans="1:81" ht="15" customHeight="1" x14ac:dyDescent="0.25">
      <c r="A92" s="274" t="s">
        <v>823</v>
      </c>
      <c r="B92" s="277" t="s">
        <v>481</v>
      </c>
      <c r="D92" s="275">
        <v>41486</v>
      </c>
      <c r="E92" s="275">
        <v>42582</v>
      </c>
      <c r="F92" s="275">
        <v>42565</v>
      </c>
      <c r="H92" s="274" t="s">
        <v>272</v>
      </c>
      <c r="I92" s="238" t="s">
        <v>303</v>
      </c>
      <c r="M92" s="277" t="s">
        <v>824</v>
      </c>
      <c r="N92" s="277" t="s">
        <v>825</v>
      </c>
      <c r="O92" s="276" t="s">
        <v>826</v>
      </c>
      <c r="Q92" s="276">
        <v>1</v>
      </c>
      <c r="R92" s="276">
        <v>1</v>
      </c>
      <c r="Y92" s="276">
        <f t="shared" si="19"/>
        <v>2</v>
      </c>
      <c r="AA92" s="276">
        <v>3</v>
      </c>
      <c r="AB92" s="276">
        <v>2</v>
      </c>
      <c r="AC92" s="276">
        <v>1</v>
      </c>
      <c r="AI92" s="276">
        <f t="shared" si="20"/>
        <v>6</v>
      </c>
      <c r="AJ92">
        <f t="shared" si="21"/>
        <v>2</v>
      </c>
      <c r="AK92">
        <f t="shared" si="22"/>
        <v>1</v>
      </c>
      <c r="AL92">
        <f t="shared" si="23"/>
        <v>1</v>
      </c>
      <c r="AM92">
        <f t="shared" si="24"/>
        <v>0</v>
      </c>
      <c r="AN92">
        <f t="shared" si="25"/>
        <v>0</v>
      </c>
      <c r="AO92">
        <f t="shared" si="26"/>
        <v>0</v>
      </c>
      <c r="AP92">
        <f t="shared" si="27"/>
        <v>0</v>
      </c>
      <c r="AQ92">
        <f t="shared" si="28"/>
        <v>0</v>
      </c>
      <c r="AR92" s="276">
        <f t="shared" si="29"/>
        <v>4</v>
      </c>
      <c r="AT92" s="278"/>
      <c r="AU92" s="274">
        <v>0.5</v>
      </c>
      <c r="AV92" s="274">
        <v>0.5</v>
      </c>
      <c r="AW92" s="274">
        <v>0.5</v>
      </c>
      <c r="AX92" s="274">
        <v>0.5</v>
      </c>
      <c r="AY92" s="279"/>
      <c r="BD92" s="279"/>
      <c r="BK92" s="280">
        <f t="shared" si="30"/>
        <v>2</v>
      </c>
      <c r="BL92" s="274">
        <f t="shared" si="31"/>
        <v>2</v>
      </c>
      <c r="BP92" s="281">
        <v>513865</v>
      </c>
      <c r="BQ92" s="281">
        <v>169502</v>
      </c>
      <c r="BR92" s="296" t="s">
        <v>183</v>
      </c>
      <c r="BS92" t="s">
        <v>161</v>
      </c>
      <c r="BT92"/>
      <c r="BU92" t="s">
        <v>142</v>
      </c>
      <c r="BV92" t="s">
        <v>827</v>
      </c>
      <c r="BW92" t="s">
        <v>325</v>
      </c>
      <c r="BX92"/>
      <c r="BY92" t="s">
        <v>457</v>
      </c>
      <c r="BZ92" t="s">
        <v>325</v>
      </c>
      <c r="CA92" t="s">
        <v>325</v>
      </c>
      <c r="CB92" t="s">
        <v>189</v>
      </c>
    </row>
    <row r="93" spans="1:81" ht="15" customHeight="1" x14ac:dyDescent="0.25">
      <c r="A93" s="274" t="s">
        <v>828</v>
      </c>
      <c r="B93" s="277" t="s">
        <v>542</v>
      </c>
      <c r="D93" s="275">
        <v>44098</v>
      </c>
      <c r="E93" s="239">
        <v>45193</v>
      </c>
      <c r="F93" s="239">
        <v>45170</v>
      </c>
      <c r="H93" s="274" t="s">
        <v>272</v>
      </c>
      <c r="I93" s="238" t="s">
        <v>303</v>
      </c>
      <c r="M93" s="277" t="s">
        <v>829</v>
      </c>
      <c r="N93" s="277" t="s">
        <v>830</v>
      </c>
      <c r="O93" s="276" t="s">
        <v>831</v>
      </c>
      <c r="Y93" s="276">
        <f t="shared" si="19"/>
        <v>0</v>
      </c>
      <c r="AA93" s="276">
        <v>1</v>
      </c>
      <c r="AI93" s="276">
        <f t="shared" si="20"/>
        <v>1</v>
      </c>
      <c r="AJ93">
        <f t="shared" si="21"/>
        <v>1</v>
      </c>
      <c r="AK93">
        <f t="shared" si="22"/>
        <v>0</v>
      </c>
      <c r="AL93">
        <f t="shared" si="23"/>
        <v>0</v>
      </c>
      <c r="AM93">
        <f t="shared" si="24"/>
        <v>0</v>
      </c>
      <c r="AN93">
        <f t="shared" si="25"/>
        <v>0</v>
      </c>
      <c r="AO93">
        <f t="shared" si="26"/>
        <v>0</v>
      </c>
      <c r="AP93">
        <f t="shared" si="27"/>
        <v>0</v>
      </c>
      <c r="AQ93">
        <f t="shared" si="28"/>
        <v>0</v>
      </c>
      <c r="AR93" s="276">
        <f t="shared" si="29"/>
        <v>1</v>
      </c>
      <c r="AT93" s="278"/>
      <c r="AU93" s="274">
        <v>1</v>
      </c>
      <c r="AY93" s="279"/>
      <c r="BD93" s="279"/>
      <c r="BK93" s="280">
        <f t="shared" si="30"/>
        <v>1</v>
      </c>
      <c r="BL93" s="274">
        <f t="shared" si="31"/>
        <v>1</v>
      </c>
      <c r="BP93" s="281">
        <v>521318</v>
      </c>
      <c r="BQ93" s="281">
        <v>175834</v>
      </c>
      <c r="BR93" s="296" t="s">
        <v>181</v>
      </c>
      <c r="BS93" t="s">
        <v>166</v>
      </c>
      <c r="BT93"/>
      <c r="BU93"/>
      <c r="BV93" t="s">
        <v>832</v>
      </c>
      <c r="BW93" t="s">
        <v>325</v>
      </c>
      <c r="BX93"/>
      <c r="BY93" t="s">
        <v>833</v>
      </c>
      <c r="BZ93" t="s">
        <v>325</v>
      </c>
      <c r="CA93" t="s">
        <v>325</v>
      </c>
      <c r="CB93" t="s">
        <v>190</v>
      </c>
    </row>
    <row r="94" spans="1:81" ht="15" customHeight="1" x14ac:dyDescent="0.25">
      <c r="A94" s="274" t="s">
        <v>834</v>
      </c>
      <c r="B94" s="277" t="s">
        <v>542</v>
      </c>
      <c r="D94" s="275">
        <v>44239</v>
      </c>
      <c r="E94" s="239">
        <v>45334</v>
      </c>
      <c r="F94" s="275">
        <v>45173</v>
      </c>
      <c r="H94" s="274" t="s">
        <v>272</v>
      </c>
      <c r="I94" s="238" t="s">
        <v>303</v>
      </c>
      <c r="M94" s="277" t="s">
        <v>835</v>
      </c>
      <c r="N94" s="277" t="s">
        <v>836</v>
      </c>
      <c r="O94" s="276" t="s">
        <v>837</v>
      </c>
      <c r="Y94" s="276">
        <f t="shared" si="19"/>
        <v>0</v>
      </c>
      <c r="AA94" s="276">
        <v>1</v>
      </c>
      <c r="AI94" s="276">
        <f t="shared" si="20"/>
        <v>1</v>
      </c>
      <c r="AJ94">
        <f t="shared" si="21"/>
        <v>1</v>
      </c>
      <c r="AK94">
        <f t="shared" si="22"/>
        <v>0</v>
      </c>
      <c r="AL94">
        <f t="shared" si="23"/>
        <v>0</v>
      </c>
      <c r="AM94">
        <f t="shared" si="24"/>
        <v>0</v>
      </c>
      <c r="AN94">
        <f t="shared" si="25"/>
        <v>0</v>
      </c>
      <c r="AO94">
        <f t="shared" si="26"/>
        <v>0</v>
      </c>
      <c r="AP94">
        <f t="shared" si="27"/>
        <v>0</v>
      </c>
      <c r="AQ94">
        <f t="shared" si="28"/>
        <v>0</v>
      </c>
      <c r="AR94" s="276">
        <f t="shared" si="29"/>
        <v>1</v>
      </c>
      <c r="AT94" s="278"/>
      <c r="AU94" s="274">
        <v>0.5</v>
      </c>
      <c r="AV94" s="274">
        <v>0.5</v>
      </c>
      <c r="AY94" s="279"/>
      <c r="BD94" s="279"/>
      <c r="BK94" s="280">
        <f t="shared" si="30"/>
        <v>1</v>
      </c>
      <c r="BL94" s="274">
        <f t="shared" si="31"/>
        <v>1</v>
      </c>
      <c r="BP94" s="281">
        <v>521239</v>
      </c>
      <c r="BQ94" s="281">
        <v>176042</v>
      </c>
      <c r="BR94" s="296" t="s">
        <v>181</v>
      </c>
      <c r="BS94" t="s">
        <v>166</v>
      </c>
      <c r="BT94"/>
      <c r="BU94"/>
      <c r="BV94" t="s">
        <v>838</v>
      </c>
      <c r="BW94" t="s">
        <v>325</v>
      </c>
      <c r="BX94"/>
      <c r="BY94" t="s">
        <v>833</v>
      </c>
      <c r="BZ94" t="s">
        <v>325</v>
      </c>
      <c r="CA94" t="s">
        <v>325</v>
      </c>
      <c r="CB94" t="s">
        <v>190</v>
      </c>
    </row>
    <row r="95" spans="1:81" ht="15" customHeight="1" x14ac:dyDescent="0.25">
      <c r="A95" s="274" t="s">
        <v>839</v>
      </c>
      <c r="B95" s="277" t="s">
        <v>459</v>
      </c>
      <c r="D95" s="275">
        <v>41520</v>
      </c>
      <c r="E95" s="275">
        <v>42616</v>
      </c>
      <c r="F95" s="275">
        <v>42601</v>
      </c>
      <c r="H95" s="274" t="s">
        <v>272</v>
      </c>
      <c r="I95" s="238" t="s">
        <v>303</v>
      </c>
      <c r="J95" s="276" t="s">
        <v>327</v>
      </c>
      <c r="M95" s="277" t="s">
        <v>840</v>
      </c>
      <c r="N95" s="277" t="s">
        <v>841</v>
      </c>
      <c r="T95" s="276">
        <v>2</v>
      </c>
      <c r="Y95" s="276">
        <f t="shared" si="19"/>
        <v>2</v>
      </c>
      <c r="AD95" s="276">
        <v>1</v>
      </c>
      <c r="AI95" s="276">
        <f t="shared" si="20"/>
        <v>1</v>
      </c>
      <c r="AJ95">
        <f t="shared" si="21"/>
        <v>0</v>
      </c>
      <c r="AK95">
        <f t="shared" si="22"/>
        <v>0</v>
      </c>
      <c r="AL95">
        <f t="shared" si="23"/>
        <v>0</v>
      </c>
      <c r="AM95">
        <f t="shared" si="24"/>
        <v>-1</v>
      </c>
      <c r="AN95">
        <f t="shared" si="25"/>
        <v>0</v>
      </c>
      <c r="AO95">
        <f t="shared" si="26"/>
        <v>0</v>
      </c>
      <c r="AP95">
        <f t="shared" si="27"/>
        <v>0</v>
      </c>
      <c r="AQ95">
        <f t="shared" si="28"/>
        <v>0</v>
      </c>
      <c r="AR95" s="276">
        <f t="shared" si="29"/>
        <v>-1</v>
      </c>
      <c r="AT95" s="278"/>
      <c r="AU95" s="234">
        <v>-1</v>
      </c>
      <c r="AY95" s="279"/>
      <c r="BD95" s="279"/>
      <c r="BK95" s="280">
        <f t="shared" si="30"/>
        <v>-1</v>
      </c>
      <c r="BL95" s="274">
        <f t="shared" si="31"/>
        <v>-1</v>
      </c>
      <c r="BP95" s="281">
        <v>518397</v>
      </c>
      <c r="BQ95" s="281">
        <v>173968</v>
      </c>
      <c r="BR95" s="296" t="s">
        <v>182</v>
      </c>
      <c r="BS95" t="s">
        <v>160</v>
      </c>
      <c r="BT95"/>
      <c r="BU95" t="s">
        <v>142</v>
      </c>
      <c r="BV95"/>
      <c r="BW95"/>
      <c r="BX95"/>
      <c r="BY95" t="s">
        <v>526</v>
      </c>
      <c r="BZ95" t="s">
        <v>325</v>
      </c>
      <c r="CA95" t="s">
        <v>325</v>
      </c>
      <c r="CB95" t="s">
        <v>191</v>
      </c>
    </row>
    <row r="96" spans="1:81" ht="15" customHeight="1" x14ac:dyDescent="0.25">
      <c r="A96" s="274" t="s">
        <v>842</v>
      </c>
      <c r="B96" s="277" t="s">
        <v>459</v>
      </c>
      <c r="C96" s="274" t="s">
        <v>293</v>
      </c>
      <c r="D96" s="275">
        <v>41871</v>
      </c>
      <c r="E96" s="275">
        <v>43066</v>
      </c>
      <c r="F96" s="275">
        <v>42916</v>
      </c>
      <c r="H96" s="274" t="s">
        <v>272</v>
      </c>
      <c r="I96" s="238" t="s">
        <v>303</v>
      </c>
      <c r="J96" s="276" t="s">
        <v>327</v>
      </c>
      <c r="M96" s="277" t="s">
        <v>843</v>
      </c>
      <c r="N96" s="277" t="s">
        <v>844</v>
      </c>
      <c r="O96" s="276" t="s">
        <v>845</v>
      </c>
      <c r="Y96" s="276">
        <f t="shared" si="19"/>
        <v>0</v>
      </c>
      <c r="AA96" s="276">
        <v>1</v>
      </c>
      <c r="AB96" s="276">
        <v>5</v>
      </c>
      <c r="AI96" s="276">
        <f t="shared" si="20"/>
        <v>6</v>
      </c>
      <c r="AJ96">
        <f t="shared" si="21"/>
        <v>1</v>
      </c>
      <c r="AK96">
        <f t="shared" si="22"/>
        <v>5</v>
      </c>
      <c r="AL96">
        <f t="shared" si="23"/>
        <v>0</v>
      </c>
      <c r="AM96">
        <f t="shared" si="24"/>
        <v>0</v>
      </c>
      <c r="AN96">
        <f t="shared" si="25"/>
        <v>0</v>
      </c>
      <c r="AO96">
        <f t="shared" si="26"/>
        <v>0</v>
      </c>
      <c r="AP96">
        <f t="shared" si="27"/>
        <v>0</v>
      </c>
      <c r="AQ96">
        <f t="shared" si="28"/>
        <v>0</v>
      </c>
      <c r="AR96" s="276">
        <f t="shared" si="29"/>
        <v>6</v>
      </c>
      <c r="AT96" s="278"/>
      <c r="AU96" s="234">
        <v>6</v>
      </c>
      <c r="AY96" s="279"/>
      <c r="BD96" s="279"/>
      <c r="BK96" s="280">
        <f t="shared" si="30"/>
        <v>6</v>
      </c>
      <c r="BL96" s="274">
        <f t="shared" si="31"/>
        <v>6</v>
      </c>
      <c r="BP96" s="281">
        <v>515206</v>
      </c>
      <c r="BQ96" s="281">
        <v>173341</v>
      </c>
      <c r="BR96" s="296" t="s">
        <v>145</v>
      </c>
      <c r="BS96" t="s">
        <v>169</v>
      </c>
      <c r="BT96"/>
      <c r="BU96"/>
      <c r="BV96"/>
      <c r="BW96"/>
      <c r="BX96"/>
      <c r="BY96"/>
      <c r="BZ96"/>
      <c r="CA96" t="s">
        <v>325</v>
      </c>
      <c r="CB96" t="s">
        <v>193</v>
      </c>
    </row>
    <row r="97" spans="1:81" s="240" customFormat="1" ht="15" customHeight="1" x14ac:dyDescent="0.25">
      <c r="A97" s="274" t="s">
        <v>846</v>
      </c>
      <c r="B97" s="277" t="s">
        <v>459</v>
      </c>
      <c r="C97" s="277"/>
      <c r="D97" s="275">
        <v>42565</v>
      </c>
      <c r="E97" s="275">
        <v>43660</v>
      </c>
      <c r="F97" s="275">
        <v>43656</v>
      </c>
      <c r="G97" s="274"/>
      <c r="H97" s="274" t="s">
        <v>272</v>
      </c>
      <c r="I97" s="238" t="s">
        <v>303</v>
      </c>
      <c r="J97" s="276"/>
      <c r="K97" s="276"/>
      <c r="L97" s="276"/>
      <c r="M97" s="277" t="s">
        <v>847</v>
      </c>
      <c r="N97" s="277" t="s">
        <v>848</v>
      </c>
      <c r="O97" s="276" t="s">
        <v>670</v>
      </c>
      <c r="P97" s="276"/>
      <c r="Q97" s="276"/>
      <c r="R97" s="276"/>
      <c r="S97" s="276"/>
      <c r="T97" s="276"/>
      <c r="U97" s="276"/>
      <c r="V97" s="276"/>
      <c r="W97" s="276"/>
      <c r="X97" s="276"/>
      <c r="Y97" s="276">
        <f t="shared" si="19"/>
        <v>0</v>
      </c>
      <c r="Z97" s="276"/>
      <c r="AA97" s="276">
        <v>9</v>
      </c>
      <c r="AB97" s="276"/>
      <c r="AC97" s="276"/>
      <c r="AD97" s="276"/>
      <c r="AE97" s="276"/>
      <c r="AF97" s="276"/>
      <c r="AG97" s="276"/>
      <c r="AH97" s="276"/>
      <c r="AI97" s="276">
        <f t="shared" si="20"/>
        <v>9</v>
      </c>
      <c r="AJ97">
        <f t="shared" si="21"/>
        <v>9</v>
      </c>
      <c r="AK97">
        <f t="shared" si="22"/>
        <v>0</v>
      </c>
      <c r="AL97">
        <f t="shared" si="23"/>
        <v>0</v>
      </c>
      <c r="AM97">
        <f t="shared" si="24"/>
        <v>0</v>
      </c>
      <c r="AN97">
        <f t="shared" si="25"/>
        <v>0</v>
      </c>
      <c r="AO97">
        <f t="shared" si="26"/>
        <v>0</v>
      </c>
      <c r="AP97">
        <f t="shared" si="27"/>
        <v>0</v>
      </c>
      <c r="AQ97">
        <f t="shared" si="28"/>
        <v>0</v>
      </c>
      <c r="AR97" s="276">
        <f t="shared" si="29"/>
        <v>9</v>
      </c>
      <c r="AS97"/>
      <c r="AT97" s="278"/>
      <c r="AU97" s="234"/>
      <c r="AV97" s="3">
        <v>4.5</v>
      </c>
      <c r="AW97" s="3">
        <v>4.5</v>
      </c>
      <c r="AX97" s="274"/>
      <c r="AY97" s="279"/>
      <c r="AZ97" s="274"/>
      <c r="BA97" s="274"/>
      <c r="BB97" s="274"/>
      <c r="BC97" s="274"/>
      <c r="BD97" s="279"/>
      <c r="BE97" s="274"/>
      <c r="BF97" s="274"/>
      <c r="BG97" s="274"/>
      <c r="BH97" s="274"/>
      <c r="BI97" s="274"/>
      <c r="BJ97" s="274"/>
      <c r="BK97" s="280">
        <f t="shared" si="30"/>
        <v>9</v>
      </c>
      <c r="BL97" s="274">
        <f t="shared" si="31"/>
        <v>9</v>
      </c>
      <c r="BM97" s="276"/>
      <c r="BN97" s="276"/>
      <c r="BO97" s="247"/>
      <c r="BP97" s="281">
        <v>517924</v>
      </c>
      <c r="BQ97" s="281">
        <v>174891</v>
      </c>
      <c r="BR97" s="296" t="s">
        <v>141</v>
      </c>
      <c r="BS97" t="s">
        <v>168</v>
      </c>
      <c r="BT97" t="s">
        <v>141</v>
      </c>
      <c r="BU97"/>
      <c r="BV97"/>
      <c r="BW97"/>
      <c r="BX97"/>
      <c r="BY97" t="s">
        <v>546</v>
      </c>
      <c r="BZ97" t="s">
        <v>325</v>
      </c>
      <c r="CA97" t="s">
        <v>325</v>
      </c>
      <c r="CB97" t="s">
        <v>191</v>
      </c>
      <c r="CC97" s="276"/>
    </row>
    <row r="98" spans="1:81" ht="15" customHeight="1" x14ac:dyDescent="0.25">
      <c r="A98" s="274" t="s">
        <v>849</v>
      </c>
      <c r="B98" s="277" t="s">
        <v>444</v>
      </c>
      <c r="D98" s="275">
        <v>43069</v>
      </c>
      <c r="E98" s="275">
        <v>44165</v>
      </c>
      <c r="F98" s="275">
        <v>43344</v>
      </c>
      <c r="H98" s="274" t="s">
        <v>272</v>
      </c>
      <c r="I98" s="238" t="s">
        <v>303</v>
      </c>
      <c r="J98" s="276" t="s">
        <v>327</v>
      </c>
      <c r="M98" s="277" t="s">
        <v>850</v>
      </c>
      <c r="N98" s="277" t="s">
        <v>851</v>
      </c>
      <c r="O98" s="276" t="s">
        <v>852</v>
      </c>
      <c r="Y98" s="276">
        <f t="shared" si="19"/>
        <v>0</v>
      </c>
      <c r="AB98" s="276">
        <v>1</v>
      </c>
      <c r="AI98" s="276">
        <f t="shared" si="20"/>
        <v>1</v>
      </c>
      <c r="AJ98">
        <f t="shared" si="21"/>
        <v>0</v>
      </c>
      <c r="AK98">
        <f t="shared" si="22"/>
        <v>1</v>
      </c>
      <c r="AL98">
        <f t="shared" si="23"/>
        <v>0</v>
      </c>
      <c r="AM98">
        <f t="shared" si="24"/>
        <v>0</v>
      </c>
      <c r="AN98">
        <f t="shared" si="25"/>
        <v>0</v>
      </c>
      <c r="AO98">
        <f t="shared" si="26"/>
        <v>0</v>
      </c>
      <c r="AP98">
        <f t="shared" si="27"/>
        <v>0</v>
      </c>
      <c r="AQ98">
        <f t="shared" si="28"/>
        <v>0</v>
      </c>
      <c r="AR98" s="276">
        <f t="shared" si="29"/>
        <v>1</v>
      </c>
      <c r="AT98" s="278"/>
      <c r="AU98" s="234">
        <v>1</v>
      </c>
      <c r="AY98" s="279"/>
      <c r="BD98" s="279"/>
      <c r="BK98" s="280">
        <f t="shared" si="30"/>
        <v>1</v>
      </c>
      <c r="BL98" s="274">
        <f t="shared" si="31"/>
        <v>1</v>
      </c>
      <c r="BP98" s="281">
        <v>516115</v>
      </c>
      <c r="BQ98" s="281">
        <v>173199</v>
      </c>
      <c r="BR98" s="296" t="s">
        <v>145</v>
      </c>
      <c r="BS98" t="s">
        <v>171</v>
      </c>
      <c r="BT98" t="s">
        <v>145</v>
      </c>
      <c r="BU98"/>
      <c r="BV98"/>
      <c r="BW98"/>
      <c r="BX98"/>
      <c r="BY98"/>
      <c r="BZ98"/>
      <c r="CA98" t="s">
        <v>325</v>
      </c>
      <c r="CB98" t="s">
        <v>193</v>
      </c>
    </row>
    <row r="99" spans="1:81" ht="15" customHeight="1" x14ac:dyDescent="0.25">
      <c r="A99" s="274" t="s">
        <v>853</v>
      </c>
      <c r="B99" s="277" t="s">
        <v>444</v>
      </c>
      <c r="D99" s="275">
        <v>42801</v>
      </c>
      <c r="E99" s="275">
        <v>43897</v>
      </c>
      <c r="F99" s="275">
        <v>43891</v>
      </c>
      <c r="H99" s="274" t="s">
        <v>272</v>
      </c>
      <c r="I99" s="238" t="s">
        <v>303</v>
      </c>
      <c r="M99" s="277" t="s">
        <v>854</v>
      </c>
      <c r="N99" s="277" t="s">
        <v>855</v>
      </c>
      <c r="Y99" s="276">
        <f t="shared" si="19"/>
        <v>0</v>
      </c>
      <c r="AC99" s="276">
        <v>1</v>
      </c>
      <c r="AI99" s="276">
        <f t="shared" si="20"/>
        <v>1</v>
      </c>
      <c r="AJ99">
        <f t="shared" si="21"/>
        <v>0</v>
      </c>
      <c r="AK99">
        <f t="shared" si="22"/>
        <v>0</v>
      </c>
      <c r="AL99">
        <f t="shared" si="23"/>
        <v>1</v>
      </c>
      <c r="AM99">
        <f t="shared" si="24"/>
        <v>0</v>
      </c>
      <c r="AN99">
        <f t="shared" si="25"/>
        <v>0</v>
      </c>
      <c r="AO99">
        <f t="shared" si="26"/>
        <v>0</v>
      </c>
      <c r="AP99">
        <f t="shared" si="27"/>
        <v>0</v>
      </c>
      <c r="AQ99">
        <f t="shared" si="28"/>
        <v>0</v>
      </c>
      <c r="AR99" s="276">
        <f t="shared" si="29"/>
        <v>1</v>
      </c>
      <c r="AT99" s="278"/>
      <c r="AU99" s="234">
        <v>1</v>
      </c>
      <c r="AY99" s="279"/>
      <c r="BD99" s="279"/>
      <c r="BK99" s="280">
        <f t="shared" si="30"/>
        <v>1</v>
      </c>
      <c r="BL99" s="274">
        <f t="shared" si="31"/>
        <v>1</v>
      </c>
      <c r="BP99" s="281">
        <v>513432</v>
      </c>
      <c r="BQ99" s="281">
        <v>173849</v>
      </c>
      <c r="BR99" t="s">
        <v>147</v>
      </c>
      <c r="BS99" t="s">
        <v>147</v>
      </c>
      <c r="BT99"/>
      <c r="BU99"/>
      <c r="BV99"/>
      <c r="BW99"/>
      <c r="BX99"/>
      <c r="BY99"/>
      <c r="BZ99"/>
      <c r="CA99" t="s">
        <v>325</v>
      </c>
      <c r="CB99" t="s">
        <v>194</v>
      </c>
    </row>
    <row r="100" spans="1:81" ht="15" customHeight="1" x14ac:dyDescent="0.25">
      <c r="A100" s="274" t="s">
        <v>856</v>
      </c>
      <c r="B100" s="277" t="s">
        <v>444</v>
      </c>
      <c r="D100" s="275">
        <v>43182</v>
      </c>
      <c r="E100" s="275">
        <v>44278</v>
      </c>
      <c r="F100" s="275">
        <v>44200</v>
      </c>
      <c r="H100" s="274" t="s">
        <v>272</v>
      </c>
      <c r="I100" s="238" t="s">
        <v>303</v>
      </c>
      <c r="M100" s="277" t="s">
        <v>857</v>
      </c>
      <c r="N100" s="277" t="s">
        <v>858</v>
      </c>
      <c r="O100" s="276" t="s">
        <v>859</v>
      </c>
      <c r="Y100" s="276">
        <f t="shared" si="19"/>
        <v>0</v>
      </c>
      <c r="AB100" s="276">
        <v>4</v>
      </c>
      <c r="AI100" s="276">
        <f t="shared" si="20"/>
        <v>4</v>
      </c>
      <c r="AJ100">
        <f t="shared" si="21"/>
        <v>0</v>
      </c>
      <c r="AK100">
        <f t="shared" si="22"/>
        <v>4</v>
      </c>
      <c r="AL100">
        <f t="shared" si="23"/>
        <v>0</v>
      </c>
      <c r="AM100">
        <f t="shared" si="24"/>
        <v>0</v>
      </c>
      <c r="AN100">
        <f t="shared" si="25"/>
        <v>0</v>
      </c>
      <c r="AO100">
        <f t="shared" si="26"/>
        <v>0</v>
      </c>
      <c r="AP100">
        <f t="shared" si="27"/>
        <v>0</v>
      </c>
      <c r="AQ100">
        <f t="shared" si="28"/>
        <v>0</v>
      </c>
      <c r="AR100" s="276">
        <f t="shared" si="29"/>
        <v>4</v>
      </c>
      <c r="AT100" s="278"/>
      <c r="AU100" s="234"/>
      <c r="AV100" s="274">
        <v>2</v>
      </c>
      <c r="AW100" s="274">
        <v>2</v>
      </c>
      <c r="AY100" s="279"/>
      <c r="BD100" s="279"/>
      <c r="BK100" s="280">
        <f t="shared" si="30"/>
        <v>4</v>
      </c>
      <c r="BL100" s="274">
        <f t="shared" si="31"/>
        <v>4</v>
      </c>
      <c r="BP100" s="281">
        <v>514687</v>
      </c>
      <c r="BQ100" s="281">
        <v>171290</v>
      </c>
      <c r="BR100" s="296" t="s">
        <v>183</v>
      </c>
      <c r="BS100" t="s">
        <v>159</v>
      </c>
      <c r="BT100"/>
      <c r="BU100"/>
      <c r="BV100"/>
      <c r="BW100"/>
      <c r="BX100"/>
      <c r="BY100"/>
      <c r="BZ100"/>
      <c r="CA100" t="s">
        <v>325</v>
      </c>
      <c r="CB100" t="s">
        <v>192</v>
      </c>
    </row>
    <row r="101" spans="1:81" ht="15" customHeight="1" x14ac:dyDescent="0.25">
      <c r="A101" s="274" t="s">
        <v>860</v>
      </c>
      <c r="B101" s="277" t="s">
        <v>444</v>
      </c>
      <c r="D101" s="275">
        <v>43108</v>
      </c>
      <c r="E101" s="275">
        <v>44204</v>
      </c>
      <c r="F101" s="275">
        <v>44203</v>
      </c>
      <c r="H101" s="274" t="s">
        <v>272</v>
      </c>
      <c r="I101" s="238" t="s">
        <v>303</v>
      </c>
      <c r="M101" s="277" t="s">
        <v>861</v>
      </c>
      <c r="N101" s="277" t="s">
        <v>862</v>
      </c>
      <c r="O101" s="276" t="s">
        <v>863</v>
      </c>
      <c r="Y101" s="276">
        <f t="shared" si="19"/>
        <v>0</v>
      </c>
      <c r="AD101" s="276">
        <v>1</v>
      </c>
      <c r="AI101" s="276">
        <f t="shared" si="20"/>
        <v>1</v>
      </c>
      <c r="AJ101">
        <f t="shared" si="21"/>
        <v>0</v>
      </c>
      <c r="AK101">
        <f t="shared" si="22"/>
        <v>0</v>
      </c>
      <c r="AL101">
        <f t="shared" si="23"/>
        <v>0</v>
      </c>
      <c r="AM101">
        <f t="shared" si="24"/>
        <v>1</v>
      </c>
      <c r="AN101">
        <f t="shared" si="25"/>
        <v>0</v>
      </c>
      <c r="AO101">
        <f t="shared" si="26"/>
        <v>0</v>
      </c>
      <c r="AP101">
        <f t="shared" si="27"/>
        <v>0</v>
      </c>
      <c r="AQ101">
        <f t="shared" si="28"/>
        <v>0</v>
      </c>
      <c r="AR101" s="276">
        <f t="shared" si="29"/>
        <v>1</v>
      </c>
      <c r="AT101" s="278"/>
      <c r="AU101" s="234"/>
      <c r="AV101" s="274">
        <v>0.5</v>
      </c>
      <c r="AW101" s="274">
        <v>0.5</v>
      </c>
      <c r="AY101" s="279"/>
      <c r="BD101" s="279"/>
      <c r="BK101" s="280">
        <f t="shared" si="30"/>
        <v>1</v>
      </c>
      <c r="BL101" s="274">
        <f t="shared" si="31"/>
        <v>1</v>
      </c>
      <c r="BP101" s="281">
        <v>516399</v>
      </c>
      <c r="BQ101" s="281">
        <v>171470</v>
      </c>
      <c r="BR101" s="296" t="s">
        <v>183</v>
      </c>
      <c r="BS101" t="s">
        <v>143</v>
      </c>
      <c r="BT101"/>
      <c r="BU101"/>
      <c r="BV101"/>
      <c r="BW101"/>
      <c r="BX101"/>
      <c r="BY101"/>
      <c r="BZ101"/>
      <c r="CA101" t="s">
        <v>325</v>
      </c>
      <c r="CB101" t="s">
        <v>192</v>
      </c>
    </row>
    <row r="102" spans="1:81" ht="15" customHeight="1" x14ac:dyDescent="0.25">
      <c r="A102" s="274" t="s">
        <v>864</v>
      </c>
      <c r="B102" s="277" t="s">
        <v>444</v>
      </c>
      <c r="D102" s="275">
        <v>43419</v>
      </c>
      <c r="E102" s="275">
        <v>44695</v>
      </c>
      <c r="F102" s="239">
        <v>44621</v>
      </c>
      <c r="H102" s="274" t="s">
        <v>272</v>
      </c>
      <c r="I102" s="238" t="s">
        <v>303</v>
      </c>
      <c r="M102" s="277" t="s">
        <v>865</v>
      </c>
      <c r="N102" s="277" t="s">
        <v>866</v>
      </c>
      <c r="O102" s="276" t="s">
        <v>867</v>
      </c>
      <c r="Y102" s="276">
        <f t="shared" si="19"/>
        <v>0</v>
      </c>
      <c r="AA102" s="276">
        <v>1</v>
      </c>
      <c r="AI102" s="276">
        <f t="shared" si="20"/>
        <v>1</v>
      </c>
      <c r="AJ102">
        <f t="shared" si="21"/>
        <v>1</v>
      </c>
      <c r="AK102">
        <f t="shared" si="22"/>
        <v>0</v>
      </c>
      <c r="AL102">
        <f t="shared" si="23"/>
        <v>0</v>
      </c>
      <c r="AM102">
        <f t="shared" si="24"/>
        <v>0</v>
      </c>
      <c r="AN102">
        <f t="shared" si="25"/>
        <v>0</v>
      </c>
      <c r="AO102">
        <f t="shared" si="26"/>
        <v>0</v>
      </c>
      <c r="AP102">
        <f t="shared" si="27"/>
        <v>0</v>
      </c>
      <c r="AQ102">
        <f t="shared" si="28"/>
        <v>0</v>
      </c>
      <c r="AR102" s="276">
        <f t="shared" si="29"/>
        <v>1</v>
      </c>
      <c r="AT102" s="278"/>
      <c r="AU102" s="234">
        <v>1</v>
      </c>
      <c r="AY102" s="279"/>
      <c r="BD102" s="279"/>
      <c r="BK102" s="280">
        <f t="shared" si="30"/>
        <v>1</v>
      </c>
      <c r="BL102" s="274">
        <f t="shared" si="31"/>
        <v>1</v>
      </c>
      <c r="BP102" s="281">
        <v>516598</v>
      </c>
      <c r="BQ102" s="281">
        <v>174330</v>
      </c>
      <c r="BR102" s="296" t="s">
        <v>145</v>
      </c>
      <c r="BS102" t="s">
        <v>170</v>
      </c>
      <c r="BT102"/>
      <c r="BU102"/>
      <c r="BV102"/>
      <c r="BW102"/>
      <c r="BX102"/>
      <c r="BY102"/>
      <c r="BZ102"/>
      <c r="CA102" t="s">
        <v>325</v>
      </c>
      <c r="CB102" t="s">
        <v>193</v>
      </c>
    </row>
    <row r="103" spans="1:81" ht="15" customHeight="1" x14ac:dyDescent="0.25">
      <c r="A103" s="274" t="s">
        <v>868</v>
      </c>
      <c r="B103" s="277" t="s">
        <v>444</v>
      </c>
      <c r="D103" s="275">
        <v>43307</v>
      </c>
      <c r="E103" s="275">
        <v>44403</v>
      </c>
      <c r="F103" s="275">
        <v>44400</v>
      </c>
      <c r="H103" s="274" t="s">
        <v>272</v>
      </c>
      <c r="I103" s="238" t="s">
        <v>303</v>
      </c>
      <c r="M103" s="277" t="s">
        <v>869</v>
      </c>
      <c r="N103" s="277" t="s">
        <v>870</v>
      </c>
      <c r="O103" s="276" t="s">
        <v>871</v>
      </c>
      <c r="Y103" s="276">
        <f t="shared" si="19"/>
        <v>0</v>
      </c>
      <c r="AB103" s="276">
        <v>1</v>
      </c>
      <c r="AC103" s="276">
        <v>1</v>
      </c>
      <c r="AI103" s="276">
        <f t="shared" si="20"/>
        <v>2</v>
      </c>
      <c r="AJ103">
        <f t="shared" si="21"/>
        <v>0</v>
      </c>
      <c r="AK103">
        <f t="shared" si="22"/>
        <v>1</v>
      </c>
      <c r="AL103">
        <f t="shared" si="23"/>
        <v>1</v>
      </c>
      <c r="AM103">
        <f t="shared" si="24"/>
        <v>0</v>
      </c>
      <c r="AN103">
        <f t="shared" si="25"/>
        <v>0</v>
      </c>
      <c r="AO103">
        <f t="shared" si="26"/>
        <v>0</v>
      </c>
      <c r="AP103">
        <f t="shared" si="27"/>
        <v>0</v>
      </c>
      <c r="AQ103">
        <f t="shared" si="28"/>
        <v>0</v>
      </c>
      <c r="AR103" s="276">
        <f t="shared" si="29"/>
        <v>2</v>
      </c>
      <c r="AT103" s="278"/>
      <c r="AV103" s="274">
        <v>1</v>
      </c>
      <c r="AW103" s="274">
        <v>1</v>
      </c>
      <c r="AY103" s="279"/>
      <c r="BD103" s="279"/>
      <c r="BK103" s="280">
        <f t="shared" si="30"/>
        <v>2</v>
      </c>
      <c r="BL103" s="274">
        <f t="shared" si="31"/>
        <v>2</v>
      </c>
      <c r="BP103" s="281">
        <v>514975</v>
      </c>
      <c r="BQ103" s="281">
        <v>171285</v>
      </c>
      <c r="BR103" s="296" t="s">
        <v>183</v>
      </c>
      <c r="BS103" t="s">
        <v>159</v>
      </c>
      <c r="BT103"/>
      <c r="BU103"/>
      <c r="BV103"/>
      <c r="BW103"/>
      <c r="BX103"/>
      <c r="BY103"/>
      <c r="BZ103"/>
      <c r="CA103" t="s">
        <v>325</v>
      </c>
      <c r="CB103" t="s">
        <v>192</v>
      </c>
    </row>
    <row r="104" spans="1:81" ht="15" customHeight="1" x14ac:dyDescent="0.25">
      <c r="A104" s="274" t="s">
        <v>872</v>
      </c>
      <c r="B104" s="277" t="s">
        <v>481</v>
      </c>
      <c r="D104" s="275">
        <v>43439</v>
      </c>
      <c r="E104" s="275">
        <v>44535</v>
      </c>
      <c r="F104" s="275">
        <v>43780</v>
      </c>
      <c r="H104" s="274" t="s">
        <v>272</v>
      </c>
      <c r="I104" s="238" t="s">
        <v>303</v>
      </c>
      <c r="M104" s="277" t="s">
        <v>873</v>
      </c>
      <c r="N104" s="277" t="s">
        <v>874</v>
      </c>
      <c r="O104" s="276" t="s">
        <v>875</v>
      </c>
      <c r="T104" s="276">
        <v>1</v>
      </c>
      <c r="Y104" s="276">
        <f t="shared" si="19"/>
        <v>1</v>
      </c>
      <c r="AA104" s="276">
        <v>1</v>
      </c>
      <c r="AC104" s="276">
        <v>1</v>
      </c>
      <c r="AI104" s="276">
        <f t="shared" si="20"/>
        <v>2</v>
      </c>
      <c r="AJ104">
        <f t="shared" si="21"/>
        <v>1</v>
      </c>
      <c r="AK104">
        <f t="shared" si="22"/>
        <v>0</v>
      </c>
      <c r="AL104">
        <f t="shared" si="23"/>
        <v>1</v>
      </c>
      <c r="AM104">
        <f t="shared" si="24"/>
        <v>-1</v>
      </c>
      <c r="AN104">
        <f t="shared" si="25"/>
        <v>0</v>
      </c>
      <c r="AO104">
        <f t="shared" si="26"/>
        <v>0</v>
      </c>
      <c r="AP104">
        <f t="shared" si="27"/>
        <v>0</v>
      </c>
      <c r="AQ104">
        <f t="shared" si="28"/>
        <v>0</v>
      </c>
      <c r="AR104" s="276">
        <f t="shared" si="29"/>
        <v>1</v>
      </c>
      <c r="AT104" s="278"/>
      <c r="AV104" s="274">
        <v>1</v>
      </c>
      <c r="AY104" s="279"/>
      <c r="BD104" s="279"/>
      <c r="BK104" s="280">
        <f t="shared" si="30"/>
        <v>1</v>
      </c>
      <c r="BL104" s="274">
        <f t="shared" si="31"/>
        <v>1</v>
      </c>
      <c r="BP104" s="281">
        <v>520283</v>
      </c>
      <c r="BQ104" s="281">
        <v>175305</v>
      </c>
      <c r="BR104" s="296" t="s">
        <v>181</v>
      </c>
      <c r="BS104" t="s">
        <v>140</v>
      </c>
      <c r="BT104" t="s">
        <v>140</v>
      </c>
      <c r="BU104"/>
      <c r="BV104"/>
      <c r="BW104"/>
      <c r="BX104"/>
      <c r="BY104"/>
      <c r="BZ104"/>
      <c r="CA104" t="s">
        <v>325</v>
      </c>
      <c r="CB104" t="s">
        <v>190</v>
      </c>
    </row>
    <row r="105" spans="1:81" ht="15" customHeight="1" x14ac:dyDescent="0.25">
      <c r="A105" s="274" t="s">
        <v>876</v>
      </c>
      <c r="B105" s="277" t="s">
        <v>459</v>
      </c>
      <c r="D105" s="275">
        <v>43455</v>
      </c>
      <c r="E105" s="275">
        <v>44551</v>
      </c>
      <c r="F105" s="275">
        <v>44075</v>
      </c>
      <c r="H105" s="274" t="s">
        <v>272</v>
      </c>
      <c r="I105" s="238" t="s">
        <v>303</v>
      </c>
      <c r="M105" s="277" t="s">
        <v>877</v>
      </c>
      <c r="N105" s="277" t="s">
        <v>878</v>
      </c>
      <c r="O105" s="276" t="s">
        <v>879</v>
      </c>
      <c r="Q105" s="276">
        <v>1</v>
      </c>
      <c r="Y105" s="276">
        <f t="shared" si="19"/>
        <v>1</v>
      </c>
      <c r="AA105" s="276">
        <v>2</v>
      </c>
      <c r="AI105" s="276">
        <f t="shared" si="20"/>
        <v>2</v>
      </c>
      <c r="AJ105">
        <f t="shared" si="21"/>
        <v>1</v>
      </c>
      <c r="AK105">
        <f t="shared" si="22"/>
        <v>0</v>
      </c>
      <c r="AL105">
        <f t="shared" si="23"/>
        <v>0</v>
      </c>
      <c r="AM105">
        <f t="shared" si="24"/>
        <v>0</v>
      </c>
      <c r="AN105">
        <f t="shared" si="25"/>
        <v>0</v>
      </c>
      <c r="AO105">
        <f t="shared" si="26"/>
        <v>0</v>
      </c>
      <c r="AP105">
        <f t="shared" si="27"/>
        <v>0</v>
      </c>
      <c r="AQ105">
        <f t="shared" si="28"/>
        <v>0</v>
      </c>
      <c r="AR105" s="276">
        <f t="shared" si="29"/>
        <v>1</v>
      </c>
      <c r="AT105" s="278"/>
      <c r="AV105" s="274">
        <v>1</v>
      </c>
      <c r="AY105" s="279"/>
      <c r="BD105" s="279"/>
      <c r="BK105" s="280">
        <f t="shared" si="30"/>
        <v>1</v>
      </c>
      <c r="BL105" s="274">
        <f t="shared" si="31"/>
        <v>1</v>
      </c>
      <c r="BP105" s="281">
        <v>518862</v>
      </c>
      <c r="BQ105" s="281">
        <v>175562</v>
      </c>
      <c r="BR105" s="296" t="s">
        <v>141</v>
      </c>
      <c r="BS105" t="s">
        <v>167</v>
      </c>
      <c r="BT105"/>
      <c r="BU105"/>
      <c r="BV105"/>
      <c r="BW105"/>
      <c r="BX105"/>
      <c r="BY105"/>
      <c r="BZ105"/>
      <c r="CA105" t="s">
        <v>325</v>
      </c>
      <c r="CB105" t="s">
        <v>191</v>
      </c>
    </row>
    <row r="106" spans="1:81" ht="15" customHeight="1" x14ac:dyDescent="0.25">
      <c r="A106" s="274" t="s">
        <v>880</v>
      </c>
      <c r="B106" s="274" t="s">
        <v>444</v>
      </c>
      <c r="C106" s="274"/>
      <c r="D106" s="275">
        <v>44090</v>
      </c>
      <c r="E106" s="275">
        <v>45185</v>
      </c>
      <c r="F106" s="275">
        <v>45181</v>
      </c>
      <c r="H106" s="274" t="s">
        <v>272</v>
      </c>
      <c r="I106" s="238" t="s">
        <v>303</v>
      </c>
      <c r="M106" s="277" t="s">
        <v>881</v>
      </c>
      <c r="N106" s="277" t="s">
        <v>882</v>
      </c>
      <c r="O106" s="276" t="s">
        <v>883</v>
      </c>
      <c r="Y106" s="276">
        <f t="shared" si="19"/>
        <v>0</v>
      </c>
      <c r="AA106" s="276">
        <v>13</v>
      </c>
      <c r="AB106" s="276">
        <v>75</v>
      </c>
      <c r="AI106" s="276">
        <f t="shared" si="20"/>
        <v>88</v>
      </c>
      <c r="AJ106">
        <f t="shared" si="21"/>
        <v>13</v>
      </c>
      <c r="AK106">
        <f t="shared" si="22"/>
        <v>75</v>
      </c>
      <c r="AL106">
        <f t="shared" si="23"/>
        <v>0</v>
      </c>
      <c r="AM106">
        <f t="shared" si="24"/>
        <v>0</v>
      </c>
      <c r="AN106">
        <f t="shared" si="25"/>
        <v>0</v>
      </c>
      <c r="AO106">
        <f t="shared" si="26"/>
        <v>0</v>
      </c>
      <c r="AP106">
        <f t="shared" si="27"/>
        <v>0</v>
      </c>
      <c r="AQ106">
        <f t="shared" si="28"/>
        <v>0</v>
      </c>
      <c r="AR106" s="276">
        <f t="shared" si="29"/>
        <v>88</v>
      </c>
      <c r="AT106" s="278"/>
      <c r="AW106" s="274">
        <v>44</v>
      </c>
      <c r="AX106" s="274">
        <v>44</v>
      </c>
      <c r="AY106" s="279"/>
      <c r="BD106" s="279"/>
      <c r="BK106" s="280">
        <f t="shared" si="30"/>
        <v>88</v>
      </c>
      <c r="BL106" s="274">
        <f t="shared" si="31"/>
        <v>88</v>
      </c>
      <c r="BM106" s="276" t="s">
        <v>325</v>
      </c>
      <c r="BN106" s="276" t="s">
        <v>325</v>
      </c>
      <c r="BP106" s="281">
        <v>519778</v>
      </c>
      <c r="BQ106" s="281">
        <v>176914</v>
      </c>
      <c r="BR106" s="296" t="s">
        <v>141</v>
      </c>
      <c r="BS106" t="s">
        <v>165</v>
      </c>
      <c r="BT106"/>
      <c r="BU106" t="s">
        <v>142</v>
      </c>
      <c r="BV106"/>
      <c r="BW106"/>
      <c r="BX106" t="s">
        <v>884</v>
      </c>
      <c r="BY106"/>
      <c r="BZ106"/>
      <c r="CA106" t="s">
        <v>325</v>
      </c>
      <c r="CB106" t="s">
        <v>165</v>
      </c>
    </row>
    <row r="107" spans="1:81" ht="15" customHeight="1" x14ac:dyDescent="0.25">
      <c r="A107" s="274" t="s">
        <v>885</v>
      </c>
      <c r="B107" s="277" t="s">
        <v>459</v>
      </c>
      <c r="D107" s="275">
        <v>43550</v>
      </c>
      <c r="E107" s="275">
        <v>44646</v>
      </c>
      <c r="F107" s="275">
        <v>43843</v>
      </c>
      <c r="H107" s="274" t="s">
        <v>272</v>
      </c>
      <c r="I107" s="238" t="s">
        <v>303</v>
      </c>
      <c r="J107" s="276" t="s">
        <v>327</v>
      </c>
      <c r="M107" s="277" t="s">
        <v>886</v>
      </c>
      <c r="N107" s="277" t="s">
        <v>887</v>
      </c>
      <c r="O107" s="276" t="s">
        <v>888</v>
      </c>
      <c r="Y107" s="276">
        <f t="shared" si="19"/>
        <v>0</v>
      </c>
      <c r="AE107" s="276">
        <v>2</v>
      </c>
      <c r="AI107" s="276">
        <f t="shared" si="20"/>
        <v>2</v>
      </c>
      <c r="AJ107">
        <f t="shared" si="21"/>
        <v>0</v>
      </c>
      <c r="AK107">
        <f t="shared" si="22"/>
        <v>0</v>
      </c>
      <c r="AL107">
        <f t="shared" si="23"/>
        <v>0</v>
      </c>
      <c r="AM107">
        <f t="shared" si="24"/>
        <v>0</v>
      </c>
      <c r="AN107">
        <f t="shared" si="25"/>
        <v>2</v>
      </c>
      <c r="AO107">
        <f t="shared" si="26"/>
        <v>0</v>
      </c>
      <c r="AP107">
        <f t="shared" si="27"/>
        <v>0</v>
      </c>
      <c r="AQ107">
        <f t="shared" si="28"/>
        <v>0</v>
      </c>
      <c r="AR107" s="276">
        <f t="shared" si="29"/>
        <v>2</v>
      </c>
      <c r="AT107" s="278"/>
      <c r="AU107" s="234"/>
      <c r="AV107" s="234"/>
      <c r="AW107" s="234">
        <v>1</v>
      </c>
      <c r="AX107" s="234">
        <v>1</v>
      </c>
      <c r="AY107" s="279"/>
      <c r="BD107" s="279"/>
      <c r="BK107" s="280">
        <f t="shared" si="30"/>
        <v>2</v>
      </c>
      <c r="BL107" s="274">
        <f t="shared" si="31"/>
        <v>2</v>
      </c>
      <c r="BP107" s="281">
        <v>513264</v>
      </c>
      <c r="BQ107" s="281">
        <v>169738</v>
      </c>
      <c r="BR107" s="296" t="s">
        <v>183</v>
      </c>
      <c r="BS107" t="s">
        <v>161</v>
      </c>
      <c r="BT107"/>
      <c r="BU107"/>
      <c r="BV107"/>
      <c r="BW107"/>
      <c r="BX107"/>
      <c r="BY107"/>
      <c r="BZ107"/>
      <c r="CA107" t="s">
        <v>325</v>
      </c>
      <c r="CB107" t="s">
        <v>189</v>
      </c>
    </row>
    <row r="108" spans="1:81" ht="15" customHeight="1" x14ac:dyDescent="0.25">
      <c r="A108" s="274" t="s">
        <v>889</v>
      </c>
      <c r="B108" s="277" t="s">
        <v>444</v>
      </c>
      <c r="D108" s="275">
        <v>43755</v>
      </c>
      <c r="E108" s="275">
        <v>44851</v>
      </c>
      <c r="F108" s="275">
        <v>44811</v>
      </c>
      <c r="H108" s="274" t="s">
        <v>272</v>
      </c>
      <c r="I108" s="238" t="s">
        <v>303</v>
      </c>
      <c r="M108" s="277" t="s">
        <v>890</v>
      </c>
      <c r="N108" s="277" t="s">
        <v>891</v>
      </c>
      <c r="O108" s="276" t="s">
        <v>892</v>
      </c>
      <c r="Y108" s="276">
        <f t="shared" si="19"/>
        <v>0</v>
      </c>
      <c r="AD108" s="276">
        <v>1</v>
      </c>
      <c r="AI108" s="276">
        <f t="shared" si="20"/>
        <v>1</v>
      </c>
      <c r="AJ108">
        <f t="shared" si="21"/>
        <v>0</v>
      </c>
      <c r="AK108">
        <f t="shared" si="22"/>
        <v>0</v>
      </c>
      <c r="AL108">
        <f t="shared" si="23"/>
        <v>0</v>
      </c>
      <c r="AM108">
        <f t="shared" si="24"/>
        <v>1</v>
      </c>
      <c r="AN108">
        <f t="shared" si="25"/>
        <v>0</v>
      </c>
      <c r="AO108">
        <f t="shared" si="26"/>
        <v>0</v>
      </c>
      <c r="AP108">
        <f t="shared" si="27"/>
        <v>0</v>
      </c>
      <c r="AQ108">
        <f t="shared" si="28"/>
        <v>0</v>
      </c>
      <c r="AR108" s="276">
        <f t="shared" si="29"/>
        <v>1</v>
      </c>
      <c r="AT108" s="278"/>
      <c r="AU108" s="274">
        <v>1</v>
      </c>
      <c r="AY108" s="279"/>
      <c r="BD108" s="279"/>
      <c r="BK108" s="280">
        <f t="shared" si="30"/>
        <v>1</v>
      </c>
      <c r="BL108" s="274">
        <f t="shared" si="31"/>
        <v>1</v>
      </c>
      <c r="BP108" s="281">
        <v>516550</v>
      </c>
      <c r="BQ108" s="281">
        <v>171027</v>
      </c>
      <c r="BR108" s="296" t="s">
        <v>183</v>
      </c>
      <c r="BS108" t="s">
        <v>163</v>
      </c>
      <c r="BT108"/>
      <c r="BU108"/>
      <c r="BV108"/>
      <c r="BW108"/>
      <c r="BX108"/>
      <c r="BY108"/>
      <c r="BZ108"/>
      <c r="CA108" t="s">
        <v>325</v>
      </c>
      <c r="CB108" t="s">
        <v>192</v>
      </c>
      <c r="CC108" s="276" t="s">
        <v>325</v>
      </c>
    </row>
    <row r="109" spans="1:81" ht="15" customHeight="1" x14ac:dyDescent="0.25">
      <c r="A109" s="274" t="s">
        <v>893</v>
      </c>
      <c r="B109" s="274" t="s">
        <v>459</v>
      </c>
      <c r="C109" s="274"/>
      <c r="D109" s="275">
        <v>43661</v>
      </c>
      <c r="E109" s="275">
        <v>44757</v>
      </c>
      <c r="F109" s="275">
        <v>44249</v>
      </c>
      <c r="H109" s="274" t="s">
        <v>272</v>
      </c>
      <c r="I109" s="276" t="s">
        <v>312</v>
      </c>
      <c r="M109" s="277" t="s">
        <v>894</v>
      </c>
      <c r="N109" s="277" t="s">
        <v>895</v>
      </c>
      <c r="O109" s="276" t="s">
        <v>896</v>
      </c>
      <c r="Y109" s="276">
        <f t="shared" si="19"/>
        <v>0</v>
      </c>
      <c r="Z109" s="276" t="s">
        <v>325</v>
      </c>
      <c r="AA109" s="276">
        <v>7</v>
      </c>
      <c r="AB109" s="276">
        <v>3</v>
      </c>
      <c r="AC109" s="276">
        <v>1</v>
      </c>
      <c r="AI109" s="276">
        <f t="shared" si="20"/>
        <v>11</v>
      </c>
      <c r="AJ109">
        <f t="shared" si="21"/>
        <v>7</v>
      </c>
      <c r="AK109">
        <f t="shared" si="22"/>
        <v>3</v>
      </c>
      <c r="AL109">
        <f t="shared" si="23"/>
        <v>1</v>
      </c>
      <c r="AM109">
        <f t="shared" si="24"/>
        <v>0</v>
      </c>
      <c r="AN109">
        <f t="shared" si="25"/>
        <v>0</v>
      </c>
      <c r="AO109">
        <f t="shared" si="26"/>
        <v>0</v>
      </c>
      <c r="AP109">
        <f t="shared" si="27"/>
        <v>0</v>
      </c>
      <c r="AQ109">
        <f t="shared" si="28"/>
        <v>0</v>
      </c>
      <c r="AR109" s="276">
        <f t="shared" si="29"/>
        <v>11</v>
      </c>
      <c r="AT109" s="278"/>
      <c r="AV109" s="274">
        <v>5.5</v>
      </c>
      <c r="AW109" s="274">
        <v>5.5</v>
      </c>
      <c r="AY109" s="279"/>
      <c r="BD109" s="279"/>
      <c r="BK109" s="280">
        <f t="shared" si="30"/>
        <v>11</v>
      </c>
      <c r="BL109" s="274">
        <f t="shared" si="31"/>
        <v>11</v>
      </c>
      <c r="BP109" s="281">
        <v>518144</v>
      </c>
      <c r="BQ109" s="281">
        <v>175553</v>
      </c>
      <c r="BR109" s="296" t="s">
        <v>141</v>
      </c>
      <c r="BS109" t="s">
        <v>167</v>
      </c>
      <c r="BT109"/>
      <c r="BU109"/>
      <c r="BV109"/>
      <c r="BW109"/>
      <c r="BX109"/>
      <c r="BY109" t="s">
        <v>504</v>
      </c>
      <c r="BZ109" t="s">
        <v>325</v>
      </c>
      <c r="CA109" t="s">
        <v>325</v>
      </c>
      <c r="CB109" t="s">
        <v>191</v>
      </c>
    </row>
    <row r="110" spans="1:81" ht="15" customHeight="1" x14ac:dyDescent="0.25">
      <c r="A110" s="274" t="s">
        <v>893</v>
      </c>
      <c r="B110" s="274" t="s">
        <v>459</v>
      </c>
      <c r="C110" s="274"/>
      <c r="D110" s="275">
        <v>43661</v>
      </c>
      <c r="E110" s="275">
        <v>44757</v>
      </c>
      <c r="F110" s="275">
        <v>44249</v>
      </c>
      <c r="H110" s="274" t="s">
        <v>272</v>
      </c>
      <c r="I110" s="276" t="s">
        <v>208</v>
      </c>
      <c r="M110" s="277" t="s">
        <v>894</v>
      </c>
      <c r="N110" s="277" t="s">
        <v>895</v>
      </c>
      <c r="O110" s="276" t="s">
        <v>896</v>
      </c>
      <c r="Y110" s="276">
        <f t="shared" si="19"/>
        <v>0</v>
      </c>
      <c r="Z110" s="276" t="s">
        <v>325</v>
      </c>
      <c r="AA110" s="276">
        <v>4</v>
      </c>
      <c r="AI110" s="276">
        <f t="shared" si="20"/>
        <v>4</v>
      </c>
      <c r="AJ110">
        <f t="shared" si="21"/>
        <v>4</v>
      </c>
      <c r="AK110">
        <f t="shared" si="22"/>
        <v>0</v>
      </c>
      <c r="AL110">
        <f t="shared" si="23"/>
        <v>0</v>
      </c>
      <c r="AM110">
        <f t="shared" si="24"/>
        <v>0</v>
      </c>
      <c r="AN110">
        <f t="shared" si="25"/>
        <v>0</v>
      </c>
      <c r="AO110">
        <f t="shared" si="26"/>
        <v>0</v>
      </c>
      <c r="AP110">
        <f t="shared" si="27"/>
        <v>0</v>
      </c>
      <c r="AQ110">
        <f t="shared" si="28"/>
        <v>0</v>
      </c>
      <c r="AR110" s="276">
        <f t="shared" si="29"/>
        <v>4</v>
      </c>
      <c r="AT110" s="278"/>
      <c r="AV110" s="274">
        <v>2</v>
      </c>
      <c r="AW110" s="274">
        <v>2</v>
      </c>
      <c r="AY110" s="279"/>
      <c r="BD110" s="279"/>
      <c r="BK110" s="280">
        <f t="shared" si="30"/>
        <v>4</v>
      </c>
      <c r="BL110" s="274">
        <f t="shared" si="31"/>
        <v>4</v>
      </c>
      <c r="BP110" s="281">
        <v>518144</v>
      </c>
      <c r="BQ110" s="281">
        <v>175553</v>
      </c>
      <c r="BR110" s="296" t="s">
        <v>141</v>
      </c>
      <c r="BS110" t="s">
        <v>167</v>
      </c>
      <c r="BT110"/>
      <c r="BU110"/>
      <c r="BV110"/>
      <c r="BW110"/>
      <c r="BX110"/>
      <c r="BY110" t="s">
        <v>504</v>
      </c>
      <c r="BZ110" t="s">
        <v>325</v>
      </c>
      <c r="CA110" t="s">
        <v>325</v>
      </c>
      <c r="CB110" t="s">
        <v>191</v>
      </c>
    </row>
    <row r="111" spans="1:81" ht="15" customHeight="1" x14ac:dyDescent="0.25">
      <c r="A111" s="274" t="s">
        <v>893</v>
      </c>
      <c r="B111" s="274" t="s">
        <v>459</v>
      </c>
      <c r="C111" s="274"/>
      <c r="D111" s="275">
        <v>43661</v>
      </c>
      <c r="E111" s="275">
        <v>44757</v>
      </c>
      <c r="F111" s="275">
        <v>44249</v>
      </c>
      <c r="H111" s="274" t="s">
        <v>272</v>
      </c>
      <c r="I111" s="244" t="s">
        <v>303</v>
      </c>
      <c r="J111" s="244"/>
      <c r="K111" s="244"/>
      <c r="L111" s="244"/>
      <c r="M111" s="277" t="s">
        <v>894</v>
      </c>
      <c r="N111" s="277" t="s">
        <v>895</v>
      </c>
      <c r="O111" s="276" t="s">
        <v>896</v>
      </c>
      <c r="Y111" s="276">
        <f t="shared" si="19"/>
        <v>0</v>
      </c>
      <c r="AA111" s="276">
        <v>22</v>
      </c>
      <c r="AB111" s="276">
        <v>30</v>
      </c>
      <c r="AC111" s="276">
        <v>2</v>
      </c>
      <c r="AD111" s="276">
        <v>2</v>
      </c>
      <c r="AI111" s="276">
        <f t="shared" si="20"/>
        <v>56</v>
      </c>
      <c r="AJ111">
        <f t="shared" si="21"/>
        <v>22</v>
      </c>
      <c r="AK111">
        <f t="shared" si="22"/>
        <v>30</v>
      </c>
      <c r="AL111">
        <f t="shared" si="23"/>
        <v>2</v>
      </c>
      <c r="AM111">
        <f t="shared" si="24"/>
        <v>2</v>
      </c>
      <c r="AN111">
        <f t="shared" si="25"/>
        <v>0</v>
      </c>
      <c r="AO111">
        <f t="shared" si="26"/>
        <v>0</v>
      </c>
      <c r="AP111">
        <f t="shared" si="27"/>
        <v>0</v>
      </c>
      <c r="AQ111">
        <f t="shared" si="28"/>
        <v>0</v>
      </c>
      <c r="AR111" s="276">
        <f t="shared" si="29"/>
        <v>56</v>
      </c>
      <c r="AT111" s="278"/>
      <c r="AV111" s="274">
        <v>28</v>
      </c>
      <c r="AW111" s="274">
        <v>28</v>
      </c>
      <c r="AY111" s="279"/>
      <c r="BD111" s="279"/>
      <c r="BK111" s="280">
        <f t="shared" si="30"/>
        <v>56</v>
      </c>
      <c r="BL111" s="274">
        <f t="shared" si="31"/>
        <v>56</v>
      </c>
      <c r="BP111" s="281">
        <v>518144</v>
      </c>
      <c r="BQ111" s="281">
        <v>175553</v>
      </c>
      <c r="BR111" s="296" t="s">
        <v>141</v>
      </c>
      <c r="BS111" t="s">
        <v>167</v>
      </c>
      <c r="BT111"/>
      <c r="BU111"/>
      <c r="BV111"/>
      <c r="BW111"/>
      <c r="BX111"/>
      <c r="BY111" t="s">
        <v>504</v>
      </c>
      <c r="BZ111" t="s">
        <v>325</v>
      </c>
      <c r="CA111" t="s">
        <v>325</v>
      </c>
      <c r="CB111" t="s">
        <v>191</v>
      </c>
    </row>
    <row r="112" spans="1:81" ht="15" customHeight="1" x14ac:dyDescent="0.25">
      <c r="A112" s="274" t="s">
        <v>897</v>
      </c>
      <c r="B112" s="277" t="s">
        <v>542</v>
      </c>
      <c r="D112" s="275">
        <v>43811</v>
      </c>
      <c r="E112" s="275">
        <v>44907</v>
      </c>
      <c r="F112" s="275">
        <v>43920</v>
      </c>
      <c r="H112" s="274" t="s">
        <v>272</v>
      </c>
      <c r="I112" s="276" t="s">
        <v>338</v>
      </c>
      <c r="M112" s="277" t="s">
        <v>898</v>
      </c>
      <c r="N112" s="277" t="s">
        <v>899</v>
      </c>
      <c r="O112" s="276" t="s">
        <v>900</v>
      </c>
      <c r="Y112" s="276">
        <f t="shared" si="19"/>
        <v>0</v>
      </c>
      <c r="Z112" s="276" t="s">
        <v>325</v>
      </c>
      <c r="AA112" s="276">
        <v>3</v>
      </c>
      <c r="AB112" s="276">
        <v>3</v>
      </c>
      <c r="AI112" s="276">
        <f t="shared" si="20"/>
        <v>6</v>
      </c>
      <c r="AJ112">
        <f t="shared" si="21"/>
        <v>3</v>
      </c>
      <c r="AK112">
        <f t="shared" si="22"/>
        <v>3</v>
      </c>
      <c r="AL112">
        <f t="shared" si="23"/>
        <v>0</v>
      </c>
      <c r="AM112">
        <f t="shared" si="24"/>
        <v>0</v>
      </c>
      <c r="AN112">
        <f t="shared" si="25"/>
        <v>0</v>
      </c>
      <c r="AO112">
        <f t="shared" si="26"/>
        <v>0</v>
      </c>
      <c r="AP112">
        <f t="shared" si="27"/>
        <v>0</v>
      </c>
      <c r="AQ112">
        <f t="shared" si="28"/>
        <v>0</v>
      </c>
      <c r="AR112" s="276">
        <f t="shared" si="29"/>
        <v>6</v>
      </c>
      <c r="AT112" s="278"/>
      <c r="AU112" s="274">
        <v>3</v>
      </c>
      <c r="AV112" s="274">
        <v>3</v>
      </c>
      <c r="AY112" s="279"/>
      <c r="BD112" s="279"/>
      <c r="BK112" s="280">
        <f t="shared" si="30"/>
        <v>6</v>
      </c>
      <c r="BL112" s="274">
        <f t="shared" si="31"/>
        <v>6</v>
      </c>
      <c r="BP112" s="281">
        <v>517598</v>
      </c>
      <c r="BQ112" s="281">
        <v>169722</v>
      </c>
      <c r="BR112" s="296" t="s">
        <v>183</v>
      </c>
      <c r="BS112" t="s">
        <v>163</v>
      </c>
      <c r="BT112"/>
      <c r="BU112"/>
      <c r="BV112"/>
      <c r="BW112"/>
      <c r="BX112"/>
      <c r="BY112" t="s">
        <v>791</v>
      </c>
      <c r="BZ112" t="s">
        <v>325</v>
      </c>
      <c r="CA112" t="s">
        <v>325</v>
      </c>
      <c r="CB112" t="s">
        <v>192</v>
      </c>
    </row>
    <row r="113" spans="1:80" ht="15" customHeight="1" x14ac:dyDescent="0.25">
      <c r="A113" s="274" t="s">
        <v>897</v>
      </c>
      <c r="B113" s="277" t="s">
        <v>542</v>
      </c>
      <c r="D113" s="275">
        <v>43811</v>
      </c>
      <c r="E113" s="275">
        <v>44907</v>
      </c>
      <c r="F113" s="275">
        <v>43920</v>
      </c>
      <c r="H113" s="274" t="s">
        <v>272</v>
      </c>
      <c r="I113" s="244" t="s">
        <v>303</v>
      </c>
      <c r="J113" s="244"/>
      <c r="K113" s="244"/>
      <c r="L113" s="244"/>
      <c r="M113" s="277" t="s">
        <v>898</v>
      </c>
      <c r="N113" s="277" t="s">
        <v>899</v>
      </c>
      <c r="O113" s="276" t="s">
        <v>900</v>
      </c>
      <c r="Q113" s="276">
        <v>7</v>
      </c>
      <c r="Y113" s="276">
        <f t="shared" si="19"/>
        <v>7</v>
      </c>
      <c r="AA113" s="276">
        <v>2</v>
      </c>
      <c r="AB113" s="276">
        <v>4</v>
      </c>
      <c r="AI113" s="276">
        <f t="shared" si="20"/>
        <v>6</v>
      </c>
      <c r="AJ113">
        <f t="shared" si="21"/>
        <v>-5</v>
      </c>
      <c r="AK113">
        <f t="shared" si="22"/>
        <v>4</v>
      </c>
      <c r="AL113">
        <f t="shared" si="23"/>
        <v>0</v>
      </c>
      <c r="AM113">
        <f t="shared" si="24"/>
        <v>0</v>
      </c>
      <c r="AN113">
        <f t="shared" si="25"/>
        <v>0</v>
      </c>
      <c r="AO113">
        <f t="shared" si="26"/>
        <v>0</v>
      </c>
      <c r="AP113">
        <f t="shared" si="27"/>
        <v>0</v>
      </c>
      <c r="AQ113">
        <f t="shared" si="28"/>
        <v>0</v>
      </c>
      <c r="AR113" s="276">
        <f t="shared" si="29"/>
        <v>-1</v>
      </c>
      <c r="AT113" s="278"/>
      <c r="AU113" s="274">
        <v>-0.5</v>
      </c>
      <c r="AV113" s="274">
        <v>-0.5</v>
      </c>
      <c r="AY113" s="279"/>
      <c r="BD113" s="279"/>
      <c r="BK113" s="280">
        <f t="shared" si="30"/>
        <v>-1</v>
      </c>
      <c r="BL113" s="274">
        <f t="shared" si="31"/>
        <v>-1</v>
      </c>
      <c r="BP113" s="281">
        <v>517598</v>
      </c>
      <c r="BQ113" s="281">
        <v>169722</v>
      </c>
      <c r="BR113" s="296" t="s">
        <v>183</v>
      </c>
      <c r="BS113" t="s">
        <v>163</v>
      </c>
      <c r="BT113"/>
      <c r="BU113"/>
      <c r="BV113"/>
      <c r="BW113"/>
      <c r="BX113"/>
      <c r="BY113" t="s">
        <v>791</v>
      </c>
      <c r="BZ113" t="s">
        <v>325</v>
      </c>
      <c r="CA113" t="s">
        <v>325</v>
      </c>
      <c r="CB113" t="s">
        <v>192</v>
      </c>
    </row>
    <row r="114" spans="1:80" ht="15" customHeight="1" x14ac:dyDescent="0.25">
      <c r="A114" s="274" t="s">
        <v>901</v>
      </c>
      <c r="B114" s="277" t="s">
        <v>444</v>
      </c>
      <c r="D114" s="275">
        <v>43594</v>
      </c>
      <c r="E114" s="275">
        <v>44690</v>
      </c>
      <c r="F114" s="275">
        <v>44155</v>
      </c>
      <c r="H114" s="234" t="s">
        <v>272</v>
      </c>
      <c r="I114" s="238" t="s">
        <v>303</v>
      </c>
      <c r="M114" s="277" t="s">
        <v>902</v>
      </c>
      <c r="N114" s="277" t="s">
        <v>903</v>
      </c>
      <c r="O114" s="276" t="s">
        <v>904</v>
      </c>
      <c r="Q114" s="276">
        <v>1</v>
      </c>
      <c r="Y114" s="276">
        <f t="shared" si="19"/>
        <v>1</v>
      </c>
      <c r="AA114" s="276">
        <v>1</v>
      </c>
      <c r="AI114" s="276">
        <f t="shared" si="20"/>
        <v>1</v>
      </c>
      <c r="AJ114">
        <f t="shared" si="21"/>
        <v>0</v>
      </c>
      <c r="AK114">
        <f t="shared" si="22"/>
        <v>0</v>
      </c>
      <c r="AL114">
        <f t="shared" si="23"/>
        <v>0</v>
      </c>
      <c r="AM114">
        <f t="shared" si="24"/>
        <v>0</v>
      </c>
      <c r="AN114">
        <f t="shared" si="25"/>
        <v>0</v>
      </c>
      <c r="AO114">
        <f t="shared" si="26"/>
        <v>0</v>
      </c>
      <c r="AP114">
        <f t="shared" si="27"/>
        <v>0</v>
      </c>
      <c r="AQ114">
        <f t="shared" si="28"/>
        <v>0</v>
      </c>
      <c r="AR114" s="276">
        <f t="shared" si="29"/>
        <v>0</v>
      </c>
      <c r="AT114" s="278"/>
      <c r="AU114" s="274">
        <v>0</v>
      </c>
      <c r="AY114" s="279"/>
      <c r="BD114" s="279"/>
      <c r="BK114" s="280">
        <f t="shared" si="30"/>
        <v>0</v>
      </c>
      <c r="BL114" s="274">
        <f t="shared" si="31"/>
        <v>0</v>
      </c>
      <c r="BP114" s="281">
        <v>516414</v>
      </c>
      <c r="BQ114" s="281">
        <v>173065</v>
      </c>
      <c r="BR114" s="296" t="s">
        <v>145</v>
      </c>
      <c r="BS114" t="s">
        <v>171</v>
      </c>
      <c r="BT114"/>
      <c r="BU114" t="s">
        <v>142</v>
      </c>
      <c r="BV114"/>
      <c r="BW114"/>
      <c r="BX114"/>
      <c r="BY114" t="s">
        <v>679</v>
      </c>
      <c r="BZ114" t="s">
        <v>325</v>
      </c>
      <c r="CA114" t="s">
        <v>325</v>
      </c>
      <c r="CB114" t="s">
        <v>193</v>
      </c>
    </row>
    <row r="115" spans="1:80" ht="15" customHeight="1" x14ac:dyDescent="0.25">
      <c r="A115" s="274" t="s">
        <v>905</v>
      </c>
      <c r="B115" s="277" t="s">
        <v>532</v>
      </c>
      <c r="D115" s="275">
        <v>43866</v>
      </c>
      <c r="E115" s="275">
        <v>44962</v>
      </c>
      <c r="F115" s="275">
        <v>44960</v>
      </c>
      <c r="H115" s="274" t="s">
        <v>272</v>
      </c>
      <c r="I115" s="238" t="s">
        <v>303</v>
      </c>
      <c r="M115" s="277" t="s">
        <v>906</v>
      </c>
      <c r="N115" s="277" t="s">
        <v>907</v>
      </c>
      <c r="O115" s="276" t="s">
        <v>908</v>
      </c>
      <c r="Y115" s="276">
        <f t="shared" si="19"/>
        <v>0</v>
      </c>
      <c r="AB115" s="276">
        <v>2</v>
      </c>
      <c r="AI115" s="276">
        <f t="shared" si="20"/>
        <v>2</v>
      </c>
      <c r="AJ115">
        <f t="shared" si="21"/>
        <v>0</v>
      </c>
      <c r="AK115">
        <f t="shared" si="22"/>
        <v>2</v>
      </c>
      <c r="AL115">
        <f t="shared" si="23"/>
        <v>0</v>
      </c>
      <c r="AM115">
        <f t="shared" si="24"/>
        <v>0</v>
      </c>
      <c r="AN115">
        <f t="shared" si="25"/>
        <v>0</v>
      </c>
      <c r="AO115">
        <f t="shared" si="26"/>
        <v>0</v>
      </c>
      <c r="AP115">
        <f t="shared" si="27"/>
        <v>0</v>
      </c>
      <c r="AQ115">
        <f t="shared" si="28"/>
        <v>0</v>
      </c>
      <c r="AR115" s="276">
        <f t="shared" si="29"/>
        <v>2</v>
      </c>
      <c r="AT115" s="278"/>
      <c r="AU115" s="274">
        <v>1</v>
      </c>
      <c r="AV115" s="274">
        <v>1</v>
      </c>
      <c r="AY115" s="279"/>
      <c r="BD115" s="279"/>
      <c r="BK115" s="280">
        <f t="shared" si="30"/>
        <v>2</v>
      </c>
      <c r="BL115" s="274">
        <f t="shared" si="31"/>
        <v>2</v>
      </c>
      <c r="BP115" s="281">
        <v>517543</v>
      </c>
      <c r="BQ115" s="281">
        <v>169767</v>
      </c>
      <c r="BR115" s="296" t="s">
        <v>183</v>
      </c>
      <c r="BS115" t="s">
        <v>163</v>
      </c>
      <c r="BT115"/>
      <c r="BU115"/>
      <c r="BV115"/>
      <c r="BW115"/>
      <c r="BX115"/>
      <c r="BY115"/>
      <c r="BZ115"/>
      <c r="CA115" t="s">
        <v>325</v>
      </c>
      <c r="CB115" t="s">
        <v>192</v>
      </c>
    </row>
    <row r="116" spans="1:80" ht="15" customHeight="1" x14ac:dyDescent="0.25">
      <c r="A116" s="274" t="s">
        <v>909</v>
      </c>
      <c r="B116" s="277" t="s">
        <v>444</v>
      </c>
      <c r="D116" s="275">
        <v>43754</v>
      </c>
      <c r="E116" s="275">
        <v>44850</v>
      </c>
      <c r="F116" s="275">
        <v>44383</v>
      </c>
      <c r="H116" s="274" t="s">
        <v>272</v>
      </c>
      <c r="I116" s="238" t="s">
        <v>303</v>
      </c>
      <c r="M116" s="277" t="s">
        <v>910</v>
      </c>
      <c r="N116" s="277" t="s">
        <v>911</v>
      </c>
      <c r="O116" s="276" t="s">
        <v>912</v>
      </c>
      <c r="R116" s="276">
        <v>2</v>
      </c>
      <c r="S116" s="276">
        <v>1</v>
      </c>
      <c r="Y116" s="276">
        <f t="shared" si="19"/>
        <v>3</v>
      </c>
      <c r="AD116" s="276">
        <v>3</v>
      </c>
      <c r="AI116" s="276">
        <f t="shared" si="20"/>
        <v>3</v>
      </c>
      <c r="AJ116">
        <f t="shared" si="21"/>
        <v>0</v>
      </c>
      <c r="AK116">
        <f t="shared" si="22"/>
        <v>-2</v>
      </c>
      <c r="AL116">
        <f t="shared" si="23"/>
        <v>-1</v>
      </c>
      <c r="AM116">
        <f t="shared" si="24"/>
        <v>3</v>
      </c>
      <c r="AN116">
        <f t="shared" si="25"/>
        <v>0</v>
      </c>
      <c r="AO116">
        <f t="shared" si="26"/>
        <v>0</v>
      </c>
      <c r="AP116">
        <f t="shared" si="27"/>
        <v>0</v>
      </c>
      <c r="AQ116">
        <f t="shared" si="28"/>
        <v>0</v>
      </c>
      <c r="AR116" s="276">
        <f t="shared" si="29"/>
        <v>0</v>
      </c>
      <c r="AT116" s="278"/>
      <c r="AU116" s="274">
        <v>0</v>
      </c>
      <c r="AY116" s="279"/>
      <c r="BD116" s="279"/>
      <c r="BK116" s="280">
        <f t="shared" si="30"/>
        <v>0</v>
      </c>
      <c r="BL116" s="274">
        <f t="shared" si="31"/>
        <v>0</v>
      </c>
      <c r="BP116" s="281">
        <v>518209</v>
      </c>
      <c r="BQ116" s="281">
        <v>174625</v>
      </c>
      <c r="BR116" s="296" t="s">
        <v>141</v>
      </c>
      <c r="BS116" t="s">
        <v>168</v>
      </c>
      <c r="BT116"/>
      <c r="BU116"/>
      <c r="BV116"/>
      <c r="BW116"/>
      <c r="BX116"/>
      <c r="BY116" t="s">
        <v>913</v>
      </c>
      <c r="BZ116" t="s">
        <v>325</v>
      </c>
      <c r="CA116" t="s">
        <v>325</v>
      </c>
      <c r="CB116" t="s">
        <v>191</v>
      </c>
    </row>
    <row r="117" spans="1:80" ht="15" customHeight="1" x14ac:dyDescent="0.25">
      <c r="A117" s="274" t="s">
        <v>914</v>
      </c>
      <c r="B117" s="277" t="s">
        <v>444</v>
      </c>
      <c r="D117" s="275">
        <v>43656</v>
      </c>
      <c r="E117" s="275">
        <v>44752</v>
      </c>
      <c r="F117" s="275">
        <v>43972</v>
      </c>
      <c r="H117" s="274" t="s">
        <v>272</v>
      </c>
      <c r="I117" s="238" t="s">
        <v>303</v>
      </c>
      <c r="M117" s="277" t="s">
        <v>915</v>
      </c>
      <c r="N117" s="277" t="s">
        <v>916</v>
      </c>
      <c r="O117" s="276" t="s">
        <v>917</v>
      </c>
      <c r="Q117" s="276">
        <v>8</v>
      </c>
      <c r="R117" s="276">
        <v>2</v>
      </c>
      <c r="S117" s="276">
        <v>4</v>
      </c>
      <c r="T117" s="276">
        <v>2</v>
      </c>
      <c r="Y117" s="276">
        <f t="shared" si="19"/>
        <v>16</v>
      </c>
      <c r="AA117" s="276">
        <v>7</v>
      </c>
      <c r="AB117" s="276">
        <v>5</v>
      </c>
      <c r="AC117" s="276">
        <v>6</v>
      </c>
      <c r="AI117" s="276">
        <f t="shared" si="20"/>
        <v>18</v>
      </c>
      <c r="AJ117">
        <f t="shared" si="21"/>
        <v>-1</v>
      </c>
      <c r="AK117">
        <f t="shared" si="22"/>
        <v>3</v>
      </c>
      <c r="AL117">
        <f t="shared" si="23"/>
        <v>2</v>
      </c>
      <c r="AM117">
        <f t="shared" si="24"/>
        <v>-2</v>
      </c>
      <c r="AN117">
        <f t="shared" si="25"/>
        <v>0</v>
      </c>
      <c r="AO117">
        <f t="shared" si="26"/>
        <v>0</v>
      </c>
      <c r="AP117">
        <f t="shared" si="27"/>
        <v>0</v>
      </c>
      <c r="AQ117">
        <f t="shared" si="28"/>
        <v>0</v>
      </c>
      <c r="AR117" s="276">
        <f t="shared" si="29"/>
        <v>2</v>
      </c>
      <c r="AT117" s="278"/>
      <c r="AU117" s="274">
        <v>1</v>
      </c>
      <c r="AV117" s="274">
        <v>1</v>
      </c>
      <c r="AY117" s="279"/>
      <c r="BD117" s="279"/>
      <c r="BK117" s="280">
        <f t="shared" si="30"/>
        <v>2</v>
      </c>
      <c r="BL117" s="274">
        <f t="shared" si="31"/>
        <v>2</v>
      </c>
      <c r="BP117" s="281">
        <v>522473</v>
      </c>
      <c r="BQ117" s="281">
        <v>178000</v>
      </c>
      <c r="BR117" s="296" t="s">
        <v>181</v>
      </c>
      <c r="BS117" t="s">
        <v>158</v>
      </c>
      <c r="BT117"/>
      <c r="BU117" t="s">
        <v>142</v>
      </c>
      <c r="BV117"/>
      <c r="BW117"/>
      <c r="BX117"/>
      <c r="BY117"/>
      <c r="BZ117"/>
      <c r="CA117" t="s">
        <v>325</v>
      </c>
      <c r="CB117" t="s">
        <v>158</v>
      </c>
    </row>
    <row r="118" spans="1:80" ht="15" customHeight="1" x14ac:dyDescent="0.25">
      <c r="A118" s="274" t="s">
        <v>918</v>
      </c>
      <c r="B118" s="277" t="s">
        <v>542</v>
      </c>
      <c r="D118" s="275">
        <v>43910</v>
      </c>
      <c r="E118" s="275">
        <v>45005</v>
      </c>
      <c r="F118" s="275">
        <v>44105</v>
      </c>
      <c r="H118" s="274" t="s">
        <v>272</v>
      </c>
      <c r="I118" s="238" t="s">
        <v>303</v>
      </c>
      <c r="M118" s="277" t="s">
        <v>919</v>
      </c>
      <c r="N118" s="277" t="s">
        <v>920</v>
      </c>
      <c r="O118" s="276" t="s">
        <v>921</v>
      </c>
      <c r="S118" s="276">
        <v>1</v>
      </c>
      <c r="Y118" s="276">
        <f t="shared" si="19"/>
        <v>1</v>
      </c>
      <c r="AB118" s="276">
        <v>2</v>
      </c>
      <c r="AI118" s="276">
        <f t="shared" si="20"/>
        <v>2</v>
      </c>
      <c r="AJ118">
        <f t="shared" si="21"/>
        <v>0</v>
      </c>
      <c r="AK118">
        <f t="shared" si="22"/>
        <v>2</v>
      </c>
      <c r="AL118">
        <f t="shared" si="23"/>
        <v>-1</v>
      </c>
      <c r="AM118">
        <f t="shared" si="24"/>
        <v>0</v>
      </c>
      <c r="AN118">
        <f t="shared" si="25"/>
        <v>0</v>
      </c>
      <c r="AO118">
        <f t="shared" si="26"/>
        <v>0</v>
      </c>
      <c r="AP118">
        <f t="shared" si="27"/>
        <v>0</v>
      </c>
      <c r="AQ118">
        <f t="shared" si="28"/>
        <v>0</v>
      </c>
      <c r="AR118" s="276">
        <f t="shared" si="29"/>
        <v>1</v>
      </c>
      <c r="AT118" s="278"/>
      <c r="AU118" s="274">
        <v>0.5</v>
      </c>
      <c r="AV118" s="274">
        <v>0.5</v>
      </c>
      <c r="AY118" s="279"/>
      <c r="BD118" s="279"/>
      <c r="BK118" s="280">
        <f t="shared" si="30"/>
        <v>1</v>
      </c>
      <c r="BL118" s="274">
        <f t="shared" si="31"/>
        <v>1</v>
      </c>
      <c r="BP118" s="281">
        <v>517949</v>
      </c>
      <c r="BQ118" s="281">
        <v>174506</v>
      </c>
      <c r="BR118" s="296" t="s">
        <v>141</v>
      </c>
      <c r="BS118" t="s">
        <v>168</v>
      </c>
      <c r="BT118" t="s">
        <v>141</v>
      </c>
      <c r="BU118"/>
      <c r="BV118"/>
      <c r="BW118"/>
      <c r="BX118"/>
      <c r="BY118" t="s">
        <v>526</v>
      </c>
      <c r="BZ118" t="s">
        <v>325</v>
      </c>
      <c r="CA118" t="s">
        <v>325</v>
      </c>
      <c r="CB118" t="s">
        <v>191</v>
      </c>
    </row>
    <row r="119" spans="1:80" ht="15" customHeight="1" x14ac:dyDescent="0.25">
      <c r="A119" s="274" t="s">
        <v>922</v>
      </c>
      <c r="B119" s="277" t="s">
        <v>444</v>
      </c>
      <c r="D119" s="275">
        <v>43698</v>
      </c>
      <c r="E119" s="275">
        <v>44794</v>
      </c>
      <c r="F119" s="275">
        <v>44805</v>
      </c>
      <c r="H119" s="274" t="s">
        <v>272</v>
      </c>
      <c r="I119" s="238" t="s">
        <v>303</v>
      </c>
      <c r="M119" s="277" t="s">
        <v>923</v>
      </c>
      <c r="N119" s="277" t="s">
        <v>924</v>
      </c>
      <c r="O119" s="276" t="s">
        <v>925</v>
      </c>
      <c r="R119" s="276">
        <v>1</v>
      </c>
      <c r="Y119" s="276">
        <f t="shared" si="19"/>
        <v>1</v>
      </c>
      <c r="AD119" s="276">
        <v>1</v>
      </c>
      <c r="AI119" s="276">
        <f t="shared" si="20"/>
        <v>1</v>
      </c>
      <c r="AJ119">
        <f t="shared" si="21"/>
        <v>0</v>
      </c>
      <c r="AK119">
        <f t="shared" si="22"/>
        <v>-1</v>
      </c>
      <c r="AL119">
        <f t="shared" si="23"/>
        <v>0</v>
      </c>
      <c r="AM119">
        <f t="shared" si="24"/>
        <v>1</v>
      </c>
      <c r="AN119">
        <f t="shared" si="25"/>
        <v>0</v>
      </c>
      <c r="AO119">
        <f t="shared" si="26"/>
        <v>0</v>
      </c>
      <c r="AP119">
        <f t="shared" si="27"/>
        <v>0</v>
      </c>
      <c r="AQ119">
        <f t="shared" si="28"/>
        <v>0</v>
      </c>
      <c r="AR119" s="276">
        <f t="shared" si="29"/>
        <v>0</v>
      </c>
      <c r="AT119" s="278"/>
      <c r="AU119" s="274">
        <v>0</v>
      </c>
      <c r="AY119" s="279"/>
      <c r="BD119" s="279"/>
      <c r="BK119" s="280">
        <f t="shared" si="30"/>
        <v>0</v>
      </c>
      <c r="BL119" s="274">
        <f t="shared" si="31"/>
        <v>0</v>
      </c>
      <c r="BP119" s="281">
        <v>515806</v>
      </c>
      <c r="BQ119" s="281">
        <v>172455</v>
      </c>
      <c r="BR119" s="296" t="s">
        <v>145</v>
      </c>
      <c r="BS119" t="s">
        <v>169</v>
      </c>
      <c r="BT119"/>
      <c r="BU119"/>
      <c r="BV119"/>
      <c r="BW119"/>
      <c r="BX119"/>
      <c r="BY119"/>
      <c r="BZ119"/>
      <c r="CA119" t="s">
        <v>325</v>
      </c>
      <c r="CB119" t="s">
        <v>193</v>
      </c>
    </row>
    <row r="120" spans="1:80" ht="15" customHeight="1" x14ac:dyDescent="0.25">
      <c r="A120" s="274" t="s">
        <v>926</v>
      </c>
      <c r="B120" s="277" t="s">
        <v>444</v>
      </c>
      <c r="D120" s="275">
        <v>43990</v>
      </c>
      <c r="E120" s="275">
        <v>45085</v>
      </c>
      <c r="F120" s="275">
        <v>44667</v>
      </c>
      <c r="H120" s="274" t="s">
        <v>272</v>
      </c>
      <c r="I120" s="238" t="s">
        <v>303</v>
      </c>
      <c r="M120" s="277" t="s">
        <v>927</v>
      </c>
      <c r="N120" s="277" t="s">
        <v>928</v>
      </c>
      <c r="O120" s="276" t="s">
        <v>929</v>
      </c>
      <c r="S120" s="276">
        <v>1</v>
      </c>
      <c r="Y120" s="276">
        <f t="shared" si="19"/>
        <v>1</v>
      </c>
      <c r="AD120" s="276">
        <v>4</v>
      </c>
      <c r="AI120" s="276">
        <f t="shared" si="20"/>
        <v>4</v>
      </c>
      <c r="AJ120">
        <f t="shared" si="21"/>
        <v>0</v>
      </c>
      <c r="AK120">
        <f t="shared" si="22"/>
        <v>0</v>
      </c>
      <c r="AL120">
        <f t="shared" si="23"/>
        <v>-1</v>
      </c>
      <c r="AM120">
        <f t="shared" si="24"/>
        <v>4</v>
      </c>
      <c r="AN120">
        <f t="shared" si="25"/>
        <v>0</v>
      </c>
      <c r="AO120">
        <f t="shared" si="26"/>
        <v>0</v>
      </c>
      <c r="AP120">
        <f t="shared" si="27"/>
        <v>0</v>
      </c>
      <c r="AQ120">
        <f t="shared" si="28"/>
        <v>0</v>
      </c>
      <c r="AR120" s="276">
        <f t="shared" si="29"/>
        <v>3</v>
      </c>
      <c r="AT120" s="278"/>
      <c r="AU120" s="274">
        <v>3</v>
      </c>
      <c r="AY120" s="279"/>
      <c r="BD120" s="279"/>
      <c r="BK120" s="280">
        <f t="shared" si="30"/>
        <v>3</v>
      </c>
      <c r="BL120" s="274">
        <f t="shared" si="31"/>
        <v>3</v>
      </c>
      <c r="BP120" s="281">
        <v>513614</v>
      </c>
      <c r="BQ120" s="281">
        <v>173545</v>
      </c>
      <c r="BR120" t="s">
        <v>147</v>
      </c>
      <c r="BS120" t="s">
        <v>164</v>
      </c>
      <c r="BT120"/>
      <c r="BU120"/>
      <c r="BV120"/>
      <c r="BW120"/>
      <c r="BX120"/>
      <c r="BY120"/>
      <c r="BZ120"/>
      <c r="CA120" t="s">
        <v>325</v>
      </c>
      <c r="CB120" t="s">
        <v>194</v>
      </c>
    </row>
    <row r="121" spans="1:80" ht="15" customHeight="1" x14ac:dyDescent="0.25">
      <c r="A121" s="274" t="s">
        <v>930</v>
      </c>
      <c r="B121" s="277" t="s">
        <v>444</v>
      </c>
      <c r="D121" s="275">
        <v>44209</v>
      </c>
      <c r="E121" s="275">
        <v>45304</v>
      </c>
      <c r="F121" s="275">
        <v>45089</v>
      </c>
      <c r="H121" s="274" t="s">
        <v>272</v>
      </c>
      <c r="I121" s="238" t="s">
        <v>303</v>
      </c>
      <c r="M121" s="277" t="s">
        <v>931</v>
      </c>
      <c r="N121" s="277" t="s">
        <v>932</v>
      </c>
      <c r="O121" s="276" t="s">
        <v>933</v>
      </c>
      <c r="Y121" s="276">
        <f t="shared" si="19"/>
        <v>0</v>
      </c>
      <c r="AB121" s="276">
        <v>2</v>
      </c>
      <c r="AI121" s="276">
        <f t="shared" si="20"/>
        <v>2</v>
      </c>
      <c r="AJ121">
        <f t="shared" si="21"/>
        <v>0</v>
      </c>
      <c r="AK121">
        <f t="shared" si="22"/>
        <v>2</v>
      </c>
      <c r="AL121">
        <f t="shared" si="23"/>
        <v>0</v>
      </c>
      <c r="AM121">
        <f t="shared" si="24"/>
        <v>0</v>
      </c>
      <c r="AN121">
        <f t="shared" si="25"/>
        <v>0</v>
      </c>
      <c r="AO121">
        <f t="shared" si="26"/>
        <v>0</v>
      </c>
      <c r="AP121">
        <f t="shared" si="27"/>
        <v>0</v>
      </c>
      <c r="AQ121">
        <f t="shared" si="28"/>
        <v>0</v>
      </c>
      <c r="AR121" s="276">
        <f t="shared" si="29"/>
        <v>2</v>
      </c>
      <c r="AT121" s="278"/>
      <c r="AU121" s="274">
        <v>1</v>
      </c>
      <c r="AV121" s="274">
        <v>1</v>
      </c>
      <c r="AY121" s="279"/>
      <c r="BD121" s="279"/>
      <c r="BK121" s="280">
        <f t="shared" si="30"/>
        <v>2</v>
      </c>
      <c r="BL121" s="274">
        <f t="shared" si="31"/>
        <v>2</v>
      </c>
      <c r="BP121" s="281">
        <v>520452</v>
      </c>
      <c r="BQ121" s="281">
        <v>175621</v>
      </c>
      <c r="BR121" s="296" t="s">
        <v>181</v>
      </c>
      <c r="BS121" t="s">
        <v>140</v>
      </c>
      <c r="BT121"/>
      <c r="BU121"/>
      <c r="BV121"/>
      <c r="BW121"/>
      <c r="BX121"/>
      <c r="BY121" t="s">
        <v>934</v>
      </c>
      <c r="BZ121" t="s">
        <v>325</v>
      </c>
      <c r="CA121" t="s">
        <v>325</v>
      </c>
      <c r="CB121" t="s">
        <v>190</v>
      </c>
    </row>
    <row r="122" spans="1:80" ht="15" customHeight="1" x14ac:dyDescent="0.25">
      <c r="A122" s="274" t="s">
        <v>935</v>
      </c>
      <c r="B122" s="277" t="s">
        <v>532</v>
      </c>
      <c r="D122" s="275">
        <v>43957</v>
      </c>
      <c r="E122" s="275">
        <v>45052</v>
      </c>
      <c r="F122" s="275">
        <v>44986</v>
      </c>
      <c r="H122" s="274" t="s">
        <v>272</v>
      </c>
      <c r="I122" s="238" t="s">
        <v>303</v>
      </c>
      <c r="M122" s="277" t="s">
        <v>936</v>
      </c>
      <c r="N122" s="277" t="s">
        <v>937</v>
      </c>
      <c r="O122" s="276" t="s">
        <v>938</v>
      </c>
      <c r="Y122" s="276">
        <f t="shared" si="19"/>
        <v>0</v>
      </c>
      <c r="AA122" s="276">
        <v>2</v>
      </c>
      <c r="AI122" s="276">
        <f t="shared" si="20"/>
        <v>2</v>
      </c>
      <c r="AJ122">
        <f t="shared" si="21"/>
        <v>2</v>
      </c>
      <c r="AK122">
        <f t="shared" si="22"/>
        <v>0</v>
      </c>
      <c r="AL122">
        <f t="shared" si="23"/>
        <v>0</v>
      </c>
      <c r="AM122">
        <f t="shared" si="24"/>
        <v>0</v>
      </c>
      <c r="AN122">
        <f t="shared" si="25"/>
        <v>0</v>
      </c>
      <c r="AO122">
        <f t="shared" si="26"/>
        <v>0</v>
      </c>
      <c r="AP122">
        <f t="shared" si="27"/>
        <v>0</v>
      </c>
      <c r="AQ122">
        <f t="shared" si="28"/>
        <v>0</v>
      </c>
      <c r="AR122" s="276">
        <f t="shared" si="29"/>
        <v>2</v>
      </c>
      <c r="AT122" s="278"/>
      <c r="AU122" s="274">
        <v>2</v>
      </c>
      <c r="AY122" s="279"/>
      <c r="BD122" s="279"/>
      <c r="BK122" s="280">
        <f t="shared" si="30"/>
        <v>2</v>
      </c>
      <c r="BL122" s="274">
        <f t="shared" si="31"/>
        <v>2</v>
      </c>
      <c r="BP122" s="281">
        <v>514218</v>
      </c>
      <c r="BQ122" s="281">
        <v>173596</v>
      </c>
      <c r="BR122" t="s">
        <v>147</v>
      </c>
      <c r="BS122" t="s">
        <v>147</v>
      </c>
      <c r="BT122" t="s">
        <v>147</v>
      </c>
      <c r="BU122"/>
      <c r="BV122"/>
      <c r="BW122"/>
      <c r="BX122"/>
      <c r="BY122"/>
      <c r="BZ122"/>
      <c r="CA122" t="s">
        <v>325</v>
      </c>
      <c r="CB122" t="s">
        <v>194</v>
      </c>
    </row>
    <row r="123" spans="1:80" ht="15" customHeight="1" x14ac:dyDescent="0.25">
      <c r="A123" s="274" t="s">
        <v>939</v>
      </c>
      <c r="B123" s="277" t="s">
        <v>444</v>
      </c>
      <c r="D123" s="275">
        <v>44001</v>
      </c>
      <c r="E123" s="275">
        <v>45096</v>
      </c>
      <c r="F123" s="275">
        <v>45086</v>
      </c>
      <c r="H123" s="274" t="s">
        <v>272</v>
      </c>
      <c r="I123" s="276" t="s">
        <v>339</v>
      </c>
      <c r="M123" s="277" t="s">
        <v>940</v>
      </c>
      <c r="N123" s="277" t="s">
        <v>941</v>
      </c>
      <c r="O123" s="276" t="s">
        <v>942</v>
      </c>
      <c r="Y123" s="276">
        <f t="shared" si="19"/>
        <v>0</v>
      </c>
      <c r="Z123" s="276" t="s">
        <v>325</v>
      </c>
      <c r="AA123" s="276">
        <v>6</v>
      </c>
      <c r="AB123" s="276">
        <v>6</v>
      </c>
      <c r="AC123" s="276">
        <v>3</v>
      </c>
      <c r="AI123" s="276">
        <f t="shared" si="20"/>
        <v>15</v>
      </c>
      <c r="AJ123">
        <f t="shared" si="21"/>
        <v>6</v>
      </c>
      <c r="AK123">
        <f t="shared" si="22"/>
        <v>6</v>
      </c>
      <c r="AL123">
        <f t="shared" si="23"/>
        <v>3</v>
      </c>
      <c r="AM123">
        <f t="shared" si="24"/>
        <v>0</v>
      </c>
      <c r="AN123">
        <f t="shared" si="25"/>
        <v>0</v>
      </c>
      <c r="AO123">
        <f t="shared" si="26"/>
        <v>0</v>
      </c>
      <c r="AP123">
        <f t="shared" si="27"/>
        <v>0</v>
      </c>
      <c r="AQ123">
        <f t="shared" si="28"/>
        <v>0</v>
      </c>
      <c r="AR123" s="276">
        <f t="shared" si="29"/>
        <v>15</v>
      </c>
      <c r="AT123" s="278"/>
      <c r="AV123" s="274">
        <v>7.5</v>
      </c>
      <c r="AW123" s="274">
        <v>7.5</v>
      </c>
      <c r="AY123" s="279"/>
      <c r="BD123" s="279"/>
      <c r="BK123" s="280">
        <f t="shared" si="30"/>
        <v>15</v>
      </c>
      <c r="BL123" s="274">
        <f t="shared" si="31"/>
        <v>15</v>
      </c>
      <c r="BP123" s="281">
        <v>515337</v>
      </c>
      <c r="BQ123" s="281">
        <v>173383</v>
      </c>
      <c r="BR123" s="296" t="s">
        <v>145</v>
      </c>
      <c r="BS123" t="s">
        <v>169</v>
      </c>
      <c r="BT123"/>
      <c r="BU123"/>
      <c r="BV123"/>
      <c r="BW123"/>
      <c r="BX123"/>
      <c r="BY123"/>
      <c r="BZ123"/>
      <c r="CA123" t="s">
        <v>325</v>
      </c>
      <c r="CB123" t="s">
        <v>193</v>
      </c>
    </row>
    <row r="124" spans="1:80" ht="15" customHeight="1" x14ac:dyDescent="0.25">
      <c r="A124" s="274" t="s">
        <v>943</v>
      </c>
      <c r="B124" s="274" t="s">
        <v>444</v>
      </c>
      <c r="C124" s="274"/>
      <c r="D124" s="275">
        <v>44258</v>
      </c>
      <c r="E124" s="275">
        <v>45354</v>
      </c>
      <c r="F124" s="275">
        <v>45301</v>
      </c>
      <c r="H124" s="274" t="s">
        <v>272</v>
      </c>
      <c r="I124" s="273" t="s">
        <v>944</v>
      </c>
      <c r="J124" s="273"/>
      <c r="K124" s="273"/>
      <c r="L124" s="273"/>
      <c r="M124" s="277" t="s">
        <v>945</v>
      </c>
      <c r="N124" s="277" t="s">
        <v>946</v>
      </c>
      <c r="O124" s="276" t="s">
        <v>947</v>
      </c>
      <c r="Y124" s="276">
        <f t="shared" si="19"/>
        <v>0</v>
      </c>
      <c r="Z124" s="276" t="s">
        <v>325</v>
      </c>
      <c r="AA124" s="276">
        <v>10</v>
      </c>
      <c r="AI124" s="276">
        <f t="shared" si="20"/>
        <v>10</v>
      </c>
      <c r="AJ124">
        <f t="shared" si="21"/>
        <v>10</v>
      </c>
      <c r="AK124">
        <f t="shared" si="22"/>
        <v>0</v>
      </c>
      <c r="AL124">
        <f t="shared" si="23"/>
        <v>0</v>
      </c>
      <c r="AM124">
        <f t="shared" si="24"/>
        <v>0</v>
      </c>
      <c r="AN124">
        <f t="shared" si="25"/>
        <v>0</v>
      </c>
      <c r="AO124">
        <f t="shared" si="26"/>
        <v>0</v>
      </c>
      <c r="AP124">
        <f t="shared" si="27"/>
        <v>0</v>
      </c>
      <c r="AQ124">
        <f t="shared" si="28"/>
        <v>0</v>
      </c>
      <c r="AR124" s="276">
        <f t="shared" si="29"/>
        <v>10</v>
      </c>
      <c r="AT124" s="278"/>
      <c r="AX124" s="274">
        <v>5</v>
      </c>
      <c r="AY124" s="279">
        <v>5</v>
      </c>
      <c r="BD124" s="279"/>
      <c r="BK124" s="280">
        <f t="shared" si="30"/>
        <v>10</v>
      </c>
      <c r="BL124" s="274">
        <f t="shared" si="31"/>
        <v>10</v>
      </c>
      <c r="BP124" s="281">
        <v>516060</v>
      </c>
      <c r="BQ124" s="281">
        <v>173599</v>
      </c>
      <c r="BR124" s="296" t="s">
        <v>145</v>
      </c>
      <c r="BS124" t="s">
        <v>171</v>
      </c>
      <c r="BT124" t="s">
        <v>145</v>
      </c>
      <c r="BU124"/>
      <c r="BV124"/>
      <c r="BW124"/>
      <c r="BX124"/>
      <c r="BY124"/>
      <c r="BZ124"/>
      <c r="CA124" t="s">
        <v>325</v>
      </c>
      <c r="CB124" t="s">
        <v>193</v>
      </c>
    </row>
    <row r="125" spans="1:80" ht="15" customHeight="1" x14ac:dyDescent="0.25">
      <c r="A125" s="274" t="s">
        <v>943</v>
      </c>
      <c r="B125" s="274" t="s">
        <v>444</v>
      </c>
      <c r="C125" s="274"/>
      <c r="D125" s="275">
        <v>44258</v>
      </c>
      <c r="E125" s="275">
        <v>45354</v>
      </c>
      <c r="F125" s="275">
        <v>45301</v>
      </c>
      <c r="H125" s="274" t="s">
        <v>272</v>
      </c>
      <c r="I125" s="244" t="s">
        <v>303</v>
      </c>
      <c r="J125" s="244"/>
      <c r="K125" s="244"/>
      <c r="L125" s="244"/>
      <c r="M125" s="277" t="s">
        <v>945</v>
      </c>
      <c r="N125" s="277" t="s">
        <v>946</v>
      </c>
      <c r="O125" s="276" t="s">
        <v>947</v>
      </c>
      <c r="Y125" s="276">
        <f t="shared" si="19"/>
        <v>0</v>
      </c>
      <c r="AA125" s="276">
        <v>28</v>
      </c>
      <c r="AB125" s="276">
        <v>8</v>
      </c>
      <c r="AI125" s="276">
        <f t="shared" si="20"/>
        <v>36</v>
      </c>
      <c r="AJ125">
        <f t="shared" si="21"/>
        <v>28</v>
      </c>
      <c r="AK125">
        <f t="shared" si="22"/>
        <v>8</v>
      </c>
      <c r="AL125">
        <f t="shared" si="23"/>
        <v>0</v>
      </c>
      <c r="AM125">
        <f t="shared" si="24"/>
        <v>0</v>
      </c>
      <c r="AN125">
        <f t="shared" si="25"/>
        <v>0</v>
      </c>
      <c r="AO125">
        <f t="shared" si="26"/>
        <v>0</v>
      </c>
      <c r="AP125">
        <f t="shared" si="27"/>
        <v>0</v>
      </c>
      <c r="AQ125">
        <f t="shared" si="28"/>
        <v>0</v>
      </c>
      <c r="AR125" s="276">
        <f t="shared" si="29"/>
        <v>36</v>
      </c>
      <c r="AT125" s="278"/>
      <c r="AX125" s="274">
        <v>18</v>
      </c>
      <c r="AY125" s="279">
        <v>18</v>
      </c>
      <c r="BD125" s="279"/>
      <c r="BK125" s="280">
        <f t="shared" si="30"/>
        <v>36</v>
      </c>
      <c r="BL125" s="274">
        <f t="shared" si="31"/>
        <v>36</v>
      </c>
      <c r="BP125" s="281">
        <v>516060</v>
      </c>
      <c r="BQ125" s="281">
        <v>173599</v>
      </c>
      <c r="BR125" s="296" t="s">
        <v>145</v>
      </c>
      <c r="BS125" t="s">
        <v>171</v>
      </c>
      <c r="BT125" t="s">
        <v>145</v>
      </c>
      <c r="BU125"/>
      <c r="BV125"/>
      <c r="BW125"/>
      <c r="BX125"/>
      <c r="BY125"/>
      <c r="BZ125"/>
      <c r="CA125" t="s">
        <v>325</v>
      </c>
      <c r="CB125" t="s">
        <v>193</v>
      </c>
    </row>
    <row r="126" spans="1:80" ht="15" customHeight="1" x14ac:dyDescent="0.25">
      <c r="A126" s="274" t="s">
        <v>948</v>
      </c>
      <c r="B126" s="277" t="s">
        <v>542</v>
      </c>
      <c r="D126" s="275">
        <v>44000</v>
      </c>
      <c r="E126" s="275">
        <v>45095</v>
      </c>
      <c r="F126" s="275">
        <v>45061</v>
      </c>
      <c r="H126" s="274" t="s">
        <v>272</v>
      </c>
      <c r="I126" s="238" t="s">
        <v>303</v>
      </c>
      <c r="M126" s="277" t="s">
        <v>949</v>
      </c>
      <c r="N126" s="277" t="s">
        <v>950</v>
      </c>
      <c r="O126" s="276" t="s">
        <v>951</v>
      </c>
      <c r="Q126" s="276">
        <v>1</v>
      </c>
      <c r="R126" s="276">
        <v>1</v>
      </c>
      <c r="Y126" s="276">
        <f t="shared" si="19"/>
        <v>2</v>
      </c>
      <c r="AA126" s="276">
        <v>4</v>
      </c>
      <c r="AI126" s="276">
        <f t="shared" si="20"/>
        <v>4</v>
      </c>
      <c r="AJ126">
        <f t="shared" si="21"/>
        <v>3</v>
      </c>
      <c r="AK126">
        <f t="shared" si="22"/>
        <v>-1</v>
      </c>
      <c r="AL126">
        <f t="shared" si="23"/>
        <v>0</v>
      </c>
      <c r="AM126">
        <f t="shared" si="24"/>
        <v>0</v>
      </c>
      <c r="AN126">
        <f t="shared" si="25"/>
        <v>0</v>
      </c>
      <c r="AO126">
        <f t="shared" si="26"/>
        <v>0</v>
      </c>
      <c r="AP126">
        <f t="shared" si="27"/>
        <v>0</v>
      </c>
      <c r="AQ126">
        <f t="shared" si="28"/>
        <v>0</v>
      </c>
      <c r="AR126" s="276">
        <f t="shared" si="29"/>
        <v>2</v>
      </c>
      <c r="AT126" s="278"/>
      <c r="AU126" s="274">
        <v>1</v>
      </c>
      <c r="AV126" s="274">
        <v>1</v>
      </c>
      <c r="AY126" s="279"/>
      <c r="BD126" s="279"/>
      <c r="BK126" s="280">
        <f t="shared" si="30"/>
        <v>2</v>
      </c>
      <c r="BL126" s="274">
        <f t="shared" si="31"/>
        <v>2</v>
      </c>
      <c r="BP126" s="281">
        <v>516259</v>
      </c>
      <c r="BQ126" s="281">
        <v>173377</v>
      </c>
      <c r="BR126" s="296" t="s">
        <v>145</v>
      </c>
      <c r="BS126" t="s">
        <v>171</v>
      </c>
      <c r="BT126" t="s">
        <v>145</v>
      </c>
      <c r="BU126"/>
      <c r="BV126"/>
      <c r="BW126"/>
      <c r="BX126"/>
      <c r="BY126" t="s">
        <v>679</v>
      </c>
      <c r="BZ126" t="s">
        <v>325</v>
      </c>
      <c r="CA126" t="s">
        <v>325</v>
      </c>
      <c r="CB126" t="s">
        <v>193</v>
      </c>
    </row>
    <row r="127" spans="1:80" ht="15" customHeight="1" x14ac:dyDescent="0.25">
      <c r="A127" s="274" t="s">
        <v>567</v>
      </c>
      <c r="B127" s="274" t="s">
        <v>532</v>
      </c>
      <c r="C127" s="274"/>
      <c r="D127" s="275">
        <v>44126</v>
      </c>
      <c r="E127" s="275">
        <v>45221</v>
      </c>
      <c r="F127" s="275">
        <v>44593</v>
      </c>
      <c r="H127" s="274" t="s">
        <v>272</v>
      </c>
      <c r="I127" s="238" t="s">
        <v>303</v>
      </c>
      <c r="M127" s="277" t="s">
        <v>952</v>
      </c>
      <c r="N127" s="277" t="s">
        <v>569</v>
      </c>
      <c r="O127" s="276" t="s">
        <v>570</v>
      </c>
      <c r="Y127" s="276">
        <f t="shared" si="19"/>
        <v>0</v>
      </c>
      <c r="AA127" s="276">
        <v>4</v>
      </c>
      <c r="AI127" s="276">
        <f t="shared" si="20"/>
        <v>4</v>
      </c>
      <c r="AJ127">
        <f t="shared" si="21"/>
        <v>4</v>
      </c>
      <c r="AK127">
        <f t="shared" si="22"/>
        <v>0</v>
      </c>
      <c r="AL127">
        <f t="shared" si="23"/>
        <v>0</v>
      </c>
      <c r="AM127">
        <f t="shared" si="24"/>
        <v>0</v>
      </c>
      <c r="AN127">
        <f t="shared" si="25"/>
        <v>0</v>
      </c>
      <c r="AO127">
        <f t="shared" si="26"/>
        <v>0</v>
      </c>
      <c r="AP127">
        <f t="shared" si="27"/>
        <v>0</v>
      </c>
      <c r="AQ127">
        <f t="shared" si="28"/>
        <v>0</v>
      </c>
      <c r="AR127" s="276">
        <f t="shared" si="29"/>
        <v>4</v>
      </c>
      <c r="AT127" s="278"/>
      <c r="AV127" s="274">
        <v>2</v>
      </c>
      <c r="AW127" s="274">
        <v>2</v>
      </c>
      <c r="AY127" s="279"/>
      <c r="BD127" s="279"/>
      <c r="BK127" s="280">
        <f t="shared" si="30"/>
        <v>4</v>
      </c>
      <c r="BL127" s="274">
        <f t="shared" si="31"/>
        <v>4</v>
      </c>
      <c r="BP127" s="281">
        <v>519849</v>
      </c>
      <c r="BQ127" s="281">
        <v>175357</v>
      </c>
      <c r="BR127" s="296" t="s">
        <v>141</v>
      </c>
      <c r="BS127" t="s">
        <v>167</v>
      </c>
      <c r="BT127"/>
      <c r="BU127"/>
      <c r="BV127"/>
      <c r="BW127"/>
      <c r="BX127"/>
      <c r="BY127"/>
      <c r="BZ127"/>
      <c r="CA127" t="s">
        <v>325</v>
      </c>
      <c r="CB127" t="s">
        <v>190</v>
      </c>
    </row>
    <row r="128" spans="1:80" ht="15" customHeight="1" x14ac:dyDescent="0.25">
      <c r="A128" s="274" t="s">
        <v>953</v>
      </c>
      <c r="B128" s="277" t="s">
        <v>481</v>
      </c>
      <c r="D128" s="275">
        <v>44109</v>
      </c>
      <c r="E128" s="239">
        <v>45204</v>
      </c>
      <c r="F128" s="239">
        <v>45204</v>
      </c>
      <c r="H128" s="274" t="s">
        <v>272</v>
      </c>
      <c r="I128" s="238" t="s">
        <v>303</v>
      </c>
      <c r="M128" s="277" t="s">
        <v>954</v>
      </c>
      <c r="N128" s="277" t="s">
        <v>955</v>
      </c>
      <c r="O128" s="276" t="s">
        <v>956</v>
      </c>
      <c r="T128" s="276">
        <v>1</v>
      </c>
      <c r="Y128" s="276">
        <f t="shared" si="19"/>
        <v>1</v>
      </c>
      <c r="AA128" s="276">
        <v>1</v>
      </c>
      <c r="AB128" s="276">
        <v>1</v>
      </c>
      <c r="AI128" s="276">
        <f t="shared" si="20"/>
        <v>2</v>
      </c>
      <c r="AJ128">
        <f t="shared" si="21"/>
        <v>1</v>
      </c>
      <c r="AK128">
        <f t="shared" si="22"/>
        <v>1</v>
      </c>
      <c r="AL128">
        <f t="shared" si="23"/>
        <v>0</v>
      </c>
      <c r="AM128">
        <f t="shared" si="24"/>
        <v>-1</v>
      </c>
      <c r="AN128">
        <f t="shared" si="25"/>
        <v>0</v>
      </c>
      <c r="AO128">
        <f t="shared" si="26"/>
        <v>0</v>
      </c>
      <c r="AP128">
        <f t="shared" si="27"/>
        <v>0</v>
      </c>
      <c r="AQ128">
        <f t="shared" si="28"/>
        <v>0</v>
      </c>
      <c r="AR128" s="276">
        <f t="shared" si="29"/>
        <v>1</v>
      </c>
      <c r="AT128" s="278"/>
      <c r="AU128" s="234">
        <v>1</v>
      </c>
      <c r="AY128" s="279"/>
      <c r="BD128" s="279"/>
      <c r="BK128" s="280">
        <f t="shared" si="30"/>
        <v>1</v>
      </c>
      <c r="BL128" s="274">
        <f t="shared" si="31"/>
        <v>1</v>
      </c>
      <c r="BP128" s="281">
        <v>514206</v>
      </c>
      <c r="BQ128" s="281">
        <v>173520</v>
      </c>
      <c r="BR128" t="s">
        <v>147</v>
      </c>
      <c r="BS128" t="s">
        <v>164</v>
      </c>
      <c r="BT128" t="s">
        <v>147</v>
      </c>
      <c r="BU128"/>
      <c r="BV128"/>
      <c r="BW128"/>
      <c r="BX128"/>
      <c r="BY128"/>
      <c r="BZ128"/>
      <c r="CA128" t="s">
        <v>325</v>
      </c>
      <c r="CB128" t="s">
        <v>194</v>
      </c>
    </row>
    <row r="129" spans="1:80" ht="15" customHeight="1" x14ac:dyDescent="0.25">
      <c r="A129" s="274" t="s">
        <v>957</v>
      </c>
      <c r="B129" s="277" t="s">
        <v>444</v>
      </c>
      <c r="D129" s="275">
        <v>44655</v>
      </c>
      <c r="E129" s="275">
        <v>45751</v>
      </c>
      <c r="F129" s="275">
        <v>44995</v>
      </c>
      <c r="H129" s="274" t="s">
        <v>272</v>
      </c>
      <c r="I129" s="276" t="s">
        <v>208</v>
      </c>
      <c r="M129" s="277" t="s">
        <v>958</v>
      </c>
      <c r="N129" s="277" t="s">
        <v>959</v>
      </c>
      <c r="O129" s="276" t="s">
        <v>960</v>
      </c>
      <c r="P129" s="276" t="s">
        <v>961</v>
      </c>
      <c r="Y129" s="276">
        <f t="shared" si="19"/>
        <v>0</v>
      </c>
      <c r="Z129" s="276" t="s">
        <v>325</v>
      </c>
      <c r="AA129" s="276">
        <v>2</v>
      </c>
      <c r="AB129" s="276">
        <v>4</v>
      </c>
      <c r="AI129" s="276">
        <f t="shared" si="20"/>
        <v>6</v>
      </c>
      <c r="AJ129">
        <f t="shared" si="21"/>
        <v>2</v>
      </c>
      <c r="AK129">
        <f t="shared" si="22"/>
        <v>4</v>
      </c>
      <c r="AL129">
        <f t="shared" si="23"/>
        <v>0</v>
      </c>
      <c r="AM129">
        <f t="shared" si="24"/>
        <v>0</v>
      </c>
      <c r="AN129">
        <f t="shared" si="25"/>
        <v>0</v>
      </c>
      <c r="AO129">
        <f t="shared" si="26"/>
        <v>0</v>
      </c>
      <c r="AP129">
        <f t="shared" si="27"/>
        <v>0</v>
      </c>
      <c r="AQ129">
        <f t="shared" si="28"/>
        <v>0</v>
      </c>
      <c r="AR129" s="276">
        <f t="shared" si="29"/>
        <v>6</v>
      </c>
      <c r="AT129" s="278"/>
      <c r="AV129" s="274">
        <v>6</v>
      </c>
      <c r="AY129" s="279"/>
      <c r="BD129" s="279"/>
      <c r="BK129" s="280">
        <f t="shared" si="30"/>
        <v>6</v>
      </c>
      <c r="BL129" s="274">
        <f t="shared" si="31"/>
        <v>6</v>
      </c>
      <c r="BP129" s="281">
        <v>515141</v>
      </c>
      <c r="BQ129" s="281">
        <v>171791</v>
      </c>
      <c r="BR129" s="296" t="s">
        <v>183</v>
      </c>
      <c r="BS129" t="s">
        <v>159</v>
      </c>
      <c r="BT129"/>
      <c r="BU129"/>
      <c r="BV129"/>
      <c r="BW129"/>
      <c r="BX129"/>
      <c r="BY129"/>
      <c r="BZ129"/>
      <c r="CA129" t="s">
        <v>325</v>
      </c>
      <c r="CB129" t="s">
        <v>192</v>
      </c>
    </row>
    <row r="130" spans="1:80" ht="15" customHeight="1" x14ac:dyDescent="0.25">
      <c r="A130" s="274" t="s">
        <v>957</v>
      </c>
      <c r="B130" s="277" t="s">
        <v>444</v>
      </c>
      <c r="D130" s="275">
        <v>44655</v>
      </c>
      <c r="E130" s="275">
        <v>45751</v>
      </c>
      <c r="F130" s="275">
        <v>44995</v>
      </c>
      <c r="H130" s="274" t="s">
        <v>272</v>
      </c>
      <c r="I130" s="273" t="s">
        <v>338</v>
      </c>
      <c r="J130" s="273"/>
      <c r="K130" s="273"/>
      <c r="L130" s="273"/>
      <c r="M130" s="277" t="s">
        <v>958</v>
      </c>
      <c r="N130" s="277" t="s">
        <v>959</v>
      </c>
      <c r="O130" s="276" t="s">
        <v>960</v>
      </c>
      <c r="P130" s="276" t="s">
        <v>962</v>
      </c>
      <c r="Y130" s="276">
        <f t="shared" ref="Y130:Y193" si="32">SUM(Q130:X130)</f>
        <v>0</v>
      </c>
      <c r="Z130" s="276" t="s">
        <v>325</v>
      </c>
      <c r="AA130" s="276">
        <v>4</v>
      </c>
      <c r="AB130" s="276">
        <v>13</v>
      </c>
      <c r="AC130" s="276">
        <v>7</v>
      </c>
      <c r="AI130" s="276">
        <f t="shared" ref="AI130:AI193" si="33">SUM(AA130:AH130)</f>
        <v>24</v>
      </c>
      <c r="AJ130">
        <f t="shared" ref="AJ130:AJ193" si="34">AA130-Q130</f>
        <v>4</v>
      </c>
      <c r="AK130">
        <f t="shared" ref="AK130:AK193" si="35">AB130-R130</f>
        <v>13</v>
      </c>
      <c r="AL130">
        <f t="shared" ref="AL130:AL193" si="36">AC130-S130</f>
        <v>7</v>
      </c>
      <c r="AM130">
        <f t="shared" ref="AM130:AM193" si="37">AD130-T130</f>
        <v>0</v>
      </c>
      <c r="AN130">
        <f t="shared" ref="AN130:AN193" si="38">AE130-U130</f>
        <v>0</v>
      </c>
      <c r="AO130">
        <f t="shared" ref="AO130:AO193" si="39">AF130-V130</f>
        <v>0</v>
      </c>
      <c r="AP130">
        <f t="shared" ref="AP130:AP193" si="40">AG130-W130</f>
        <v>0</v>
      </c>
      <c r="AQ130">
        <f t="shared" ref="AQ130:AQ193" si="41">AH130-X130</f>
        <v>0</v>
      </c>
      <c r="AR130" s="276">
        <f t="shared" ref="AR130:AR193" si="42">AI130-Y130</f>
        <v>24</v>
      </c>
      <c r="AT130" s="278"/>
      <c r="AV130" s="274">
        <v>24</v>
      </c>
      <c r="AY130" s="279"/>
      <c r="BD130" s="279"/>
      <c r="BK130" s="280">
        <f t="shared" ref="BK130:BK193" si="43">SUM(AU130:AY130)</f>
        <v>24</v>
      </c>
      <c r="BL130" s="274">
        <f t="shared" ref="BL130:BL193" si="44">SUM(AU130:BD130)</f>
        <v>24</v>
      </c>
      <c r="BP130" s="281">
        <v>515141</v>
      </c>
      <c r="BQ130" s="281">
        <v>171791</v>
      </c>
      <c r="BR130" s="296" t="s">
        <v>183</v>
      </c>
      <c r="BS130" t="s">
        <v>159</v>
      </c>
      <c r="BT130"/>
      <c r="BU130"/>
      <c r="BV130"/>
      <c r="BW130"/>
      <c r="BX130"/>
      <c r="BY130"/>
      <c r="BZ130"/>
      <c r="CA130" t="s">
        <v>325</v>
      </c>
      <c r="CB130" t="s">
        <v>192</v>
      </c>
    </row>
    <row r="131" spans="1:80" ht="15" customHeight="1" x14ac:dyDescent="0.25">
      <c r="A131" s="274" t="s">
        <v>963</v>
      </c>
      <c r="B131" s="277" t="s">
        <v>444</v>
      </c>
      <c r="D131" s="275">
        <v>44020</v>
      </c>
      <c r="E131" s="275">
        <v>45115</v>
      </c>
      <c r="F131" s="275">
        <v>44082</v>
      </c>
      <c r="H131" s="274" t="s">
        <v>272</v>
      </c>
      <c r="I131" s="238" t="s">
        <v>303</v>
      </c>
      <c r="M131" s="277" t="s">
        <v>964</v>
      </c>
      <c r="N131" s="277" t="s">
        <v>965</v>
      </c>
      <c r="O131" s="276" t="s">
        <v>966</v>
      </c>
      <c r="Y131" s="276">
        <f t="shared" si="32"/>
        <v>0</v>
      </c>
      <c r="AB131" s="276">
        <v>1</v>
      </c>
      <c r="AI131" s="276">
        <f t="shared" si="33"/>
        <v>1</v>
      </c>
      <c r="AJ131">
        <f t="shared" si="34"/>
        <v>0</v>
      </c>
      <c r="AK131">
        <f t="shared" si="35"/>
        <v>1</v>
      </c>
      <c r="AL131">
        <f t="shared" si="36"/>
        <v>0</v>
      </c>
      <c r="AM131">
        <f t="shared" si="37"/>
        <v>0</v>
      </c>
      <c r="AN131">
        <f t="shared" si="38"/>
        <v>0</v>
      </c>
      <c r="AO131">
        <f t="shared" si="39"/>
        <v>0</v>
      </c>
      <c r="AP131">
        <f t="shared" si="40"/>
        <v>0</v>
      </c>
      <c r="AQ131">
        <f t="shared" si="41"/>
        <v>0</v>
      </c>
      <c r="AR131" s="276">
        <f t="shared" si="42"/>
        <v>1</v>
      </c>
      <c r="AT131" s="278"/>
      <c r="AU131" s="274">
        <v>1</v>
      </c>
      <c r="AY131" s="279"/>
      <c r="BD131" s="279"/>
      <c r="BK131" s="280">
        <f t="shared" si="43"/>
        <v>1</v>
      </c>
      <c r="BL131" s="274">
        <f t="shared" si="44"/>
        <v>1</v>
      </c>
      <c r="BP131" s="281">
        <v>521729</v>
      </c>
      <c r="BQ131" s="281">
        <v>176011</v>
      </c>
      <c r="BR131" s="296" t="s">
        <v>181</v>
      </c>
      <c r="BS131" t="s">
        <v>166</v>
      </c>
      <c r="BT131"/>
      <c r="BU131"/>
      <c r="BV131"/>
      <c r="BW131"/>
      <c r="BX131"/>
      <c r="BY131" t="s">
        <v>967</v>
      </c>
      <c r="BZ131" t="s">
        <v>325</v>
      </c>
      <c r="CA131" t="s">
        <v>325</v>
      </c>
      <c r="CB131" t="s">
        <v>158</v>
      </c>
    </row>
    <row r="132" spans="1:80" ht="15" customHeight="1" x14ac:dyDescent="0.25">
      <c r="A132" s="274" t="s">
        <v>968</v>
      </c>
      <c r="B132" s="277" t="s">
        <v>444</v>
      </c>
      <c r="D132" s="275">
        <v>44053</v>
      </c>
      <c r="E132" s="275">
        <v>45148</v>
      </c>
      <c r="F132" s="275">
        <v>45016</v>
      </c>
      <c r="H132" s="274" t="s">
        <v>272</v>
      </c>
      <c r="I132" s="238" t="s">
        <v>303</v>
      </c>
      <c r="M132" s="277" t="s">
        <v>969</v>
      </c>
      <c r="N132" s="274" t="s">
        <v>970</v>
      </c>
      <c r="O132" s="276" t="s">
        <v>971</v>
      </c>
      <c r="T132" s="276">
        <v>1</v>
      </c>
      <c r="Y132" s="276">
        <f t="shared" si="32"/>
        <v>1</v>
      </c>
      <c r="AD132" s="276">
        <v>1</v>
      </c>
      <c r="AI132" s="276">
        <f t="shared" si="33"/>
        <v>1</v>
      </c>
      <c r="AJ132">
        <f t="shared" si="34"/>
        <v>0</v>
      </c>
      <c r="AK132">
        <f t="shared" si="35"/>
        <v>0</v>
      </c>
      <c r="AL132">
        <f t="shared" si="36"/>
        <v>0</v>
      </c>
      <c r="AM132">
        <f t="shared" si="37"/>
        <v>0</v>
      </c>
      <c r="AN132">
        <f t="shared" si="38"/>
        <v>0</v>
      </c>
      <c r="AO132">
        <f t="shared" si="39"/>
        <v>0</v>
      </c>
      <c r="AP132">
        <f t="shared" si="40"/>
        <v>0</v>
      </c>
      <c r="AQ132">
        <f t="shared" si="41"/>
        <v>0</v>
      </c>
      <c r="AR132" s="276">
        <f t="shared" si="42"/>
        <v>0</v>
      </c>
      <c r="AT132" s="278"/>
      <c r="AU132" s="274">
        <v>0</v>
      </c>
      <c r="AY132" s="279"/>
      <c r="BD132" s="279"/>
      <c r="BK132" s="280">
        <f t="shared" si="43"/>
        <v>0</v>
      </c>
      <c r="BL132" s="274">
        <f t="shared" si="44"/>
        <v>0</v>
      </c>
      <c r="BP132" s="281">
        <v>513542</v>
      </c>
      <c r="BQ132" s="281">
        <v>169839</v>
      </c>
      <c r="BR132" s="296" t="s">
        <v>183</v>
      </c>
      <c r="BS132" t="s">
        <v>161</v>
      </c>
      <c r="BT132"/>
      <c r="BU132"/>
      <c r="BV132"/>
      <c r="BW132"/>
      <c r="BX132"/>
      <c r="BY132"/>
      <c r="BZ132"/>
      <c r="CA132" t="s">
        <v>325</v>
      </c>
      <c r="CB132" t="s">
        <v>189</v>
      </c>
    </row>
    <row r="133" spans="1:80" ht="15" customHeight="1" x14ac:dyDescent="0.25">
      <c r="A133" s="274" t="s">
        <v>972</v>
      </c>
      <c r="B133" s="277" t="s">
        <v>444</v>
      </c>
      <c r="D133" s="275">
        <v>44410</v>
      </c>
      <c r="E133" s="275">
        <v>45506</v>
      </c>
      <c r="F133" s="275">
        <v>44804</v>
      </c>
      <c r="H133" s="274" t="s">
        <v>272</v>
      </c>
      <c r="I133" s="238" t="s">
        <v>303</v>
      </c>
      <c r="M133" s="277" t="s">
        <v>973</v>
      </c>
      <c r="N133" s="277" t="s">
        <v>974</v>
      </c>
      <c r="O133" s="276" t="s">
        <v>975</v>
      </c>
      <c r="S133" s="276">
        <v>1</v>
      </c>
      <c r="Y133" s="276">
        <f t="shared" si="32"/>
        <v>1</v>
      </c>
      <c r="AE133" s="276">
        <v>1</v>
      </c>
      <c r="AI133" s="276">
        <f t="shared" si="33"/>
        <v>1</v>
      </c>
      <c r="AJ133">
        <f t="shared" si="34"/>
        <v>0</v>
      </c>
      <c r="AK133">
        <f t="shared" si="35"/>
        <v>0</v>
      </c>
      <c r="AL133">
        <f t="shared" si="36"/>
        <v>-1</v>
      </c>
      <c r="AM133">
        <f t="shared" si="37"/>
        <v>0</v>
      </c>
      <c r="AN133">
        <f t="shared" si="38"/>
        <v>1</v>
      </c>
      <c r="AO133">
        <f t="shared" si="39"/>
        <v>0</v>
      </c>
      <c r="AP133">
        <f t="shared" si="40"/>
        <v>0</v>
      </c>
      <c r="AQ133">
        <f t="shared" si="41"/>
        <v>0</v>
      </c>
      <c r="AR133" s="276">
        <f t="shared" si="42"/>
        <v>0</v>
      </c>
      <c r="AT133" s="278"/>
      <c r="AU133" s="274">
        <v>0</v>
      </c>
      <c r="AY133" s="279"/>
      <c r="BD133" s="279"/>
      <c r="BK133" s="280">
        <f t="shared" si="43"/>
        <v>0</v>
      </c>
      <c r="BL133" s="274">
        <f t="shared" si="44"/>
        <v>0</v>
      </c>
      <c r="BP133" s="281">
        <v>513403</v>
      </c>
      <c r="BQ133" s="281">
        <v>174165</v>
      </c>
      <c r="BR133" t="s">
        <v>147</v>
      </c>
      <c r="BS133" t="s">
        <v>147</v>
      </c>
      <c r="BT133"/>
      <c r="BU133"/>
      <c r="BV133"/>
      <c r="BW133"/>
      <c r="BX133"/>
      <c r="BY133"/>
      <c r="BZ133"/>
      <c r="CA133" t="s">
        <v>325</v>
      </c>
      <c r="CB133" t="s">
        <v>194</v>
      </c>
    </row>
    <row r="134" spans="1:80" ht="15" customHeight="1" x14ac:dyDescent="0.25">
      <c r="A134" s="274" t="s">
        <v>976</v>
      </c>
      <c r="B134" s="277" t="s">
        <v>444</v>
      </c>
      <c r="D134" s="275">
        <v>44497</v>
      </c>
      <c r="E134" s="275">
        <v>45593</v>
      </c>
      <c r="F134" s="275">
        <v>44855</v>
      </c>
      <c r="H134" s="274" t="s">
        <v>272</v>
      </c>
      <c r="I134" s="238" t="s">
        <v>303</v>
      </c>
      <c r="M134" s="277" t="s">
        <v>977</v>
      </c>
      <c r="N134" s="277" t="s">
        <v>978</v>
      </c>
      <c r="O134" s="276" t="s">
        <v>979</v>
      </c>
      <c r="S134" s="276">
        <v>1</v>
      </c>
      <c r="Y134" s="276">
        <f t="shared" si="32"/>
        <v>1</v>
      </c>
      <c r="AE134" s="276">
        <v>1</v>
      </c>
      <c r="AI134" s="276">
        <f t="shared" si="33"/>
        <v>1</v>
      </c>
      <c r="AJ134">
        <f t="shared" si="34"/>
        <v>0</v>
      </c>
      <c r="AK134">
        <f t="shared" si="35"/>
        <v>0</v>
      </c>
      <c r="AL134">
        <f t="shared" si="36"/>
        <v>-1</v>
      </c>
      <c r="AM134">
        <f t="shared" si="37"/>
        <v>0</v>
      </c>
      <c r="AN134">
        <f t="shared" si="38"/>
        <v>1</v>
      </c>
      <c r="AO134">
        <f t="shared" si="39"/>
        <v>0</v>
      </c>
      <c r="AP134">
        <f t="shared" si="40"/>
        <v>0</v>
      </c>
      <c r="AQ134">
        <f t="shared" si="41"/>
        <v>0</v>
      </c>
      <c r="AR134" s="276">
        <f t="shared" si="42"/>
        <v>0</v>
      </c>
      <c r="AT134" s="278"/>
      <c r="AU134" s="274">
        <v>0</v>
      </c>
      <c r="AY134" s="279"/>
      <c r="BD134" s="279"/>
      <c r="BK134" s="280">
        <f t="shared" si="43"/>
        <v>0</v>
      </c>
      <c r="BL134" s="274">
        <f t="shared" si="44"/>
        <v>0</v>
      </c>
      <c r="BP134" s="281">
        <v>513562</v>
      </c>
      <c r="BQ134" s="281">
        <v>170238</v>
      </c>
      <c r="BR134" s="296" t="s">
        <v>183</v>
      </c>
      <c r="BS134" t="s">
        <v>161</v>
      </c>
      <c r="BT134"/>
      <c r="BU134"/>
      <c r="BV134"/>
      <c r="BW134"/>
      <c r="BX134"/>
      <c r="BY134"/>
      <c r="BZ134"/>
      <c r="CA134" t="s">
        <v>325</v>
      </c>
      <c r="CB134" t="s">
        <v>189</v>
      </c>
    </row>
    <row r="135" spans="1:80" ht="15" customHeight="1" x14ac:dyDescent="0.25">
      <c r="A135" s="274" t="s">
        <v>980</v>
      </c>
      <c r="B135" s="277" t="s">
        <v>459</v>
      </c>
      <c r="D135" s="275">
        <v>44263</v>
      </c>
      <c r="E135" s="275">
        <v>45359</v>
      </c>
      <c r="F135" s="275">
        <v>45315</v>
      </c>
      <c r="H135" s="274" t="s">
        <v>272</v>
      </c>
      <c r="I135" s="238" t="s">
        <v>303</v>
      </c>
      <c r="M135" s="277" t="s">
        <v>981</v>
      </c>
      <c r="N135" s="277" t="s">
        <v>982</v>
      </c>
      <c r="O135" s="276" t="s">
        <v>983</v>
      </c>
      <c r="Y135" s="276">
        <f t="shared" si="32"/>
        <v>0</v>
      </c>
      <c r="AA135" s="276">
        <v>1</v>
      </c>
      <c r="AI135" s="276">
        <f t="shared" si="33"/>
        <v>1</v>
      </c>
      <c r="AJ135">
        <f t="shared" si="34"/>
        <v>1</v>
      </c>
      <c r="AK135">
        <f t="shared" si="35"/>
        <v>0</v>
      </c>
      <c r="AL135">
        <f t="shared" si="36"/>
        <v>0</v>
      </c>
      <c r="AM135">
        <f t="shared" si="37"/>
        <v>0</v>
      </c>
      <c r="AN135">
        <f t="shared" si="38"/>
        <v>0</v>
      </c>
      <c r="AO135">
        <f t="shared" si="39"/>
        <v>0</v>
      </c>
      <c r="AP135">
        <f t="shared" si="40"/>
        <v>0</v>
      </c>
      <c r="AQ135">
        <f t="shared" si="41"/>
        <v>0</v>
      </c>
      <c r="AR135" s="276">
        <f t="shared" si="42"/>
        <v>1</v>
      </c>
      <c r="AT135" s="278"/>
      <c r="AU135" s="274">
        <v>1</v>
      </c>
      <c r="AY135" s="279"/>
      <c r="BD135" s="279"/>
      <c r="BK135" s="280">
        <f t="shared" si="43"/>
        <v>1</v>
      </c>
      <c r="BL135" s="274">
        <f t="shared" si="44"/>
        <v>1</v>
      </c>
      <c r="BP135" s="281">
        <v>518831</v>
      </c>
      <c r="BQ135" s="281">
        <v>174557</v>
      </c>
      <c r="BR135" s="296" t="s">
        <v>141</v>
      </c>
      <c r="BS135" t="s">
        <v>168</v>
      </c>
      <c r="BT135"/>
      <c r="BU135"/>
      <c r="BV135"/>
      <c r="BW135"/>
      <c r="BX135"/>
      <c r="BY135"/>
      <c r="BZ135"/>
      <c r="CA135" t="s">
        <v>325</v>
      </c>
      <c r="CB135" t="s">
        <v>191</v>
      </c>
    </row>
    <row r="136" spans="1:80" ht="15" customHeight="1" x14ac:dyDescent="0.25">
      <c r="A136" s="274" t="s">
        <v>984</v>
      </c>
      <c r="B136" s="277" t="s">
        <v>444</v>
      </c>
      <c r="D136" s="275">
        <v>44328</v>
      </c>
      <c r="E136" s="275">
        <v>45424</v>
      </c>
      <c r="F136" s="275">
        <v>45149</v>
      </c>
      <c r="H136" s="274" t="s">
        <v>272</v>
      </c>
      <c r="I136" s="238" t="s">
        <v>303</v>
      </c>
      <c r="M136" s="277" t="s">
        <v>985</v>
      </c>
      <c r="N136" s="277" t="s">
        <v>986</v>
      </c>
      <c r="O136" s="276" t="s">
        <v>987</v>
      </c>
      <c r="R136" s="276">
        <v>1</v>
      </c>
      <c r="Y136" s="276">
        <f t="shared" si="32"/>
        <v>1</v>
      </c>
      <c r="AE136" s="276">
        <v>1</v>
      </c>
      <c r="AI136" s="276">
        <f t="shared" si="33"/>
        <v>1</v>
      </c>
      <c r="AJ136">
        <f t="shared" si="34"/>
        <v>0</v>
      </c>
      <c r="AK136">
        <f t="shared" si="35"/>
        <v>-1</v>
      </c>
      <c r="AL136">
        <f t="shared" si="36"/>
        <v>0</v>
      </c>
      <c r="AM136">
        <f t="shared" si="37"/>
        <v>0</v>
      </c>
      <c r="AN136">
        <f t="shared" si="38"/>
        <v>1</v>
      </c>
      <c r="AO136">
        <f t="shared" si="39"/>
        <v>0</v>
      </c>
      <c r="AP136">
        <f t="shared" si="40"/>
        <v>0</v>
      </c>
      <c r="AQ136">
        <f t="shared" si="41"/>
        <v>0</v>
      </c>
      <c r="AR136" s="276">
        <f t="shared" si="42"/>
        <v>0</v>
      </c>
      <c r="AT136" s="278"/>
      <c r="AU136" s="274">
        <v>0</v>
      </c>
      <c r="AY136" s="279"/>
      <c r="BD136" s="279"/>
      <c r="BK136" s="280">
        <f t="shared" si="43"/>
        <v>0</v>
      </c>
      <c r="BL136" s="274">
        <f t="shared" si="44"/>
        <v>0</v>
      </c>
      <c r="BP136" s="281">
        <v>513278</v>
      </c>
      <c r="BQ136" s="281">
        <v>170135</v>
      </c>
      <c r="BR136" s="296" t="s">
        <v>183</v>
      </c>
      <c r="BS136" t="s">
        <v>161</v>
      </c>
      <c r="BT136"/>
      <c r="BU136"/>
      <c r="BV136"/>
      <c r="BW136"/>
      <c r="BX136"/>
      <c r="BY136"/>
      <c r="BZ136"/>
      <c r="CA136" t="s">
        <v>325</v>
      </c>
      <c r="CB136" t="s">
        <v>189</v>
      </c>
    </row>
    <row r="137" spans="1:80" ht="15" customHeight="1" x14ac:dyDescent="0.25">
      <c r="A137" s="274" t="s">
        <v>988</v>
      </c>
      <c r="B137" s="277" t="s">
        <v>459</v>
      </c>
      <c r="D137" s="275">
        <v>44243</v>
      </c>
      <c r="E137" s="275">
        <v>45338</v>
      </c>
      <c r="F137" s="275">
        <v>44531</v>
      </c>
      <c r="H137" s="274" t="s">
        <v>272</v>
      </c>
      <c r="I137" s="238" t="s">
        <v>303</v>
      </c>
      <c r="M137" s="277" t="s">
        <v>989</v>
      </c>
      <c r="N137" s="277" t="s">
        <v>990</v>
      </c>
      <c r="O137" s="276" t="s">
        <v>991</v>
      </c>
      <c r="Y137" s="276">
        <f t="shared" si="32"/>
        <v>0</v>
      </c>
      <c r="AA137" s="276">
        <v>1</v>
      </c>
      <c r="AB137" s="276">
        <v>1</v>
      </c>
      <c r="AI137" s="276">
        <f t="shared" si="33"/>
        <v>2</v>
      </c>
      <c r="AJ137">
        <f t="shared" si="34"/>
        <v>1</v>
      </c>
      <c r="AK137">
        <f t="shared" si="35"/>
        <v>1</v>
      </c>
      <c r="AL137">
        <f t="shared" si="36"/>
        <v>0</v>
      </c>
      <c r="AM137">
        <f t="shared" si="37"/>
        <v>0</v>
      </c>
      <c r="AN137">
        <f t="shared" si="38"/>
        <v>0</v>
      </c>
      <c r="AO137">
        <f t="shared" si="39"/>
        <v>0</v>
      </c>
      <c r="AP137">
        <f t="shared" si="40"/>
        <v>0</v>
      </c>
      <c r="AQ137">
        <f t="shared" si="41"/>
        <v>0</v>
      </c>
      <c r="AR137" s="276">
        <f t="shared" si="42"/>
        <v>2</v>
      </c>
      <c r="AT137" s="278"/>
      <c r="AU137" s="274">
        <v>1</v>
      </c>
      <c r="AV137" s="274">
        <v>1</v>
      </c>
      <c r="AY137" s="279"/>
      <c r="BD137" s="279"/>
      <c r="BK137" s="280">
        <f t="shared" si="43"/>
        <v>2</v>
      </c>
      <c r="BL137" s="274">
        <f t="shared" si="44"/>
        <v>2</v>
      </c>
      <c r="BP137" s="281">
        <v>516260</v>
      </c>
      <c r="BQ137" s="281">
        <v>173296</v>
      </c>
      <c r="BR137" s="296" t="s">
        <v>145</v>
      </c>
      <c r="BS137" t="s">
        <v>171</v>
      </c>
      <c r="BT137" t="s">
        <v>145</v>
      </c>
      <c r="BU137"/>
      <c r="BV137"/>
      <c r="BW137"/>
      <c r="BX137"/>
      <c r="BY137" t="s">
        <v>679</v>
      </c>
      <c r="BZ137" t="s">
        <v>325</v>
      </c>
      <c r="CA137" t="s">
        <v>325</v>
      </c>
      <c r="CB137" t="s">
        <v>193</v>
      </c>
    </row>
    <row r="138" spans="1:80" ht="15" customHeight="1" x14ac:dyDescent="0.25">
      <c r="A138" s="274" t="s">
        <v>992</v>
      </c>
      <c r="B138" s="277" t="s">
        <v>459</v>
      </c>
      <c r="C138" s="274" t="s">
        <v>293</v>
      </c>
      <c r="D138" s="275">
        <v>44335</v>
      </c>
      <c r="E138" s="275">
        <v>45431</v>
      </c>
      <c r="F138" s="275">
        <v>45324</v>
      </c>
      <c r="H138" s="274" t="s">
        <v>272</v>
      </c>
      <c r="I138" s="238" t="s">
        <v>303</v>
      </c>
      <c r="M138" s="277" t="s">
        <v>993</v>
      </c>
      <c r="N138" s="277" t="s">
        <v>994</v>
      </c>
      <c r="O138" s="276" t="s">
        <v>995</v>
      </c>
      <c r="Y138" s="276">
        <f t="shared" si="32"/>
        <v>0</v>
      </c>
      <c r="AA138" s="276">
        <v>3</v>
      </c>
      <c r="AB138" s="276">
        <v>1</v>
      </c>
      <c r="AI138" s="276">
        <f t="shared" si="33"/>
        <v>4</v>
      </c>
      <c r="AJ138">
        <f t="shared" si="34"/>
        <v>3</v>
      </c>
      <c r="AK138">
        <f t="shared" si="35"/>
        <v>1</v>
      </c>
      <c r="AL138">
        <f t="shared" si="36"/>
        <v>0</v>
      </c>
      <c r="AM138">
        <f t="shared" si="37"/>
        <v>0</v>
      </c>
      <c r="AN138">
        <f t="shared" si="38"/>
        <v>0</v>
      </c>
      <c r="AO138">
        <f t="shared" si="39"/>
        <v>0</v>
      </c>
      <c r="AP138">
        <f t="shared" si="40"/>
        <v>0</v>
      </c>
      <c r="AQ138">
        <f t="shared" si="41"/>
        <v>0</v>
      </c>
      <c r="AR138" s="276">
        <f t="shared" si="42"/>
        <v>4</v>
      </c>
      <c r="AT138" s="278"/>
      <c r="AU138" s="274">
        <v>4</v>
      </c>
      <c r="AY138" s="279"/>
      <c r="BD138" s="279"/>
      <c r="BK138" s="280">
        <f t="shared" si="43"/>
        <v>4</v>
      </c>
      <c r="BL138" s="274">
        <f t="shared" si="44"/>
        <v>4</v>
      </c>
      <c r="BP138" s="281">
        <v>515975</v>
      </c>
      <c r="BQ138" s="281">
        <v>173091</v>
      </c>
      <c r="BR138" s="296" t="s">
        <v>145</v>
      </c>
      <c r="BS138" t="s">
        <v>169</v>
      </c>
      <c r="BT138" t="s">
        <v>145</v>
      </c>
      <c r="BU138"/>
      <c r="BV138"/>
      <c r="BW138"/>
      <c r="BX138"/>
      <c r="BY138"/>
      <c r="BZ138"/>
      <c r="CA138" t="s">
        <v>325</v>
      </c>
      <c r="CB138" t="s">
        <v>193</v>
      </c>
    </row>
    <row r="139" spans="1:80" ht="15" customHeight="1" x14ac:dyDescent="0.25">
      <c r="A139" s="274" t="s">
        <v>996</v>
      </c>
      <c r="B139" s="277" t="s">
        <v>444</v>
      </c>
      <c r="D139" s="275">
        <v>44973</v>
      </c>
      <c r="E139" s="275">
        <v>46069</v>
      </c>
      <c r="F139" s="275">
        <v>45078</v>
      </c>
      <c r="H139" s="274" t="s">
        <v>272</v>
      </c>
      <c r="I139" s="238" t="s">
        <v>303</v>
      </c>
      <c r="M139" s="277" t="s">
        <v>997</v>
      </c>
      <c r="N139" s="277" t="s">
        <v>998</v>
      </c>
      <c r="O139" s="276" t="s">
        <v>999</v>
      </c>
      <c r="Y139" s="276">
        <f t="shared" si="32"/>
        <v>0</v>
      </c>
      <c r="AC139" s="276">
        <v>4</v>
      </c>
      <c r="AI139" s="276">
        <f t="shared" si="33"/>
        <v>4</v>
      </c>
      <c r="AJ139">
        <f t="shared" si="34"/>
        <v>0</v>
      </c>
      <c r="AK139">
        <f t="shared" si="35"/>
        <v>0</v>
      </c>
      <c r="AL139">
        <f t="shared" si="36"/>
        <v>4</v>
      </c>
      <c r="AM139">
        <f t="shared" si="37"/>
        <v>0</v>
      </c>
      <c r="AN139">
        <f t="shared" si="38"/>
        <v>0</v>
      </c>
      <c r="AO139">
        <f t="shared" si="39"/>
        <v>0</v>
      </c>
      <c r="AP139">
        <f t="shared" si="40"/>
        <v>0</v>
      </c>
      <c r="AQ139">
        <f t="shared" si="41"/>
        <v>0</v>
      </c>
      <c r="AR139" s="276">
        <f t="shared" si="42"/>
        <v>4</v>
      </c>
      <c r="AT139" s="278"/>
      <c r="AU139" s="274">
        <v>4</v>
      </c>
      <c r="AY139" s="279"/>
      <c r="BD139" s="279"/>
      <c r="BK139" s="280">
        <f t="shared" si="43"/>
        <v>4</v>
      </c>
      <c r="BL139" s="274">
        <f t="shared" si="44"/>
        <v>4</v>
      </c>
      <c r="BP139" s="281">
        <v>513825</v>
      </c>
      <c r="BQ139" s="281">
        <v>169567</v>
      </c>
      <c r="BR139" s="296" t="s">
        <v>183</v>
      </c>
      <c r="BS139" t="s">
        <v>161</v>
      </c>
      <c r="BT139"/>
      <c r="BU139"/>
      <c r="BV139"/>
      <c r="BW139"/>
      <c r="BX139"/>
      <c r="BY139" t="s">
        <v>457</v>
      </c>
      <c r="BZ139" t="s">
        <v>325</v>
      </c>
      <c r="CA139" t="s">
        <v>325</v>
      </c>
      <c r="CB139" t="s">
        <v>189</v>
      </c>
    </row>
    <row r="140" spans="1:80" ht="15" customHeight="1" x14ac:dyDescent="0.25">
      <c r="A140" s="274" t="s">
        <v>1000</v>
      </c>
      <c r="B140" s="277" t="s">
        <v>459</v>
      </c>
      <c r="C140" s="274" t="s">
        <v>293</v>
      </c>
      <c r="D140" s="275">
        <v>45070</v>
      </c>
      <c r="E140" s="275">
        <v>46166</v>
      </c>
      <c r="F140" s="275">
        <v>45278</v>
      </c>
      <c r="H140" s="274" t="s">
        <v>272</v>
      </c>
      <c r="I140" s="238" t="s">
        <v>303</v>
      </c>
      <c r="M140" s="277" t="s">
        <v>1001</v>
      </c>
      <c r="N140" s="277" t="s">
        <v>1002</v>
      </c>
      <c r="O140" s="276" t="s">
        <v>1003</v>
      </c>
      <c r="Y140" s="276">
        <f t="shared" si="32"/>
        <v>0</v>
      </c>
      <c r="AA140" s="276">
        <v>2</v>
      </c>
      <c r="AB140" s="276">
        <v>1</v>
      </c>
      <c r="AI140" s="276">
        <f t="shared" si="33"/>
        <v>3</v>
      </c>
      <c r="AJ140">
        <f t="shared" si="34"/>
        <v>2</v>
      </c>
      <c r="AK140">
        <f t="shared" si="35"/>
        <v>1</v>
      </c>
      <c r="AL140">
        <f t="shared" si="36"/>
        <v>0</v>
      </c>
      <c r="AM140">
        <f t="shared" si="37"/>
        <v>0</v>
      </c>
      <c r="AN140">
        <f t="shared" si="38"/>
        <v>0</v>
      </c>
      <c r="AO140">
        <f t="shared" si="39"/>
        <v>0</v>
      </c>
      <c r="AP140">
        <f t="shared" si="40"/>
        <v>0</v>
      </c>
      <c r="AQ140">
        <f t="shared" si="41"/>
        <v>0</v>
      </c>
      <c r="AR140" s="276">
        <f t="shared" si="42"/>
        <v>3</v>
      </c>
      <c r="AT140" s="278"/>
      <c r="AU140" s="274">
        <v>3</v>
      </c>
      <c r="AY140" s="279"/>
      <c r="BD140" s="279"/>
      <c r="BK140" s="280">
        <f t="shared" si="43"/>
        <v>3</v>
      </c>
      <c r="BL140" s="274">
        <f t="shared" si="44"/>
        <v>3</v>
      </c>
      <c r="BP140" s="281">
        <v>518108</v>
      </c>
      <c r="BQ140" s="281">
        <v>175469</v>
      </c>
      <c r="BR140" s="296" t="s">
        <v>141</v>
      </c>
      <c r="BS140" t="s">
        <v>167</v>
      </c>
      <c r="BT140"/>
      <c r="BU140"/>
      <c r="BV140"/>
      <c r="BW140"/>
      <c r="BX140"/>
      <c r="BY140" t="s">
        <v>504</v>
      </c>
      <c r="BZ140" t="s">
        <v>325</v>
      </c>
      <c r="CA140" t="s">
        <v>325</v>
      </c>
      <c r="CB140" t="s">
        <v>191</v>
      </c>
    </row>
    <row r="141" spans="1:80" ht="15" customHeight="1" x14ac:dyDescent="0.25">
      <c r="A141" s="274" t="s">
        <v>1004</v>
      </c>
      <c r="B141" s="277" t="s">
        <v>444</v>
      </c>
      <c r="D141" s="275">
        <v>44783</v>
      </c>
      <c r="E141" s="275">
        <v>45879</v>
      </c>
      <c r="F141" s="239">
        <v>45215</v>
      </c>
      <c r="H141" s="274" t="s">
        <v>272</v>
      </c>
      <c r="I141" s="238" t="s">
        <v>303</v>
      </c>
      <c r="M141" s="277" t="s">
        <v>1005</v>
      </c>
      <c r="N141" s="277" t="s">
        <v>1006</v>
      </c>
      <c r="O141" s="276" t="s">
        <v>1007</v>
      </c>
      <c r="U141" s="276">
        <v>1</v>
      </c>
      <c r="Y141" s="276">
        <f t="shared" si="32"/>
        <v>1</v>
      </c>
      <c r="AE141" s="276">
        <v>1</v>
      </c>
      <c r="AI141" s="276">
        <f t="shared" si="33"/>
        <v>1</v>
      </c>
      <c r="AJ141">
        <f t="shared" si="34"/>
        <v>0</v>
      </c>
      <c r="AK141">
        <f t="shared" si="35"/>
        <v>0</v>
      </c>
      <c r="AL141">
        <f t="shared" si="36"/>
        <v>0</v>
      </c>
      <c r="AM141">
        <f t="shared" si="37"/>
        <v>0</v>
      </c>
      <c r="AN141">
        <f t="shared" si="38"/>
        <v>0</v>
      </c>
      <c r="AO141">
        <f t="shared" si="39"/>
        <v>0</v>
      </c>
      <c r="AP141">
        <f t="shared" si="40"/>
        <v>0</v>
      </c>
      <c r="AQ141">
        <f t="shared" si="41"/>
        <v>0</v>
      </c>
      <c r="AR141" s="276">
        <f t="shared" si="42"/>
        <v>0</v>
      </c>
      <c r="AT141" s="278"/>
      <c r="AU141" s="274">
        <v>0</v>
      </c>
      <c r="AY141" s="279"/>
      <c r="BD141" s="279"/>
      <c r="BK141" s="280">
        <f t="shared" si="43"/>
        <v>0</v>
      </c>
      <c r="BL141" s="274">
        <f t="shared" si="44"/>
        <v>0</v>
      </c>
      <c r="BP141" s="281">
        <v>519892</v>
      </c>
      <c r="BQ141" s="281">
        <v>174721</v>
      </c>
      <c r="BR141" s="296" t="s">
        <v>181</v>
      </c>
      <c r="BS141" t="s">
        <v>140</v>
      </c>
      <c r="BT141"/>
      <c r="BU141"/>
      <c r="BV141"/>
      <c r="BW141"/>
      <c r="BX141"/>
      <c r="BY141"/>
      <c r="BZ141"/>
      <c r="CA141" t="s">
        <v>325</v>
      </c>
      <c r="CB141" t="s">
        <v>190</v>
      </c>
    </row>
    <row r="142" spans="1:80" ht="15" customHeight="1" x14ac:dyDescent="0.25">
      <c r="A142" s="274" t="s">
        <v>1008</v>
      </c>
      <c r="B142" s="274" t="s">
        <v>444</v>
      </c>
      <c r="C142" s="274"/>
      <c r="D142" s="275">
        <v>45021</v>
      </c>
      <c r="E142" s="275">
        <v>46117</v>
      </c>
      <c r="F142" s="275">
        <v>45298</v>
      </c>
      <c r="H142" s="274" t="s">
        <v>272</v>
      </c>
      <c r="I142" s="276" t="s">
        <v>340</v>
      </c>
      <c r="J142" s="273"/>
      <c r="K142" s="273"/>
      <c r="L142" s="273"/>
      <c r="M142" s="277" t="s">
        <v>1009</v>
      </c>
      <c r="N142" s="277" t="s">
        <v>1010</v>
      </c>
      <c r="O142" s="276" t="s">
        <v>1011</v>
      </c>
      <c r="Y142" s="276">
        <f t="shared" si="32"/>
        <v>0</v>
      </c>
      <c r="Z142" s="276" t="s">
        <v>325</v>
      </c>
      <c r="AA142" s="276">
        <v>6</v>
      </c>
      <c r="AI142" s="276">
        <f t="shared" si="33"/>
        <v>6</v>
      </c>
      <c r="AJ142">
        <f t="shared" si="34"/>
        <v>6</v>
      </c>
      <c r="AK142">
        <f t="shared" si="35"/>
        <v>0</v>
      </c>
      <c r="AL142">
        <f t="shared" si="36"/>
        <v>0</v>
      </c>
      <c r="AM142">
        <f t="shared" si="37"/>
        <v>0</v>
      </c>
      <c r="AN142">
        <f t="shared" si="38"/>
        <v>0</v>
      </c>
      <c r="AO142">
        <f t="shared" si="39"/>
        <v>0</v>
      </c>
      <c r="AP142">
        <f t="shared" si="40"/>
        <v>0</v>
      </c>
      <c r="AQ142">
        <f t="shared" si="41"/>
        <v>0</v>
      </c>
      <c r="AR142" s="276">
        <f t="shared" si="42"/>
        <v>6</v>
      </c>
      <c r="AT142" s="278"/>
      <c r="AU142" s="274">
        <v>3.5</v>
      </c>
      <c r="AV142" s="274">
        <v>3.5</v>
      </c>
      <c r="AY142" s="279"/>
      <c r="BD142" s="279"/>
      <c r="BK142" s="280">
        <f t="shared" si="43"/>
        <v>7</v>
      </c>
      <c r="BL142" s="274">
        <f t="shared" si="44"/>
        <v>7</v>
      </c>
      <c r="BP142" s="281">
        <v>516721</v>
      </c>
      <c r="BQ142" s="281">
        <v>170449</v>
      </c>
      <c r="BR142" s="296" t="s">
        <v>183</v>
      </c>
      <c r="BS142" t="s">
        <v>163</v>
      </c>
      <c r="BT142"/>
      <c r="BU142"/>
      <c r="BV142"/>
      <c r="BW142"/>
      <c r="BX142"/>
      <c r="BY142"/>
      <c r="BZ142"/>
      <c r="CA142" t="s">
        <v>325</v>
      </c>
      <c r="CB142" t="s">
        <v>192</v>
      </c>
    </row>
    <row r="143" spans="1:80" ht="15" customHeight="1" x14ac:dyDescent="0.25">
      <c r="A143" s="274" t="s">
        <v>1012</v>
      </c>
      <c r="B143" s="274" t="s">
        <v>444</v>
      </c>
      <c r="C143" s="274"/>
      <c r="D143" s="275">
        <v>44956</v>
      </c>
      <c r="E143" s="275">
        <v>46052</v>
      </c>
      <c r="F143" s="275">
        <v>45275</v>
      </c>
      <c r="H143" s="274" t="s">
        <v>272</v>
      </c>
      <c r="I143" s="276" t="s">
        <v>340</v>
      </c>
      <c r="J143" s="273"/>
      <c r="K143" s="273"/>
      <c r="L143" s="273"/>
      <c r="M143" s="277" t="s">
        <v>1013</v>
      </c>
      <c r="N143" s="277" t="s">
        <v>1014</v>
      </c>
      <c r="O143" s="276" t="s">
        <v>1015</v>
      </c>
      <c r="Y143" s="276">
        <f t="shared" si="32"/>
        <v>0</v>
      </c>
      <c r="Z143" s="276" t="s">
        <v>325</v>
      </c>
      <c r="AA143" s="276">
        <v>4</v>
      </c>
      <c r="AI143" s="276">
        <f t="shared" si="33"/>
        <v>4</v>
      </c>
      <c r="AJ143">
        <f t="shared" si="34"/>
        <v>4</v>
      </c>
      <c r="AK143">
        <f t="shared" si="35"/>
        <v>0</v>
      </c>
      <c r="AL143">
        <f t="shared" si="36"/>
        <v>0</v>
      </c>
      <c r="AM143">
        <f t="shared" si="37"/>
        <v>0</v>
      </c>
      <c r="AN143">
        <f t="shared" si="38"/>
        <v>0</v>
      </c>
      <c r="AO143">
        <f t="shared" si="39"/>
        <v>0</v>
      </c>
      <c r="AP143">
        <f t="shared" si="40"/>
        <v>0</v>
      </c>
      <c r="AQ143">
        <f t="shared" si="41"/>
        <v>0</v>
      </c>
      <c r="AR143" s="276">
        <f t="shared" si="42"/>
        <v>4</v>
      </c>
      <c r="AT143" s="278"/>
      <c r="AV143" s="274">
        <v>4</v>
      </c>
      <c r="AY143" s="279"/>
      <c r="BD143" s="279"/>
      <c r="BK143" s="280">
        <f t="shared" si="43"/>
        <v>4</v>
      </c>
      <c r="BL143" s="274">
        <f t="shared" si="44"/>
        <v>4</v>
      </c>
      <c r="BP143" s="281">
        <v>521875</v>
      </c>
      <c r="BQ143" s="281">
        <v>176053</v>
      </c>
      <c r="BR143" s="296" t="s">
        <v>181</v>
      </c>
      <c r="BS143" t="s">
        <v>166</v>
      </c>
      <c r="BT143"/>
      <c r="BU143"/>
      <c r="BV143"/>
      <c r="BW143"/>
      <c r="BX143"/>
      <c r="BY143"/>
      <c r="BZ143"/>
      <c r="CA143" t="s">
        <v>325</v>
      </c>
      <c r="CB143" t="s">
        <v>158</v>
      </c>
    </row>
    <row r="144" spans="1:80" ht="15" customHeight="1" x14ac:dyDescent="0.25">
      <c r="A144" s="274" t="s">
        <v>1016</v>
      </c>
      <c r="B144" s="277" t="s">
        <v>459</v>
      </c>
      <c r="D144" s="275">
        <v>44659</v>
      </c>
      <c r="E144" s="275">
        <v>45755</v>
      </c>
      <c r="F144" s="275">
        <v>45135</v>
      </c>
      <c r="H144" s="274" t="s">
        <v>272</v>
      </c>
      <c r="I144" s="234" t="s">
        <v>312</v>
      </c>
      <c r="M144" s="277" t="s">
        <v>1017</v>
      </c>
      <c r="N144" s="277" t="s">
        <v>1018</v>
      </c>
      <c r="O144" s="276" t="s">
        <v>852</v>
      </c>
      <c r="Y144" s="276">
        <f t="shared" si="32"/>
        <v>0</v>
      </c>
      <c r="Z144" s="276" t="s">
        <v>325</v>
      </c>
      <c r="AA144" s="276">
        <v>4</v>
      </c>
      <c r="AI144" s="276">
        <f t="shared" si="33"/>
        <v>4</v>
      </c>
      <c r="AJ144">
        <f t="shared" si="34"/>
        <v>4</v>
      </c>
      <c r="AK144">
        <f t="shared" si="35"/>
        <v>0</v>
      </c>
      <c r="AL144">
        <f t="shared" si="36"/>
        <v>0</v>
      </c>
      <c r="AM144">
        <f t="shared" si="37"/>
        <v>0</v>
      </c>
      <c r="AN144">
        <f t="shared" si="38"/>
        <v>0</v>
      </c>
      <c r="AO144">
        <f t="shared" si="39"/>
        <v>0</v>
      </c>
      <c r="AP144">
        <f t="shared" si="40"/>
        <v>0</v>
      </c>
      <c r="AQ144">
        <f t="shared" si="41"/>
        <v>0</v>
      </c>
      <c r="AR144" s="276">
        <f t="shared" si="42"/>
        <v>4</v>
      </c>
      <c r="AT144" s="278"/>
      <c r="AU144" s="274">
        <v>4</v>
      </c>
      <c r="AY144" s="279"/>
      <c r="BD144" s="279"/>
      <c r="BK144" s="280">
        <f t="shared" si="43"/>
        <v>4</v>
      </c>
      <c r="BL144" s="274">
        <f t="shared" si="44"/>
        <v>4</v>
      </c>
      <c r="BN144" s="276" t="s">
        <v>325</v>
      </c>
      <c r="BP144" s="281">
        <v>516114</v>
      </c>
      <c r="BQ144" s="281">
        <v>173184</v>
      </c>
      <c r="BR144" s="296" t="s">
        <v>145</v>
      </c>
      <c r="BS144" t="s">
        <v>171</v>
      </c>
      <c r="BT144" t="s">
        <v>145</v>
      </c>
      <c r="BU144"/>
      <c r="BV144"/>
      <c r="BW144"/>
      <c r="BX144"/>
      <c r="BY144"/>
      <c r="BZ144"/>
      <c r="CA144" t="s">
        <v>325</v>
      </c>
      <c r="CB144" t="s">
        <v>193</v>
      </c>
    </row>
    <row r="145" spans="1:81" ht="15" customHeight="1" x14ac:dyDescent="0.25">
      <c r="A145" s="274" t="s">
        <v>1019</v>
      </c>
      <c r="B145" s="274" t="s">
        <v>444</v>
      </c>
      <c r="C145" s="274"/>
      <c r="D145" s="275">
        <v>44985</v>
      </c>
      <c r="E145" s="275">
        <v>46081</v>
      </c>
      <c r="F145" s="275">
        <v>45354</v>
      </c>
      <c r="H145" s="274" t="s">
        <v>272</v>
      </c>
      <c r="I145" s="276" t="s">
        <v>312</v>
      </c>
      <c r="M145" s="277" t="s">
        <v>1020</v>
      </c>
      <c r="N145" s="277" t="s">
        <v>1021</v>
      </c>
      <c r="O145" s="276" t="s">
        <v>1022</v>
      </c>
      <c r="Y145" s="276">
        <f t="shared" si="32"/>
        <v>0</v>
      </c>
      <c r="Z145" s="276" t="s">
        <v>325</v>
      </c>
      <c r="AA145" s="276">
        <v>8</v>
      </c>
      <c r="AB145" s="276">
        <v>13</v>
      </c>
      <c r="AC145" s="276">
        <v>7</v>
      </c>
      <c r="AI145" s="276">
        <f t="shared" si="33"/>
        <v>28</v>
      </c>
      <c r="AJ145">
        <f t="shared" si="34"/>
        <v>8</v>
      </c>
      <c r="AK145">
        <f t="shared" si="35"/>
        <v>13</v>
      </c>
      <c r="AL145">
        <f t="shared" si="36"/>
        <v>7</v>
      </c>
      <c r="AM145">
        <f t="shared" si="37"/>
        <v>0</v>
      </c>
      <c r="AN145">
        <f t="shared" si="38"/>
        <v>0</v>
      </c>
      <c r="AO145">
        <f t="shared" si="39"/>
        <v>0</v>
      </c>
      <c r="AP145">
        <f t="shared" si="40"/>
        <v>0</v>
      </c>
      <c r="AQ145">
        <f t="shared" si="41"/>
        <v>0</v>
      </c>
      <c r="AR145" s="276">
        <f t="shared" si="42"/>
        <v>28</v>
      </c>
      <c r="AT145" s="278"/>
      <c r="AU145" s="274">
        <v>9.3000000000000007</v>
      </c>
      <c r="AV145" s="274">
        <v>9.3000000000000007</v>
      </c>
      <c r="AW145" s="274">
        <v>9.4</v>
      </c>
      <c r="AY145" s="279"/>
      <c r="BD145" s="279"/>
      <c r="BK145" s="280">
        <f t="shared" si="43"/>
        <v>28</v>
      </c>
      <c r="BL145" s="274">
        <f t="shared" si="44"/>
        <v>28</v>
      </c>
      <c r="BP145" s="281">
        <v>515278</v>
      </c>
      <c r="BQ145" s="281">
        <v>173797</v>
      </c>
      <c r="BR145" s="296" t="s">
        <v>145</v>
      </c>
      <c r="BS145" t="s">
        <v>170</v>
      </c>
      <c r="BT145"/>
      <c r="BU145"/>
      <c r="BV145"/>
      <c r="BW145"/>
      <c r="BX145"/>
      <c r="BY145"/>
      <c r="BZ145"/>
      <c r="CA145" t="s">
        <v>325</v>
      </c>
      <c r="CB145" t="s">
        <v>193</v>
      </c>
    </row>
    <row r="146" spans="1:81" ht="15" customHeight="1" x14ac:dyDescent="0.25">
      <c r="A146" s="274" t="s">
        <v>1019</v>
      </c>
      <c r="B146" s="274" t="s">
        <v>444</v>
      </c>
      <c r="C146" s="274"/>
      <c r="D146" s="275">
        <v>44985</v>
      </c>
      <c r="E146" s="275">
        <v>46081</v>
      </c>
      <c r="F146" s="275">
        <v>45354</v>
      </c>
      <c r="H146" s="274" t="s">
        <v>272</v>
      </c>
      <c r="I146" s="276" t="s">
        <v>208</v>
      </c>
      <c r="M146" s="277" t="s">
        <v>1020</v>
      </c>
      <c r="N146" s="277" t="s">
        <v>1021</v>
      </c>
      <c r="O146" s="276" t="s">
        <v>1022</v>
      </c>
      <c r="Y146" s="276">
        <f t="shared" si="32"/>
        <v>0</v>
      </c>
      <c r="Z146" s="276" t="s">
        <v>325</v>
      </c>
      <c r="AA146" s="276">
        <v>29</v>
      </c>
      <c r="AB146" s="276">
        <v>41</v>
      </c>
      <c r="AC146" s="276">
        <v>10</v>
      </c>
      <c r="AI146" s="276">
        <f t="shared" si="33"/>
        <v>80</v>
      </c>
      <c r="AJ146">
        <f t="shared" si="34"/>
        <v>29</v>
      </c>
      <c r="AK146">
        <f t="shared" si="35"/>
        <v>41</v>
      </c>
      <c r="AL146">
        <f t="shared" si="36"/>
        <v>10</v>
      </c>
      <c r="AM146">
        <f t="shared" si="37"/>
        <v>0</v>
      </c>
      <c r="AN146">
        <f t="shared" si="38"/>
        <v>0</v>
      </c>
      <c r="AO146">
        <f t="shared" si="39"/>
        <v>0</v>
      </c>
      <c r="AP146">
        <f t="shared" si="40"/>
        <v>0</v>
      </c>
      <c r="AQ146">
        <f t="shared" si="41"/>
        <v>0</v>
      </c>
      <c r="AR146" s="276">
        <f t="shared" si="42"/>
        <v>80</v>
      </c>
      <c r="AT146" s="278"/>
      <c r="AU146" s="274">
        <v>26.6</v>
      </c>
      <c r="AV146" s="274">
        <v>26.7</v>
      </c>
      <c r="AW146" s="274">
        <v>26.7</v>
      </c>
      <c r="AY146" s="279"/>
      <c r="BD146" s="279"/>
      <c r="BK146" s="280">
        <f t="shared" si="43"/>
        <v>80</v>
      </c>
      <c r="BL146" s="274">
        <f t="shared" si="44"/>
        <v>80</v>
      </c>
      <c r="BP146" s="281">
        <v>515278</v>
      </c>
      <c r="BQ146" s="281">
        <v>173797</v>
      </c>
      <c r="BR146" s="296" t="s">
        <v>145</v>
      </c>
      <c r="BS146" t="s">
        <v>170</v>
      </c>
      <c r="BT146"/>
      <c r="BU146"/>
      <c r="BV146"/>
      <c r="BW146"/>
      <c r="BX146"/>
      <c r="BY146"/>
      <c r="BZ146"/>
      <c r="CA146" t="s">
        <v>325</v>
      </c>
      <c r="CB146" t="s">
        <v>193</v>
      </c>
    </row>
    <row r="147" spans="1:81" ht="15" customHeight="1" x14ac:dyDescent="0.25">
      <c r="A147" s="274" t="s">
        <v>1019</v>
      </c>
      <c r="B147" s="274" t="s">
        <v>444</v>
      </c>
      <c r="C147" s="274"/>
      <c r="D147" s="275">
        <v>44985</v>
      </c>
      <c r="E147" s="275">
        <v>46081</v>
      </c>
      <c r="F147" s="275">
        <v>45354</v>
      </c>
      <c r="H147" s="274" t="s">
        <v>272</v>
      </c>
      <c r="I147" s="244" t="s">
        <v>303</v>
      </c>
      <c r="J147" s="244"/>
      <c r="K147" s="244"/>
      <c r="L147" s="244"/>
      <c r="M147" s="277" t="s">
        <v>1020</v>
      </c>
      <c r="N147" s="277" t="s">
        <v>1021</v>
      </c>
      <c r="O147" s="276" t="s">
        <v>1022</v>
      </c>
      <c r="Y147" s="276">
        <f t="shared" si="32"/>
        <v>0</v>
      </c>
      <c r="AA147" s="276">
        <v>39</v>
      </c>
      <c r="AB147" s="276">
        <v>31</v>
      </c>
      <c r="AC147" s="276">
        <v>26</v>
      </c>
      <c r="AD147" s="276">
        <v>8</v>
      </c>
      <c r="AI147" s="276">
        <f t="shared" si="33"/>
        <v>104</v>
      </c>
      <c r="AJ147">
        <f t="shared" si="34"/>
        <v>39</v>
      </c>
      <c r="AK147">
        <f t="shared" si="35"/>
        <v>31</v>
      </c>
      <c r="AL147">
        <f t="shared" si="36"/>
        <v>26</v>
      </c>
      <c r="AM147">
        <f t="shared" si="37"/>
        <v>8</v>
      </c>
      <c r="AN147">
        <f t="shared" si="38"/>
        <v>0</v>
      </c>
      <c r="AO147">
        <f t="shared" si="39"/>
        <v>0</v>
      </c>
      <c r="AP147">
        <f t="shared" si="40"/>
        <v>0</v>
      </c>
      <c r="AQ147">
        <f t="shared" si="41"/>
        <v>0</v>
      </c>
      <c r="AR147" s="276">
        <f t="shared" si="42"/>
        <v>104</v>
      </c>
      <c r="AT147" s="278"/>
      <c r="AU147" s="274">
        <v>34.6</v>
      </c>
      <c r="AV147" s="274">
        <v>34.700000000000003</v>
      </c>
      <c r="AW147" s="274">
        <v>34.700000000000003</v>
      </c>
      <c r="AY147" s="279"/>
      <c r="BD147" s="279"/>
      <c r="BK147" s="280">
        <f t="shared" si="43"/>
        <v>104.00000000000001</v>
      </c>
      <c r="BL147" s="274">
        <f t="shared" si="44"/>
        <v>104.00000000000001</v>
      </c>
      <c r="BP147" s="281">
        <v>515278</v>
      </c>
      <c r="BQ147" s="281">
        <v>173797</v>
      </c>
      <c r="BR147" s="296" t="s">
        <v>145</v>
      </c>
      <c r="BS147" t="s">
        <v>170</v>
      </c>
      <c r="BT147"/>
      <c r="BU147"/>
      <c r="BV147"/>
      <c r="BW147"/>
      <c r="BX147"/>
      <c r="BY147"/>
      <c r="BZ147"/>
      <c r="CA147" t="s">
        <v>325</v>
      </c>
      <c r="CB147" t="s">
        <v>193</v>
      </c>
    </row>
    <row r="148" spans="1:81" ht="15" customHeight="1" x14ac:dyDescent="0.25">
      <c r="A148" s="274" t="s">
        <v>1023</v>
      </c>
      <c r="B148" s="274" t="s">
        <v>444</v>
      </c>
      <c r="C148" s="274"/>
      <c r="D148" s="275">
        <v>44785</v>
      </c>
      <c r="E148" s="275">
        <v>45881</v>
      </c>
      <c r="F148" s="275">
        <v>45261</v>
      </c>
      <c r="H148" s="274" t="s">
        <v>272</v>
      </c>
      <c r="I148" s="244" t="s">
        <v>303</v>
      </c>
      <c r="J148" s="244"/>
      <c r="K148" s="244"/>
      <c r="L148" s="244"/>
      <c r="M148" s="277" t="s">
        <v>1024</v>
      </c>
      <c r="N148" s="277" t="s">
        <v>1025</v>
      </c>
      <c r="R148" s="276">
        <v>1</v>
      </c>
      <c r="S148" s="276">
        <v>1</v>
      </c>
      <c r="U148" s="276">
        <v>1</v>
      </c>
      <c r="Y148" s="276">
        <f t="shared" si="32"/>
        <v>3</v>
      </c>
      <c r="AC148" s="276">
        <v>6</v>
      </c>
      <c r="AD148" s="276">
        <v>2</v>
      </c>
      <c r="AI148" s="276">
        <f t="shared" si="33"/>
        <v>8</v>
      </c>
      <c r="AJ148">
        <f t="shared" si="34"/>
        <v>0</v>
      </c>
      <c r="AK148">
        <f t="shared" si="35"/>
        <v>-1</v>
      </c>
      <c r="AL148">
        <f t="shared" si="36"/>
        <v>5</v>
      </c>
      <c r="AM148">
        <f t="shared" si="37"/>
        <v>2</v>
      </c>
      <c r="AN148">
        <f t="shared" si="38"/>
        <v>-1</v>
      </c>
      <c r="AO148">
        <f t="shared" si="39"/>
        <v>0</v>
      </c>
      <c r="AP148">
        <f t="shared" si="40"/>
        <v>0</v>
      </c>
      <c r="AQ148">
        <f t="shared" si="41"/>
        <v>0</v>
      </c>
      <c r="AR148" s="276">
        <f t="shared" si="42"/>
        <v>5</v>
      </c>
      <c r="AT148" s="278"/>
      <c r="AU148" s="274">
        <v>5</v>
      </c>
      <c r="AY148" s="279"/>
      <c r="BD148" s="279"/>
      <c r="BK148" s="280">
        <f t="shared" si="43"/>
        <v>5</v>
      </c>
      <c r="BL148" s="274">
        <f t="shared" si="44"/>
        <v>5</v>
      </c>
      <c r="BP148" s="281">
        <v>513356</v>
      </c>
      <c r="BQ148" s="281">
        <v>173823</v>
      </c>
      <c r="BR148" t="s">
        <v>147</v>
      </c>
      <c r="BS148" t="s">
        <v>147</v>
      </c>
      <c r="BT148"/>
      <c r="BU148"/>
      <c r="BV148"/>
      <c r="BW148"/>
      <c r="BX148"/>
      <c r="BY148"/>
      <c r="BZ148"/>
      <c r="CA148" t="s">
        <v>325</v>
      </c>
      <c r="CB148" t="s">
        <v>194</v>
      </c>
    </row>
    <row r="149" spans="1:81" ht="15" customHeight="1" x14ac:dyDescent="0.25">
      <c r="A149" s="274" t="s">
        <v>1026</v>
      </c>
      <c r="B149" s="277" t="s">
        <v>444</v>
      </c>
      <c r="D149" s="275">
        <v>44795</v>
      </c>
      <c r="E149" s="275">
        <v>45895</v>
      </c>
      <c r="F149" s="275">
        <v>45173</v>
      </c>
      <c r="H149" s="274" t="s">
        <v>272</v>
      </c>
      <c r="I149" s="238" t="s">
        <v>303</v>
      </c>
      <c r="M149" s="277" t="s">
        <v>1027</v>
      </c>
      <c r="N149" s="277" t="s">
        <v>1028</v>
      </c>
      <c r="O149" s="276" t="s">
        <v>921</v>
      </c>
      <c r="Y149" s="276">
        <f t="shared" si="32"/>
        <v>0</v>
      </c>
      <c r="AA149" s="276">
        <v>2</v>
      </c>
      <c r="AB149" s="276">
        <v>2</v>
      </c>
      <c r="AC149" s="276">
        <v>3</v>
      </c>
      <c r="AI149" s="276">
        <f t="shared" si="33"/>
        <v>7</v>
      </c>
      <c r="AJ149">
        <f t="shared" si="34"/>
        <v>2</v>
      </c>
      <c r="AK149">
        <f t="shared" si="35"/>
        <v>2</v>
      </c>
      <c r="AL149">
        <f t="shared" si="36"/>
        <v>3</v>
      </c>
      <c r="AM149">
        <f t="shared" si="37"/>
        <v>0</v>
      </c>
      <c r="AN149">
        <f t="shared" si="38"/>
        <v>0</v>
      </c>
      <c r="AO149">
        <f t="shared" si="39"/>
        <v>0</v>
      </c>
      <c r="AP149">
        <f t="shared" si="40"/>
        <v>0</v>
      </c>
      <c r="AQ149">
        <f t="shared" si="41"/>
        <v>0</v>
      </c>
      <c r="AR149" s="276">
        <f t="shared" si="42"/>
        <v>7</v>
      </c>
      <c r="AT149" s="278"/>
      <c r="AU149" s="274">
        <v>1.75</v>
      </c>
      <c r="AV149" s="274">
        <v>1.75</v>
      </c>
      <c r="AW149" s="274">
        <v>1.75</v>
      </c>
      <c r="AX149" s="274">
        <v>1.75</v>
      </c>
      <c r="AY149" s="279"/>
      <c r="BD149" s="279"/>
      <c r="BK149" s="280">
        <f t="shared" si="43"/>
        <v>7</v>
      </c>
      <c r="BL149" s="274">
        <f t="shared" si="44"/>
        <v>7</v>
      </c>
      <c r="BP149" s="281">
        <v>514498</v>
      </c>
      <c r="BQ149" s="281">
        <v>174249</v>
      </c>
      <c r="BR149" t="s">
        <v>147</v>
      </c>
      <c r="BS149" t="s">
        <v>147</v>
      </c>
      <c r="BT149"/>
      <c r="BU149"/>
      <c r="BV149"/>
      <c r="BW149"/>
      <c r="BX149"/>
      <c r="BY149"/>
      <c r="BZ149"/>
      <c r="CA149" t="s">
        <v>325</v>
      </c>
      <c r="CB149" t="s">
        <v>194</v>
      </c>
    </row>
    <row r="150" spans="1:81" ht="15" customHeight="1" x14ac:dyDescent="0.25">
      <c r="A150" s="274" t="s">
        <v>1029</v>
      </c>
      <c r="B150" s="277" t="s">
        <v>444</v>
      </c>
      <c r="D150" s="275">
        <v>44778</v>
      </c>
      <c r="E150" s="275">
        <v>45874</v>
      </c>
      <c r="F150" s="275">
        <v>44986</v>
      </c>
      <c r="H150" s="274" t="s">
        <v>272</v>
      </c>
      <c r="I150" s="238" t="s">
        <v>303</v>
      </c>
      <c r="M150" s="277" t="s">
        <v>1030</v>
      </c>
      <c r="N150" s="277" t="s">
        <v>1031</v>
      </c>
      <c r="O150" s="276" t="s">
        <v>1032</v>
      </c>
      <c r="S150" s="276">
        <v>1</v>
      </c>
      <c r="Y150" s="276">
        <f t="shared" si="32"/>
        <v>1</v>
      </c>
      <c r="AD150" s="276">
        <v>1</v>
      </c>
      <c r="AI150" s="276">
        <f t="shared" si="33"/>
        <v>1</v>
      </c>
      <c r="AJ150">
        <f t="shared" si="34"/>
        <v>0</v>
      </c>
      <c r="AK150">
        <f t="shared" si="35"/>
        <v>0</v>
      </c>
      <c r="AL150">
        <f t="shared" si="36"/>
        <v>-1</v>
      </c>
      <c r="AM150">
        <f t="shared" si="37"/>
        <v>1</v>
      </c>
      <c r="AN150">
        <f t="shared" si="38"/>
        <v>0</v>
      </c>
      <c r="AO150">
        <f t="shared" si="39"/>
        <v>0</v>
      </c>
      <c r="AP150">
        <f t="shared" si="40"/>
        <v>0</v>
      </c>
      <c r="AQ150">
        <f t="shared" si="41"/>
        <v>0</v>
      </c>
      <c r="AR150" s="276">
        <f t="shared" si="42"/>
        <v>0</v>
      </c>
      <c r="AT150" s="278"/>
      <c r="AU150" s="274">
        <v>0</v>
      </c>
      <c r="AY150" s="279"/>
      <c r="BD150" s="279"/>
      <c r="BK150" s="280">
        <f t="shared" si="43"/>
        <v>0</v>
      </c>
      <c r="BL150" s="274">
        <f t="shared" si="44"/>
        <v>0</v>
      </c>
      <c r="BP150" s="281">
        <v>516237</v>
      </c>
      <c r="BQ150" s="281">
        <v>170397</v>
      </c>
      <c r="BR150" s="296" t="s">
        <v>183</v>
      </c>
      <c r="BS150" t="s">
        <v>143</v>
      </c>
      <c r="BT150"/>
      <c r="BU150"/>
      <c r="BV150"/>
      <c r="BW150"/>
      <c r="BX150"/>
      <c r="BY150"/>
      <c r="BZ150"/>
      <c r="CA150" t="s">
        <v>325</v>
      </c>
      <c r="CB150" t="s">
        <v>192</v>
      </c>
    </row>
    <row r="151" spans="1:81" ht="15" customHeight="1" x14ac:dyDescent="0.25">
      <c r="A151" s="274" t="s">
        <v>1033</v>
      </c>
      <c r="B151" s="277" t="s">
        <v>459</v>
      </c>
      <c r="C151" s="274" t="s">
        <v>293</v>
      </c>
      <c r="D151" s="275">
        <v>44582</v>
      </c>
      <c r="E151" s="275">
        <v>45678</v>
      </c>
      <c r="F151" s="275">
        <v>44936</v>
      </c>
      <c r="H151" s="274" t="s">
        <v>272</v>
      </c>
      <c r="I151" s="238" t="s">
        <v>303</v>
      </c>
      <c r="M151" s="277" t="s">
        <v>1034</v>
      </c>
      <c r="N151" s="277" t="s">
        <v>1035</v>
      </c>
      <c r="O151" s="276" t="s">
        <v>1036</v>
      </c>
      <c r="Y151" s="276">
        <f t="shared" si="32"/>
        <v>0</v>
      </c>
      <c r="AA151" s="276">
        <v>1</v>
      </c>
      <c r="AI151" s="276">
        <f t="shared" si="33"/>
        <v>1</v>
      </c>
      <c r="AJ151">
        <f t="shared" si="34"/>
        <v>1</v>
      </c>
      <c r="AK151">
        <f t="shared" si="35"/>
        <v>0</v>
      </c>
      <c r="AL151">
        <f t="shared" si="36"/>
        <v>0</v>
      </c>
      <c r="AM151">
        <f t="shared" si="37"/>
        <v>0</v>
      </c>
      <c r="AN151">
        <f t="shared" si="38"/>
        <v>0</v>
      </c>
      <c r="AO151">
        <f t="shared" si="39"/>
        <v>0</v>
      </c>
      <c r="AP151">
        <f t="shared" si="40"/>
        <v>0</v>
      </c>
      <c r="AQ151">
        <f t="shared" si="41"/>
        <v>0</v>
      </c>
      <c r="AR151" s="276">
        <f t="shared" si="42"/>
        <v>1</v>
      </c>
      <c r="AT151" s="278"/>
      <c r="AU151" s="274">
        <v>1</v>
      </c>
      <c r="AY151" s="279"/>
      <c r="BD151" s="279"/>
      <c r="BK151" s="280">
        <f t="shared" si="43"/>
        <v>1</v>
      </c>
      <c r="BL151" s="274">
        <f t="shared" si="44"/>
        <v>1</v>
      </c>
      <c r="BP151" s="281">
        <v>521328</v>
      </c>
      <c r="BQ151" s="281">
        <v>175496</v>
      </c>
      <c r="BR151" s="296" t="s">
        <v>181</v>
      </c>
      <c r="BS151" t="s">
        <v>166</v>
      </c>
      <c r="BT151"/>
      <c r="BU151"/>
      <c r="BV151"/>
      <c r="BW151"/>
      <c r="BX151"/>
      <c r="BY151"/>
      <c r="BZ151"/>
      <c r="CA151" t="s">
        <v>325</v>
      </c>
      <c r="CB151" t="s">
        <v>190</v>
      </c>
    </row>
    <row r="152" spans="1:81" ht="15" customHeight="1" x14ac:dyDescent="0.25">
      <c r="A152" s="274" t="s">
        <v>1037</v>
      </c>
      <c r="B152" s="277" t="s">
        <v>459</v>
      </c>
      <c r="C152" s="274" t="s">
        <v>293</v>
      </c>
      <c r="D152" s="275">
        <v>44644</v>
      </c>
      <c r="E152" s="275">
        <v>45740</v>
      </c>
      <c r="F152" s="275">
        <v>44936</v>
      </c>
      <c r="H152" s="274" t="s">
        <v>272</v>
      </c>
      <c r="I152" s="238" t="s">
        <v>303</v>
      </c>
      <c r="M152" s="277" t="s">
        <v>1038</v>
      </c>
      <c r="N152" s="277" t="s">
        <v>1039</v>
      </c>
      <c r="O152" s="276" t="s">
        <v>1036</v>
      </c>
      <c r="Y152" s="276">
        <f t="shared" si="32"/>
        <v>0</v>
      </c>
      <c r="AB152" s="276">
        <v>1</v>
      </c>
      <c r="AI152" s="276">
        <f t="shared" si="33"/>
        <v>1</v>
      </c>
      <c r="AJ152">
        <f t="shared" si="34"/>
        <v>0</v>
      </c>
      <c r="AK152">
        <f t="shared" si="35"/>
        <v>1</v>
      </c>
      <c r="AL152">
        <f t="shared" si="36"/>
        <v>0</v>
      </c>
      <c r="AM152">
        <f t="shared" si="37"/>
        <v>0</v>
      </c>
      <c r="AN152">
        <f t="shared" si="38"/>
        <v>0</v>
      </c>
      <c r="AO152">
        <f t="shared" si="39"/>
        <v>0</v>
      </c>
      <c r="AP152">
        <f t="shared" si="40"/>
        <v>0</v>
      </c>
      <c r="AQ152">
        <f t="shared" si="41"/>
        <v>0</v>
      </c>
      <c r="AR152" s="276">
        <f t="shared" si="42"/>
        <v>1</v>
      </c>
      <c r="AT152" s="278"/>
      <c r="AU152" s="274">
        <v>1</v>
      </c>
      <c r="AY152" s="279"/>
      <c r="BD152" s="279"/>
      <c r="BK152" s="280">
        <f t="shared" si="43"/>
        <v>1</v>
      </c>
      <c r="BL152" s="274">
        <f t="shared" si="44"/>
        <v>1</v>
      </c>
      <c r="BP152" s="281">
        <v>521328</v>
      </c>
      <c r="BQ152" s="281">
        <v>175496</v>
      </c>
      <c r="BR152" s="296" t="s">
        <v>181</v>
      </c>
      <c r="BS152" t="s">
        <v>166</v>
      </c>
      <c r="BT152"/>
      <c r="BU152"/>
      <c r="BV152"/>
      <c r="BW152"/>
      <c r="BX152"/>
      <c r="BY152"/>
      <c r="BZ152"/>
      <c r="CA152" t="s">
        <v>325</v>
      </c>
      <c r="CB152" t="s">
        <v>190</v>
      </c>
    </row>
    <row r="153" spans="1:81" ht="15" customHeight="1" x14ac:dyDescent="0.25">
      <c r="A153" s="274" t="s">
        <v>1040</v>
      </c>
      <c r="B153" s="277" t="s">
        <v>444</v>
      </c>
      <c r="D153" s="275">
        <v>44872</v>
      </c>
      <c r="E153" s="275">
        <v>45968</v>
      </c>
      <c r="F153" s="239">
        <v>45352</v>
      </c>
      <c r="H153" s="274" t="s">
        <v>272</v>
      </c>
      <c r="I153" s="276" t="s">
        <v>342</v>
      </c>
      <c r="M153" s="277" t="s">
        <v>1041</v>
      </c>
      <c r="N153" s="277" t="s">
        <v>1042</v>
      </c>
      <c r="O153" s="276" t="s">
        <v>1043</v>
      </c>
      <c r="Y153" s="276">
        <f t="shared" si="32"/>
        <v>0</v>
      </c>
      <c r="AA153" s="276">
        <v>14</v>
      </c>
      <c r="AI153" s="276">
        <f t="shared" si="33"/>
        <v>14</v>
      </c>
      <c r="AJ153">
        <f t="shared" si="34"/>
        <v>14</v>
      </c>
      <c r="AK153">
        <f t="shared" si="35"/>
        <v>0</v>
      </c>
      <c r="AL153">
        <f t="shared" si="36"/>
        <v>0</v>
      </c>
      <c r="AM153">
        <f t="shared" si="37"/>
        <v>0</v>
      </c>
      <c r="AN153">
        <f t="shared" si="38"/>
        <v>0</v>
      </c>
      <c r="AO153">
        <f t="shared" si="39"/>
        <v>0</v>
      </c>
      <c r="AP153">
        <f t="shared" si="40"/>
        <v>0</v>
      </c>
      <c r="AQ153">
        <f t="shared" si="41"/>
        <v>0</v>
      </c>
      <c r="AR153" s="276">
        <f t="shared" si="42"/>
        <v>14</v>
      </c>
      <c r="AT153" s="278"/>
      <c r="AU153" s="274">
        <v>7</v>
      </c>
      <c r="AV153" s="274">
        <v>7</v>
      </c>
      <c r="AY153" s="279"/>
      <c r="BD153" s="279"/>
      <c r="BK153" s="280">
        <f t="shared" si="43"/>
        <v>14</v>
      </c>
      <c r="BL153" s="274">
        <f t="shared" si="44"/>
        <v>14</v>
      </c>
      <c r="BO153" s="244" t="s">
        <v>325</v>
      </c>
      <c r="BP153" s="281">
        <v>518347</v>
      </c>
      <c r="BQ153" s="281">
        <v>175427</v>
      </c>
      <c r="BR153" s="296" t="s">
        <v>141</v>
      </c>
      <c r="BS153" t="s">
        <v>167</v>
      </c>
      <c r="BT153"/>
      <c r="BU153"/>
      <c r="BV153"/>
      <c r="BW153"/>
      <c r="BX153"/>
      <c r="BY153"/>
      <c r="BZ153"/>
      <c r="CA153" t="s">
        <v>325</v>
      </c>
      <c r="CB153" t="s">
        <v>191</v>
      </c>
    </row>
    <row r="154" spans="1:81" ht="15" customHeight="1" x14ac:dyDescent="0.25">
      <c r="A154" s="274" t="s">
        <v>1044</v>
      </c>
      <c r="B154" s="277" t="s">
        <v>444</v>
      </c>
      <c r="D154" s="275">
        <v>44799</v>
      </c>
      <c r="E154" s="275">
        <v>45895</v>
      </c>
      <c r="F154" s="275">
        <v>44981</v>
      </c>
      <c r="H154" s="274" t="s">
        <v>272</v>
      </c>
      <c r="I154" s="238" t="s">
        <v>303</v>
      </c>
      <c r="M154" s="277" t="s">
        <v>1045</v>
      </c>
      <c r="N154" s="277" t="s">
        <v>1046</v>
      </c>
      <c r="O154" s="276" t="s">
        <v>1047</v>
      </c>
      <c r="S154" s="276">
        <v>1</v>
      </c>
      <c r="Y154" s="276">
        <f t="shared" si="32"/>
        <v>1</v>
      </c>
      <c r="AC154" s="276">
        <v>1</v>
      </c>
      <c r="AI154" s="276">
        <f t="shared" si="33"/>
        <v>1</v>
      </c>
      <c r="AJ154">
        <f t="shared" si="34"/>
        <v>0</v>
      </c>
      <c r="AK154">
        <f t="shared" si="35"/>
        <v>0</v>
      </c>
      <c r="AL154">
        <f t="shared" si="36"/>
        <v>0</v>
      </c>
      <c r="AM154">
        <f t="shared" si="37"/>
        <v>0</v>
      </c>
      <c r="AN154">
        <f t="shared" si="38"/>
        <v>0</v>
      </c>
      <c r="AO154">
        <f t="shared" si="39"/>
        <v>0</v>
      </c>
      <c r="AP154">
        <f t="shared" si="40"/>
        <v>0</v>
      </c>
      <c r="AQ154">
        <f t="shared" si="41"/>
        <v>0</v>
      </c>
      <c r="AR154" s="276">
        <f t="shared" si="42"/>
        <v>0</v>
      </c>
      <c r="AT154" s="278"/>
      <c r="AU154" s="274">
        <v>0</v>
      </c>
      <c r="AY154" s="279"/>
      <c r="BD154" s="279"/>
      <c r="BK154" s="280">
        <f t="shared" si="43"/>
        <v>0</v>
      </c>
      <c r="BL154" s="274">
        <f t="shared" si="44"/>
        <v>0</v>
      </c>
      <c r="BP154" s="281">
        <v>521430</v>
      </c>
      <c r="BQ154" s="281">
        <v>175853</v>
      </c>
      <c r="BR154" s="296" t="s">
        <v>181</v>
      </c>
      <c r="BS154" t="s">
        <v>166</v>
      </c>
      <c r="BT154"/>
      <c r="BU154"/>
      <c r="BV154"/>
      <c r="BW154"/>
      <c r="BX154"/>
      <c r="BY154" t="s">
        <v>967</v>
      </c>
      <c r="BZ154" t="s">
        <v>325</v>
      </c>
      <c r="CA154" t="s">
        <v>325</v>
      </c>
      <c r="CB154" t="s">
        <v>158</v>
      </c>
    </row>
    <row r="155" spans="1:81" ht="15" customHeight="1" x14ac:dyDescent="0.25">
      <c r="A155" s="274" t="s">
        <v>1048</v>
      </c>
      <c r="B155" s="277" t="s">
        <v>444</v>
      </c>
      <c r="D155" s="275">
        <v>45175</v>
      </c>
      <c r="E155" s="275">
        <v>46271</v>
      </c>
      <c r="F155" s="239">
        <v>45261</v>
      </c>
      <c r="H155" s="274" t="s">
        <v>272</v>
      </c>
      <c r="I155" s="238" t="s">
        <v>303</v>
      </c>
      <c r="M155" s="277" t="s">
        <v>1049</v>
      </c>
      <c r="N155" s="277" t="s">
        <v>1050</v>
      </c>
      <c r="O155" s="276" t="s">
        <v>1051</v>
      </c>
      <c r="Y155" s="276">
        <f t="shared" si="32"/>
        <v>0</v>
      </c>
      <c r="AB155" s="276">
        <v>1</v>
      </c>
      <c r="AI155" s="276">
        <f t="shared" si="33"/>
        <v>1</v>
      </c>
      <c r="AJ155">
        <f t="shared" si="34"/>
        <v>0</v>
      </c>
      <c r="AK155">
        <f t="shared" si="35"/>
        <v>1</v>
      </c>
      <c r="AL155">
        <f t="shared" si="36"/>
        <v>0</v>
      </c>
      <c r="AM155">
        <f t="shared" si="37"/>
        <v>0</v>
      </c>
      <c r="AN155">
        <f t="shared" si="38"/>
        <v>0</v>
      </c>
      <c r="AO155">
        <f t="shared" si="39"/>
        <v>0</v>
      </c>
      <c r="AP155">
        <f t="shared" si="40"/>
        <v>0</v>
      </c>
      <c r="AQ155">
        <f t="shared" si="41"/>
        <v>0</v>
      </c>
      <c r="AR155" s="276">
        <f t="shared" si="42"/>
        <v>1</v>
      </c>
      <c r="AT155" s="278"/>
      <c r="AU155" s="274">
        <v>1</v>
      </c>
      <c r="AY155" s="279"/>
      <c r="BD155" s="279"/>
      <c r="BK155" s="280">
        <f t="shared" si="43"/>
        <v>1</v>
      </c>
      <c r="BL155" s="274">
        <f t="shared" si="44"/>
        <v>1</v>
      </c>
      <c r="BP155" s="281">
        <v>515446</v>
      </c>
      <c r="BQ155" s="281">
        <v>173215</v>
      </c>
      <c r="BR155" s="296" t="s">
        <v>145</v>
      </c>
      <c r="BS155" t="s">
        <v>169</v>
      </c>
      <c r="BT155"/>
      <c r="BU155"/>
      <c r="BV155"/>
      <c r="BW155"/>
      <c r="BX155"/>
      <c r="BY155" t="s">
        <v>1052</v>
      </c>
      <c r="BZ155" t="s">
        <v>325</v>
      </c>
      <c r="CA155" t="s">
        <v>325</v>
      </c>
      <c r="CB155" t="s">
        <v>193</v>
      </c>
      <c r="CC155" s="276" t="s">
        <v>325</v>
      </c>
    </row>
    <row r="156" spans="1:81" ht="15" customHeight="1" x14ac:dyDescent="0.25">
      <c r="A156" s="274" t="s">
        <v>1053</v>
      </c>
      <c r="B156" s="274" t="s">
        <v>444</v>
      </c>
      <c r="C156" s="274"/>
      <c r="D156" s="275">
        <v>45036</v>
      </c>
      <c r="E156" s="275">
        <v>46132</v>
      </c>
      <c r="F156" s="275">
        <v>45231</v>
      </c>
      <c r="H156" s="274" t="s">
        <v>272</v>
      </c>
      <c r="I156" s="238" t="s">
        <v>303</v>
      </c>
      <c r="M156" s="277" t="s">
        <v>1054</v>
      </c>
      <c r="N156" s="277" t="s">
        <v>1055</v>
      </c>
      <c r="O156" s="276" t="s">
        <v>1056</v>
      </c>
      <c r="S156" s="276">
        <v>1</v>
      </c>
      <c r="Y156" s="276">
        <f t="shared" si="32"/>
        <v>1</v>
      </c>
      <c r="AC156" s="276">
        <v>2</v>
      </c>
      <c r="AI156" s="276">
        <f t="shared" si="33"/>
        <v>2</v>
      </c>
      <c r="AJ156">
        <f t="shared" si="34"/>
        <v>0</v>
      </c>
      <c r="AK156">
        <f t="shared" si="35"/>
        <v>0</v>
      </c>
      <c r="AL156">
        <f t="shared" si="36"/>
        <v>1</v>
      </c>
      <c r="AM156">
        <f t="shared" si="37"/>
        <v>0</v>
      </c>
      <c r="AN156">
        <f t="shared" si="38"/>
        <v>0</v>
      </c>
      <c r="AO156">
        <f t="shared" si="39"/>
        <v>0</v>
      </c>
      <c r="AP156">
        <f t="shared" si="40"/>
        <v>0</v>
      </c>
      <c r="AQ156">
        <f t="shared" si="41"/>
        <v>0</v>
      </c>
      <c r="AR156" s="276">
        <f t="shared" si="42"/>
        <v>1</v>
      </c>
      <c r="AT156" s="278"/>
      <c r="AU156" s="274">
        <v>1</v>
      </c>
      <c r="AY156" s="279"/>
      <c r="BD156" s="279"/>
      <c r="BK156" s="280">
        <f t="shared" si="43"/>
        <v>1</v>
      </c>
      <c r="BL156" s="274">
        <f t="shared" si="44"/>
        <v>1</v>
      </c>
      <c r="BP156" s="281">
        <v>516560</v>
      </c>
      <c r="BQ156" s="281">
        <v>173850</v>
      </c>
      <c r="BR156" s="296" t="s">
        <v>145</v>
      </c>
      <c r="BS156" t="s">
        <v>171</v>
      </c>
      <c r="BT156"/>
      <c r="BU156"/>
      <c r="BV156"/>
      <c r="BW156"/>
      <c r="BX156"/>
      <c r="BY156"/>
      <c r="BZ156"/>
      <c r="CA156" t="s">
        <v>325</v>
      </c>
      <c r="CB156" t="s">
        <v>193</v>
      </c>
      <c r="CC156" s="276" t="s">
        <v>325</v>
      </c>
    </row>
    <row r="157" spans="1:81" ht="15" customHeight="1" x14ac:dyDescent="0.25">
      <c r="A157" s="274" t="s">
        <v>1057</v>
      </c>
      <c r="B157" s="277" t="s">
        <v>444</v>
      </c>
      <c r="D157" s="275">
        <v>44904</v>
      </c>
      <c r="E157" s="275">
        <v>46000</v>
      </c>
      <c r="F157" s="275">
        <v>45320</v>
      </c>
      <c r="H157" s="274" t="s">
        <v>272</v>
      </c>
      <c r="I157" s="238" t="s">
        <v>303</v>
      </c>
      <c r="M157" s="277" t="s">
        <v>1058</v>
      </c>
      <c r="N157" s="277" t="s">
        <v>1059</v>
      </c>
      <c r="O157" s="276" t="s">
        <v>1060</v>
      </c>
      <c r="S157" s="276">
        <v>1</v>
      </c>
      <c r="Y157" s="276">
        <f t="shared" si="32"/>
        <v>1</v>
      </c>
      <c r="AD157" s="276">
        <v>2</v>
      </c>
      <c r="AI157" s="276">
        <f t="shared" si="33"/>
        <v>2</v>
      </c>
      <c r="AJ157">
        <f t="shared" si="34"/>
        <v>0</v>
      </c>
      <c r="AK157">
        <f t="shared" si="35"/>
        <v>0</v>
      </c>
      <c r="AL157">
        <f t="shared" si="36"/>
        <v>-1</v>
      </c>
      <c r="AM157">
        <f t="shared" si="37"/>
        <v>2</v>
      </c>
      <c r="AN157">
        <f t="shared" si="38"/>
        <v>0</v>
      </c>
      <c r="AO157">
        <f t="shared" si="39"/>
        <v>0</v>
      </c>
      <c r="AP157">
        <f t="shared" si="40"/>
        <v>0</v>
      </c>
      <c r="AQ157">
        <f t="shared" si="41"/>
        <v>0</v>
      </c>
      <c r="AR157" s="276">
        <f t="shared" si="42"/>
        <v>1</v>
      </c>
      <c r="AT157" s="278"/>
      <c r="AU157" s="274">
        <v>1</v>
      </c>
      <c r="AY157" s="279"/>
      <c r="BD157" s="279"/>
      <c r="BK157" s="280">
        <f t="shared" si="43"/>
        <v>1</v>
      </c>
      <c r="BL157" s="274">
        <f t="shared" si="44"/>
        <v>1</v>
      </c>
      <c r="BP157" s="281">
        <v>516303</v>
      </c>
      <c r="BQ157" s="281">
        <v>170784</v>
      </c>
      <c r="BR157" s="296" t="s">
        <v>183</v>
      </c>
      <c r="BS157" t="s">
        <v>143</v>
      </c>
      <c r="BT157"/>
      <c r="BU157"/>
      <c r="BV157"/>
      <c r="BW157"/>
      <c r="BX157"/>
      <c r="BY157"/>
      <c r="BZ157"/>
      <c r="CA157" t="s">
        <v>325</v>
      </c>
      <c r="CB157" t="s">
        <v>192</v>
      </c>
    </row>
    <row r="158" spans="1:81" ht="15" customHeight="1" x14ac:dyDescent="0.25">
      <c r="A158" s="274" t="s">
        <v>1061</v>
      </c>
      <c r="B158" s="277" t="s">
        <v>444</v>
      </c>
      <c r="D158" s="275">
        <v>44945</v>
      </c>
      <c r="E158" s="275">
        <v>46041</v>
      </c>
      <c r="F158" s="275">
        <v>45222</v>
      </c>
      <c r="H158" s="274" t="s">
        <v>272</v>
      </c>
      <c r="I158" s="234" t="s">
        <v>312</v>
      </c>
      <c r="M158" s="277" t="s">
        <v>1062</v>
      </c>
      <c r="N158" s="277" t="s">
        <v>1063</v>
      </c>
      <c r="O158" s="276" t="s">
        <v>1064</v>
      </c>
      <c r="Y158" s="276">
        <f t="shared" si="32"/>
        <v>0</v>
      </c>
      <c r="Z158" s="276" t="s">
        <v>325</v>
      </c>
      <c r="AA158" s="276">
        <v>5</v>
      </c>
      <c r="AI158" s="276">
        <f t="shared" si="33"/>
        <v>5</v>
      </c>
      <c r="AJ158">
        <f t="shared" si="34"/>
        <v>5</v>
      </c>
      <c r="AK158">
        <f t="shared" si="35"/>
        <v>0</v>
      </c>
      <c r="AL158">
        <f t="shared" si="36"/>
        <v>0</v>
      </c>
      <c r="AM158">
        <f t="shared" si="37"/>
        <v>0</v>
      </c>
      <c r="AN158">
        <f t="shared" si="38"/>
        <v>0</v>
      </c>
      <c r="AO158">
        <f t="shared" si="39"/>
        <v>0</v>
      </c>
      <c r="AP158">
        <f t="shared" si="40"/>
        <v>0</v>
      </c>
      <c r="AQ158">
        <f t="shared" si="41"/>
        <v>0</v>
      </c>
      <c r="AR158" s="276">
        <f t="shared" si="42"/>
        <v>5</v>
      </c>
      <c r="AT158" s="278"/>
      <c r="AU158" s="274">
        <v>2.5</v>
      </c>
      <c r="AV158" s="274">
        <v>2.5</v>
      </c>
      <c r="AY158" s="279"/>
      <c r="BD158" s="279"/>
      <c r="BK158" s="280">
        <f t="shared" si="43"/>
        <v>5</v>
      </c>
      <c r="BL158" s="274">
        <f t="shared" si="44"/>
        <v>5</v>
      </c>
      <c r="BM158" s="276" t="s">
        <v>325</v>
      </c>
      <c r="BP158" s="281">
        <v>518758</v>
      </c>
      <c r="BQ158" s="281">
        <v>175172</v>
      </c>
      <c r="BR158" s="296" t="s">
        <v>141</v>
      </c>
      <c r="BS158" t="s">
        <v>167</v>
      </c>
      <c r="BT158"/>
      <c r="BU158"/>
      <c r="BV158"/>
      <c r="BW158"/>
      <c r="BX158"/>
      <c r="BY158" t="s">
        <v>515</v>
      </c>
      <c r="BZ158" t="s">
        <v>325</v>
      </c>
      <c r="CA158" t="s">
        <v>325</v>
      </c>
      <c r="CB158" t="s">
        <v>191</v>
      </c>
    </row>
    <row r="159" spans="1:81" ht="15" customHeight="1" x14ac:dyDescent="0.25">
      <c r="A159" s="274" t="s">
        <v>1065</v>
      </c>
      <c r="B159" s="277" t="s">
        <v>481</v>
      </c>
      <c r="C159" s="274" t="s">
        <v>293</v>
      </c>
      <c r="D159" s="275">
        <v>44820</v>
      </c>
      <c r="E159" s="275">
        <v>45916</v>
      </c>
      <c r="F159" s="275">
        <v>44942</v>
      </c>
      <c r="H159" s="274" t="s">
        <v>272</v>
      </c>
      <c r="I159" s="238" t="s">
        <v>303</v>
      </c>
      <c r="M159" s="277" t="s">
        <v>1066</v>
      </c>
      <c r="N159" s="277" t="s">
        <v>1067</v>
      </c>
      <c r="O159" s="276" t="s">
        <v>683</v>
      </c>
      <c r="Y159" s="276">
        <f t="shared" si="32"/>
        <v>0</v>
      </c>
      <c r="AA159" s="276">
        <v>2</v>
      </c>
      <c r="AI159" s="276">
        <f t="shared" si="33"/>
        <v>2</v>
      </c>
      <c r="AJ159">
        <f t="shared" si="34"/>
        <v>2</v>
      </c>
      <c r="AK159">
        <f t="shared" si="35"/>
        <v>0</v>
      </c>
      <c r="AL159">
        <f t="shared" si="36"/>
        <v>0</v>
      </c>
      <c r="AM159">
        <f t="shared" si="37"/>
        <v>0</v>
      </c>
      <c r="AN159">
        <f t="shared" si="38"/>
        <v>0</v>
      </c>
      <c r="AO159">
        <f t="shared" si="39"/>
        <v>0</v>
      </c>
      <c r="AP159">
        <f t="shared" si="40"/>
        <v>0</v>
      </c>
      <c r="AQ159">
        <f t="shared" si="41"/>
        <v>0</v>
      </c>
      <c r="AR159" s="276">
        <f t="shared" si="42"/>
        <v>2</v>
      </c>
      <c r="AT159" s="278"/>
      <c r="AU159" s="274">
        <v>2</v>
      </c>
      <c r="AY159" s="279"/>
      <c r="BD159" s="279"/>
      <c r="BK159" s="280">
        <f t="shared" si="43"/>
        <v>2</v>
      </c>
      <c r="BL159" s="274">
        <f t="shared" si="44"/>
        <v>2</v>
      </c>
      <c r="BP159" s="281">
        <v>517628</v>
      </c>
      <c r="BQ159" s="281">
        <v>174828</v>
      </c>
      <c r="BR159" s="296" t="s">
        <v>141</v>
      </c>
      <c r="BS159" t="s">
        <v>168</v>
      </c>
      <c r="BT159"/>
      <c r="BU159"/>
      <c r="BV159"/>
      <c r="BW159"/>
      <c r="BX159"/>
      <c r="BY159" t="s">
        <v>684</v>
      </c>
      <c r="BZ159" t="s">
        <v>325</v>
      </c>
      <c r="CA159" t="s">
        <v>325</v>
      </c>
      <c r="CB159" t="s">
        <v>191</v>
      </c>
    </row>
    <row r="160" spans="1:81" ht="15" customHeight="1" x14ac:dyDescent="0.25">
      <c r="A160" s="274" t="s">
        <v>1068</v>
      </c>
      <c r="B160" s="277" t="s">
        <v>459</v>
      </c>
      <c r="C160" s="274" t="s">
        <v>293</v>
      </c>
      <c r="D160" s="275">
        <v>44820</v>
      </c>
      <c r="E160" s="275">
        <v>45916</v>
      </c>
      <c r="F160" s="239">
        <v>44942</v>
      </c>
      <c r="H160" s="274" t="s">
        <v>272</v>
      </c>
      <c r="I160" s="238" t="s">
        <v>303</v>
      </c>
      <c r="M160" s="277" t="s">
        <v>1069</v>
      </c>
      <c r="N160" s="277" t="s">
        <v>1070</v>
      </c>
      <c r="O160" s="276" t="s">
        <v>683</v>
      </c>
      <c r="Y160" s="276">
        <f t="shared" si="32"/>
        <v>0</v>
      </c>
      <c r="AB160" s="276">
        <v>1</v>
      </c>
      <c r="AI160" s="276">
        <f t="shared" si="33"/>
        <v>1</v>
      </c>
      <c r="AJ160">
        <f t="shared" si="34"/>
        <v>0</v>
      </c>
      <c r="AK160">
        <f t="shared" si="35"/>
        <v>1</v>
      </c>
      <c r="AL160">
        <f t="shared" si="36"/>
        <v>0</v>
      </c>
      <c r="AM160">
        <f t="shared" si="37"/>
        <v>0</v>
      </c>
      <c r="AN160">
        <f t="shared" si="38"/>
        <v>0</v>
      </c>
      <c r="AO160">
        <f t="shared" si="39"/>
        <v>0</v>
      </c>
      <c r="AP160">
        <f t="shared" si="40"/>
        <v>0</v>
      </c>
      <c r="AQ160">
        <f t="shared" si="41"/>
        <v>0</v>
      </c>
      <c r="AR160" s="276">
        <f t="shared" si="42"/>
        <v>1</v>
      </c>
      <c r="AT160" s="278"/>
      <c r="AU160" s="274">
        <v>1</v>
      </c>
      <c r="AY160" s="279"/>
      <c r="BD160" s="279"/>
      <c r="BK160" s="280">
        <f t="shared" si="43"/>
        <v>1</v>
      </c>
      <c r="BL160" s="274">
        <f t="shared" si="44"/>
        <v>1</v>
      </c>
      <c r="BP160" s="281">
        <v>517623</v>
      </c>
      <c r="BQ160" s="281">
        <v>174826</v>
      </c>
      <c r="BR160" s="296" t="s">
        <v>141</v>
      </c>
      <c r="BS160" t="s">
        <v>168</v>
      </c>
      <c r="BT160"/>
      <c r="BU160"/>
      <c r="BV160"/>
      <c r="BW160"/>
      <c r="BX160"/>
      <c r="BY160" t="s">
        <v>684</v>
      </c>
      <c r="BZ160" t="s">
        <v>325</v>
      </c>
      <c r="CA160" t="s">
        <v>325</v>
      </c>
      <c r="CB160" t="s">
        <v>191</v>
      </c>
    </row>
    <row r="161" spans="1:80" ht="15" customHeight="1" x14ac:dyDescent="0.25">
      <c r="A161" s="274" t="s">
        <v>1071</v>
      </c>
      <c r="B161" s="277" t="s">
        <v>481</v>
      </c>
      <c r="D161" s="275">
        <v>44881</v>
      </c>
      <c r="E161" s="275">
        <v>45977</v>
      </c>
      <c r="F161" s="275">
        <v>44935</v>
      </c>
      <c r="H161" s="234" t="s">
        <v>272</v>
      </c>
      <c r="I161" s="238" t="s">
        <v>303</v>
      </c>
      <c r="M161" s="277" t="s">
        <v>1072</v>
      </c>
      <c r="N161" s="277" t="s">
        <v>1073</v>
      </c>
      <c r="O161" s="276" t="s">
        <v>1074</v>
      </c>
      <c r="S161" s="276">
        <v>1</v>
      </c>
      <c r="U161" s="276">
        <v>1</v>
      </c>
      <c r="Y161" s="276">
        <f t="shared" si="32"/>
        <v>2</v>
      </c>
      <c r="AH161" s="276">
        <v>1</v>
      </c>
      <c r="AI161" s="276">
        <f t="shared" si="33"/>
        <v>1</v>
      </c>
      <c r="AJ161">
        <f t="shared" si="34"/>
        <v>0</v>
      </c>
      <c r="AK161">
        <f t="shared" si="35"/>
        <v>0</v>
      </c>
      <c r="AL161">
        <f t="shared" si="36"/>
        <v>-1</v>
      </c>
      <c r="AM161">
        <f t="shared" si="37"/>
        <v>0</v>
      </c>
      <c r="AN161">
        <f t="shared" si="38"/>
        <v>-1</v>
      </c>
      <c r="AO161">
        <f t="shared" si="39"/>
        <v>0</v>
      </c>
      <c r="AP161">
        <f t="shared" si="40"/>
        <v>0</v>
      </c>
      <c r="AQ161">
        <f t="shared" si="41"/>
        <v>1</v>
      </c>
      <c r="AR161" s="276">
        <f t="shared" si="42"/>
        <v>-1</v>
      </c>
      <c r="AT161" s="278"/>
      <c r="AU161" s="274">
        <v>-1</v>
      </c>
      <c r="AY161" s="279"/>
      <c r="BD161" s="279"/>
      <c r="BK161" s="280">
        <f t="shared" si="43"/>
        <v>-1</v>
      </c>
      <c r="BL161" s="274">
        <f t="shared" si="44"/>
        <v>-1</v>
      </c>
      <c r="BP161" s="281">
        <v>518640</v>
      </c>
      <c r="BQ161" s="281">
        <v>175931</v>
      </c>
      <c r="BR161" s="296" t="s">
        <v>141</v>
      </c>
      <c r="BS161" t="s">
        <v>167</v>
      </c>
      <c r="BT161"/>
      <c r="BU161"/>
      <c r="BV161"/>
      <c r="BW161"/>
      <c r="BX161"/>
      <c r="BY161" t="s">
        <v>1075</v>
      </c>
      <c r="BZ161" t="s">
        <v>325</v>
      </c>
      <c r="CA161" t="s">
        <v>325</v>
      </c>
      <c r="CB161" t="s">
        <v>165</v>
      </c>
    </row>
    <row r="162" spans="1:80" ht="15" customHeight="1" x14ac:dyDescent="0.25">
      <c r="A162" s="274" t="s">
        <v>1076</v>
      </c>
      <c r="B162" s="277" t="s">
        <v>459</v>
      </c>
      <c r="C162" s="274" t="s">
        <v>293</v>
      </c>
      <c r="D162" s="275">
        <v>44893</v>
      </c>
      <c r="E162" s="275">
        <v>45981</v>
      </c>
      <c r="F162" s="275">
        <v>44942</v>
      </c>
      <c r="H162" s="274" t="s">
        <v>272</v>
      </c>
      <c r="I162" s="238" t="s">
        <v>303</v>
      </c>
      <c r="M162" s="277" t="s">
        <v>1077</v>
      </c>
      <c r="N162" s="277" t="s">
        <v>1078</v>
      </c>
      <c r="O162" s="276" t="s">
        <v>1079</v>
      </c>
      <c r="Y162" s="276">
        <f t="shared" si="32"/>
        <v>0</v>
      </c>
      <c r="AA162" s="276">
        <v>1</v>
      </c>
      <c r="AI162" s="276">
        <f t="shared" si="33"/>
        <v>1</v>
      </c>
      <c r="AJ162">
        <f t="shared" si="34"/>
        <v>1</v>
      </c>
      <c r="AK162">
        <f t="shared" si="35"/>
        <v>0</v>
      </c>
      <c r="AL162">
        <f t="shared" si="36"/>
        <v>0</v>
      </c>
      <c r="AM162">
        <f t="shared" si="37"/>
        <v>0</v>
      </c>
      <c r="AN162">
        <f t="shared" si="38"/>
        <v>0</v>
      </c>
      <c r="AO162">
        <f t="shared" si="39"/>
        <v>0</v>
      </c>
      <c r="AP162">
        <f t="shared" si="40"/>
        <v>0</v>
      </c>
      <c r="AQ162">
        <f t="shared" si="41"/>
        <v>0</v>
      </c>
      <c r="AR162" s="276">
        <f t="shared" si="42"/>
        <v>1</v>
      </c>
      <c r="AT162" s="278"/>
      <c r="AU162" s="274">
        <v>1</v>
      </c>
      <c r="AY162" s="279"/>
      <c r="BD162" s="279"/>
      <c r="BK162" s="280">
        <f t="shared" si="43"/>
        <v>1</v>
      </c>
      <c r="BL162" s="274">
        <f t="shared" si="44"/>
        <v>1</v>
      </c>
      <c r="BP162" s="281">
        <v>517638</v>
      </c>
      <c r="BQ162" s="281">
        <v>174846</v>
      </c>
      <c r="BR162" s="296" t="s">
        <v>141</v>
      </c>
      <c r="BS162" t="s">
        <v>168</v>
      </c>
      <c r="BT162"/>
      <c r="BU162"/>
      <c r="BV162"/>
      <c r="BW162"/>
      <c r="BX162"/>
      <c r="BY162" t="s">
        <v>684</v>
      </c>
      <c r="BZ162" t="s">
        <v>325</v>
      </c>
      <c r="CA162" t="s">
        <v>325</v>
      </c>
      <c r="CB162" t="s">
        <v>191</v>
      </c>
    </row>
    <row r="163" spans="1:80" ht="15" customHeight="1" x14ac:dyDescent="0.25">
      <c r="A163" s="274" t="s">
        <v>1080</v>
      </c>
      <c r="B163" s="277" t="s">
        <v>459</v>
      </c>
      <c r="C163" s="274" t="s">
        <v>293</v>
      </c>
      <c r="D163" s="275">
        <v>44952</v>
      </c>
      <c r="E163" s="275">
        <v>46048</v>
      </c>
      <c r="F163" s="275">
        <v>44952</v>
      </c>
      <c r="H163" s="274" t="s">
        <v>272</v>
      </c>
      <c r="I163" s="238" t="s">
        <v>303</v>
      </c>
      <c r="M163" s="277" t="s">
        <v>1081</v>
      </c>
      <c r="N163" s="277" t="s">
        <v>1082</v>
      </c>
      <c r="O163" s="276" t="s">
        <v>683</v>
      </c>
      <c r="Y163" s="276">
        <f t="shared" si="32"/>
        <v>0</v>
      </c>
      <c r="AA163" s="276">
        <v>2</v>
      </c>
      <c r="AI163" s="276">
        <f t="shared" si="33"/>
        <v>2</v>
      </c>
      <c r="AJ163">
        <f t="shared" si="34"/>
        <v>2</v>
      </c>
      <c r="AK163">
        <f t="shared" si="35"/>
        <v>0</v>
      </c>
      <c r="AL163">
        <f t="shared" si="36"/>
        <v>0</v>
      </c>
      <c r="AM163">
        <f t="shared" si="37"/>
        <v>0</v>
      </c>
      <c r="AN163">
        <f t="shared" si="38"/>
        <v>0</v>
      </c>
      <c r="AO163">
        <f t="shared" si="39"/>
        <v>0</v>
      </c>
      <c r="AP163">
        <f t="shared" si="40"/>
        <v>0</v>
      </c>
      <c r="AQ163">
        <f t="shared" si="41"/>
        <v>0</v>
      </c>
      <c r="AR163" s="276">
        <f t="shared" si="42"/>
        <v>2</v>
      </c>
      <c r="AT163" s="278"/>
      <c r="AU163" s="274">
        <v>2</v>
      </c>
      <c r="AY163" s="279"/>
      <c r="BD163" s="279"/>
      <c r="BK163" s="280">
        <f t="shared" si="43"/>
        <v>2</v>
      </c>
      <c r="BL163" s="274">
        <f t="shared" si="44"/>
        <v>2</v>
      </c>
      <c r="BP163" s="281">
        <v>517631</v>
      </c>
      <c r="BQ163" s="281">
        <v>174833</v>
      </c>
      <c r="BR163" s="296" t="s">
        <v>141</v>
      </c>
      <c r="BS163" t="s">
        <v>168</v>
      </c>
      <c r="BT163"/>
      <c r="BU163"/>
      <c r="BV163"/>
      <c r="BW163"/>
      <c r="BX163"/>
      <c r="BY163" t="s">
        <v>684</v>
      </c>
      <c r="BZ163" t="s">
        <v>325</v>
      </c>
      <c r="CA163" t="s">
        <v>325</v>
      </c>
      <c r="CB163" t="s">
        <v>191</v>
      </c>
    </row>
    <row r="164" spans="1:80" ht="15" customHeight="1" x14ac:dyDescent="0.25">
      <c r="A164" s="274" t="s">
        <v>1083</v>
      </c>
      <c r="B164" s="277" t="s">
        <v>444</v>
      </c>
      <c r="D164" s="275">
        <v>45281</v>
      </c>
      <c r="E164" s="275">
        <v>46377</v>
      </c>
      <c r="F164" s="275">
        <v>45352</v>
      </c>
      <c r="H164" s="274" t="s">
        <v>272</v>
      </c>
      <c r="I164" s="238" t="s">
        <v>303</v>
      </c>
      <c r="M164" s="277" t="s">
        <v>1084</v>
      </c>
      <c r="N164" s="277" t="s">
        <v>1085</v>
      </c>
      <c r="O164" s="276" t="s">
        <v>1086</v>
      </c>
      <c r="Y164" s="276">
        <f t="shared" si="32"/>
        <v>0</v>
      </c>
      <c r="AB164" s="276">
        <v>1</v>
      </c>
      <c r="AI164" s="276">
        <f t="shared" si="33"/>
        <v>1</v>
      </c>
      <c r="AJ164">
        <f t="shared" si="34"/>
        <v>0</v>
      </c>
      <c r="AK164">
        <f t="shared" si="35"/>
        <v>1</v>
      </c>
      <c r="AL164">
        <f t="shared" si="36"/>
        <v>0</v>
      </c>
      <c r="AM164">
        <f t="shared" si="37"/>
        <v>0</v>
      </c>
      <c r="AN164">
        <f t="shared" si="38"/>
        <v>0</v>
      </c>
      <c r="AO164">
        <f t="shared" si="39"/>
        <v>0</v>
      </c>
      <c r="AP164">
        <f t="shared" si="40"/>
        <v>0</v>
      </c>
      <c r="AQ164">
        <f t="shared" si="41"/>
        <v>0</v>
      </c>
      <c r="AR164" s="276">
        <f t="shared" si="42"/>
        <v>1</v>
      </c>
      <c r="AT164" s="278"/>
      <c r="AU164" s="274">
        <v>0.5</v>
      </c>
      <c r="AV164" s="274">
        <v>0.5</v>
      </c>
      <c r="AY164" s="279"/>
      <c r="BD164" s="279"/>
      <c r="BK164" s="280">
        <f t="shared" si="43"/>
        <v>1</v>
      </c>
      <c r="BL164" s="274">
        <f t="shared" si="44"/>
        <v>1</v>
      </c>
      <c r="BP164" s="281">
        <v>515563</v>
      </c>
      <c r="BQ164" s="281">
        <v>171631</v>
      </c>
      <c r="BR164" s="296" t="s">
        <v>183</v>
      </c>
      <c r="BS164" t="s">
        <v>143</v>
      </c>
      <c r="BT164"/>
      <c r="BU164"/>
      <c r="BV164"/>
      <c r="BW164"/>
      <c r="BX164"/>
      <c r="BY164"/>
      <c r="BZ164"/>
      <c r="CA164" t="s">
        <v>325</v>
      </c>
      <c r="CB164" t="s">
        <v>192</v>
      </c>
    </row>
    <row r="165" spans="1:80" ht="15" customHeight="1" x14ac:dyDescent="0.25">
      <c r="A165" s="274" t="s">
        <v>1087</v>
      </c>
      <c r="B165" s="277" t="s">
        <v>459</v>
      </c>
      <c r="C165" s="274" t="s">
        <v>293</v>
      </c>
      <c r="D165" s="275">
        <v>44998</v>
      </c>
      <c r="E165" s="275">
        <v>46094</v>
      </c>
      <c r="F165" s="239">
        <v>45299</v>
      </c>
      <c r="H165" s="274" t="s">
        <v>272</v>
      </c>
      <c r="I165" s="238" t="s">
        <v>303</v>
      </c>
      <c r="M165" s="277" t="s">
        <v>1088</v>
      </c>
      <c r="N165" s="277" t="s">
        <v>1089</v>
      </c>
      <c r="O165" s="276" t="s">
        <v>1090</v>
      </c>
      <c r="Y165" s="276">
        <f t="shared" si="32"/>
        <v>0</v>
      </c>
      <c r="AA165" s="276">
        <v>2</v>
      </c>
      <c r="AI165" s="276">
        <f t="shared" si="33"/>
        <v>2</v>
      </c>
      <c r="AJ165">
        <f t="shared" si="34"/>
        <v>2</v>
      </c>
      <c r="AK165">
        <f t="shared" si="35"/>
        <v>0</v>
      </c>
      <c r="AL165">
        <f t="shared" si="36"/>
        <v>0</v>
      </c>
      <c r="AM165">
        <f t="shared" si="37"/>
        <v>0</v>
      </c>
      <c r="AN165">
        <f t="shared" si="38"/>
        <v>0</v>
      </c>
      <c r="AO165">
        <f t="shared" si="39"/>
        <v>0</v>
      </c>
      <c r="AP165">
        <f t="shared" si="40"/>
        <v>0</v>
      </c>
      <c r="AQ165">
        <f t="shared" si="41"/>
        <v>0</v>
      </c>
      <c r="AR165" s="276">
        <f t="shared" si="42"/>
        <v>2</v>
      </c>
      <c r="AT165" s="278"/>
      <c r="AV165" s="274">
        <v>2</v>
      </c>
      <c r="AY165" s="279"/>
      <c r="BD165" s="279"/>
      <c r="BK165" s="280">
        <f t="shared" si="43"/>
        <v>2</v>
      </c>
      <c r="BL165" s="274">
        <f t="shared" si="44"/>
        <v>2</v>
      </c>
      <c r="BP165" s="281">
        <v>516335</v>
      </c>
      <c r="BQ165" s="281">
        <v>173355</v>
      </c>
      <c r="BR165" s="296" t="s">
        <v>145</v>
      </c>
      <c r="BS165" t="s">
        <v>171</v>
      </c>
      <c r="BT165" t="s">
        <v>145</v>
      </c>
      <c r="BU165"/>
      <c r="BV165"/>
      <c r="BW165"/>
      <c r="BX165"/>
      <c r="BY165" t="s">
        <v>679</v>
      </c>
      <c r="BZ165" t="s">
        <v>325</v>
      </c>
      <c r="CA165" t="s">
        <v>325</v>
      </c>
      <c r="CB165" t="s">
        <v>193</v>
      </c>
    </row>
    <row r="166" spans="1:80" ht="15" customHeight="1" x14ac:dyDescent="0.25">
      <c r="A166" s="274" t="s">
        <v>1091</v>
      </c>
      <c r="B166" s="277" t="s">
        <v>444</v>
      </c>
      <c r="D166" s="275">
        <v>45013</v>
      </c>
      <c r="E166" s="275">
        <v>45565</v>
      </c>
      <c r="F166" s="239">
        <v>45231</v>
      </c>
      <c r="H166" s="234" t="s">
        <v>272</v>
      </c>
      <c r="I166" s="238" t="s">
        <v>303</v>
      </c>
      <c r="M166" s="277" t="s">
        <v>1092</v>
      </c>
      <c r="N166" s="277" t="s">
        <v>1093</v>
      </c>
      <c r="O166" s="276" t="s">
        <v>1094</v>
      </c>
      <c r="U166" s="276">
        <v>1</v>
      </c>
      <c r="Y166" s="276">
        <f t="shared" si="32"/>
        <v>1</v>
      </c>
      <c r="AF166" s="276">
        <v>1</v>
      </c>
      <c r="AI166" s="276">
        <f t="shared" si="33"/>
        <v>1</v>
      </c>
      <c r="AJ166">
        <f t="shared" si="34"/>
        <v>0</v>
      </c>
      <c r="AK166">
        <f t="shared" si="35"/>
        <v>0</v>
      </c>
      <c r="AL166">
        <f t="shared" si="36"/>
        <v>0</v>
      </c>
      <c r="AM166">
        <f t="shared" si="37"/>
        <v>0</v>
      </c>
      <c r="AN166">
        <f t="shared" si="38"/>
        <v>-1</v>
      </c>
      <c r="AO166">
        <f t="shared" si="39"/>
        <v>1</v>
      </c>
      <c r="AP166">
        <f t="shared" si="40"/>
        <v>0</v>
      </c>
      <c r="AQ166">
        <f t="shared" si="41"/>
        <v>0</v>
      </c>
      <c r="AR166" s="276">
        <f t="shared" si="42"/>
        <v>0</v>
      </c>
      <c r="AT166" s="278"/>
      <c r="AU166" s="274">
        <v>0</v>
      </c>
      <c r="AY166" s="279"/>
      <c r="BD166" s="279"/>
      <c r="BK166" s="280">
        <f t="shared" si="43"/>
        <v>0</v>
      </c>
      <c r="BL166" s="274">
        <f t="shared" si="44"/>
        <v>0</v>
      </c>
      <c r="BP166" s="281">
        <v>519305</v>
      </c>
      <c r="BQ166" s="281">
        <v>176468</v>
      </c>
      <c r="BR166" s="296" t="s">
        <v>141</v>
      </c>
      <c r="BS166" t="s">
        <v>165</v>
      </c>
      <c r="BT166"/>
      <c r="BU166"/>
      <c r="BV166"/>
      <c r="BW166"/>
      <c r="BX166"/>
      <c r="BY166"/>
      <c r="BZ166"/>
      <c r="CA166" t="s">
        <v>325</v>
      </c>
      <c r="CB166" t="s">
        <v>165</v>
      </c>
    </row>
    <row r="167" spans="1:80" ht="15" customHeight="1" x14ac:dyDescent="0.25">
      <c r="A167" s="274" t="s">
        <v>1095</v>
      </c>
      <c r="B167" s="274" t="s">
        <v>459</v>
      </c>
      <c r="C167" s="274"/>
      <c r="D167" s="275">
        <v>45100</v>
      </c>
      <c r="E167" s="275">
        <v>46196</v>
      </c>
      <c r="F167" s="275">
        <v>45257</v>
      </c>
      <c r="H167" s="274" t="s">
        <v>272</v>
      </c>
      <c r="I167" s="238" t="s">
        <v>303</v>
      </c>
      <c r="M167" s="277" t="s">
        <v>1096</v>
      </c>
      <c r="N167" s="277" t="s">
        <v>1097</v>
      </c>
      <c r="O167" s="276" t="s">
        <v>1098</v>
      </c>
      <c r="R167" s="276">
        <v>1</v>
      </c>
      <c r="Y167" s="276">
        <f t="shared" si="32"/>
        <v>1</v>
      </c>
      <c r="AI167" s="276">
        <f t="shared" si="33"/>
        <v>0</v>
      </c>
      <c r="AJ167">
        <f t="shared" si="34"/>
        <v>0</v>
      </c>
      <c r="AK167">
        <f t="shared" si="35"/>
        <v>-1</v>
      </c>
      <c r="AL167">
        <f t="shared" si="36"/>
        <v>0</v>
      </c>
      <c r="AM167">
        <f t="shared" si="37"/>
        <v>0</v>
      </c>
      <c r="AN167">
        <f t="shared" si="38"/>
        <v>0</v>
      </c>
      <c r="AO167">
        <f t="shared" si="39"/>
        <v>0</v>
      </c>
      <c r="AP167">
        <f t="shared" si="40"/>
        <v>0</v>
      </c>
      <c r="AQ167">
        <f t="shared" si="41"/>
        <v>0</v>
      </c>
      <c r="AR167" s="276">
        <f t="shared" si="42"/>
        <v>-1</v>
      </c>
      <c r="AT167" s="278"/>
      <c r="AU167" s="274">
        <v>-1</v>
      </c>
      <c r="AY167" s="279"/>
      <c r="BD167" s="279"/>
      <c r="BK167" s="280">
        <f t="shared" si="43"/>
        <v>-1</v>
      </c>
      <c r="BL167" s="274">
        <f t="shared" si="44"/>
        <v>-1</v>
      </c>
      <c r="BP167" s="281">
        <v>515689</v>
      </c>
      <c r="BQ167" s="281">
        <v>170740</v>
      </c>
      <c r="BR167" s="296" t="s">
        <v>183</v>
      </c>
      <c r="BS167" t="s">
        <v>143</v>
      </c>
      <c r="BT167"/>
      <c r="BU167"/>
      <c r="BV167"/>
      <c r="BW167"/>
      <c r="BX167"/>
      <c r="BY167"/>
      <c r="BZ167"/>
      <c r="CA167" t="s">
        <v>325</v>
      </c>
      <c r="CB167" t="s">
        <v>192</v>
      </c>
    </row>
    <row r="168" spans="1:80" ht="15" customHeight="1" x14ac:dyDescent="0.25">
      <c r="A168" s="274" t="s">
        <v>1099</v>
      </c>
      <c r="B168" s="277" t="s">
        <v>459</v>
      </c>
      <c r="D168" s="275">
        <v>45155</v>
      </c>
      <c r="E168" s="275">
        <v>46251</v>
      </c>
      <c r="F168" s="239">
        <v>45307</v>
      </c>
      <c r="H168" s="274" t="s">
        <v>272</v>
      </c>
      <c r="I168" s="238" t="s">
        <v>303</v>
      </c>
      <c r="M168" s="277" t="s">
        <v>1100</v>
      </c>
      <c r="N168" s="277" t="s">
        <v>1082</v>
      </c>
      <c r="O168" s="276" t="s">
        <v>683</v>
      </c>
      <c r="Y168" s="276">
        <f t="shared" si="32"/>
        <v>0</v>
      </c>
      <c r="AA168" s="276">
        <v>1</v>
      </c>
      <c r="AI168" s="276">
        <f t="shared" si="33"/>
        <v>1</v>
      </c>
      <c r="AJ168">
        <f t="shared" si="34"/>
        <v>1</v>
      </c>
      <c r="AK168">
        <f t="shared" si="35"/>
        <v>0</v>
      </c>
      <c r="AL168">
        <f t="shared" si="36"/>
        <v>0</v>
      </c>
      <c r="AM168">
        <f t="shared" si="37"/>
        <v>0</v>
      </c>
      <c r="AN168">
        <f t="shared" si="38"/>
        <v>0</v>
      </c>
      <c r="AO168">
        <f t="shared" si="39"/>
        <v>0</v>
      </c>
      <c r="AP168">
        <f t="shared" si="40"/>
        <v>0</v>
      </c>
      <c r="AQ168">
        <f t="shared" si="41"/>
        <v>0</v>
      </c>
      <c r="AR168" s="276">
        <f t="shared" si="42"/>
        <v>1</v>
      </c>
      <c r="AT168" s="278"/>
      <c r="AU168" s="274">
        <v>1</v>
      </c>
      <c r="AY168" s="279"/>
      <c r="BD168" s="279"/>
      <c r="BK168" s="280">
        <f t="shared" si="43"/>
        <v>1</v>
      </c>
      <c r="BL168" s="274">
        <f t="shared" si="44"/>
        <v>1</v>
      </c>
      <c r="BP168" s="281">
        <v>517631</v>
      </c>
      <c r="BQ168" s="281">
        <v>174833</v>
      </c>
      <c r="BR168" s="296" t="s">
        <v>141</v>
      </c>
      <c r="BS168" t="s">
        <v>168</v>
      </c>
      <c r="BT168"/>
      <c r="BU168"/>
      <c r="BV168"/>
      <c r="BW168"/>
      <c r="BX168"/>
      <c r="BY168" t="s">
        <v>684</v>
      </c>
      <c r="BZ168" t="s">
        <v>325</v>
      </c>
      <c r="CA168" t="s">
        <v>325</v>
      </c>
      <c r="CB168" t="s">
        <v>191</v>
      </c>
    </row>
    <row r="169" spans="1:80" ht="15" customHeight="1" x14ac:dyDescent="0.25">
      <c r="A169" s="274" t="s">
        <v>1101</v>
      </c>
      <c r="B169" s="274" t="s">
        <v>542</v>
      </c>
      <c r="C169" s="274"/>
      <c r="D169" s="275">
        <v>45321</v>
      </c>
      <c r="E169" s="275">
        <v>46417</v>
      </c>
      <c r="F169" s="275">
        <v>45321</v>
      </c>
      <c r="H169" s="274" t="s">
        <v>272</v>
      </c>
      <c r="I169" s="238" t="s">
        <v>303</v>
      </c>
      <c r="M169" s="277" t="s">
        <v>1102</v>
      </c>
      <c r="N169" s="277" t="s">
        <v>1103</v>
      </c>
      <c r="O169" s="276" t="s">
        <v>1104</v>
      </c>
      <c r="Y169" s="276">
        <f t="shared" si="32"/>
        <v>0</v>
      </c>
      <c r="AA169" s="276">
        <v>2</v>
      </c>
      <c r="AC169" s="276">
        <v>1</v>
      </c>
      <c r="AI169" s="276">
        <f t="shared" si="33"/>
        <v>3</v>
      </c>
      <c r="AJ169">
        <f t="shared" si="34"/>
        <v>2</v>
      </c>
      <c r="AK169">
        <f t="shared" si="35"/>
        <v>0</v>
      </c>
      <c r="AL169">
        <f t="shared" si="36"/>
        <v>1</v>
      </c>
      <c r="AM169">
        <f t="shared" si="37"/>
        <v>0</v>
      </c>
      <c r="AN169">
        <f t="shared" si="38"/>
        <v>0</v>
      </c>
      <c r="AO169">
        <f t="shared" si="39"/>
        <v>0</v>
      </c>
      <c r="AP169">
        <f t="shared" si="40"/>
        <v>0</v>
      </c>
      <c r="AQ169">
        <f t="shared" si="41"/>
        <v>0</v>
      </c>
      <c r="AR169" s="276">
        <f t="shared" si="42"/>
        <v>3</v>
      </c>
      <c r="AT169" s="278"/>
      <c r="AU169" s="274">
        <v>1.5</v>
      </c>
      <c r="AV169" s="274">
        <v>1.5</v>
      </c>
      <c r="AY169" s="279"/>
      <c r="BD169" s="279"/>
      <c r="BK169" s="280">
        <f t="shared" si="43"/>
        <v>3</v>
      </c>
      <c r="BL169" s="274">
        <f t="shared" si="44"/>
        <v>3</v>
      </c>
      <c r="BP169" s="281">
        <v>515296</v>
      </c>
      <c r="BQ169" s="281">
        <v>171228</v>
      </c>
      <c r="BR169" s="296" t="s">
        <v>183</v>
      </c>
      <c r="BS169" t="s">
        <v>159</v>
      </c>
      <c r="BT169"/>
      <c r="BU169"/>
      <c r="BV169"/>
      <c r="BW169"/>
      <c r="BX169"/>
      <c r="BY169"/>
      <c r="BZ169"/>
      <c r="CA169" t="s">
        <v>325</v>
      </c>
      <c r="CB169" t="s">
        <v>192</v>
      </c>
    </row>
    <row r="170" spans="1:80" ht="15" customHeight="1" x14ac:dyDescent="0.25">
      <c r="A170" s="274" t="s">
        <v>1105</v>
      </c>
      <c r="B170" s="277" t="s">
        <v>459</v>
      </c>
      <c r="C170" s="274" t="s">
        <v>293</v>
      </c>
      <c r="D170" s="275">
        <v>45131</v>
      </c>
      <c r="E170" s="275">
        <v>46227</v>
      </c>
      <c r="F170" s="239">
        <v>45323</v>
      </c>
      <c r="H170" s="274" t="s">
        <v>272</v>
      </c>
      <c r="I170" s="238" t="s">
        <v>303</v>
      </c>
      <c r="M170" s="277" t="s">
        <v>1106</v>
      </c>
      <c r="N170" s="277" t="s">
        <v>1107</v>
      </c>
      <c r="O170" s="276" t="s">
        <v>1108</v>
      </c>
      <c r="Y170" s="276">
        <f t="shared" si="32"/>
        <v>0</v>
      </c>
      <c r="AA170" s="276">
        <v>2</v>
      </c>
      <c r="AB170" s="276">
        <v>1</v>
      </c>
      <c r="AI170" s="276">
        <f t="shared" si="33"/>
        <v>3</v>
      </c>
      <c r="AJ170">
        <f t="shared" si="34"/>
        <v>2</v>
      </c>
      <c r="AK170">
        <f t="shared" si="35"/>
        <v>1</v>
      </c>
      <c r="AL170">
        <f t="shared" si="36"/>
        <v>0</v>
      </c>
      <c r="AM170">
        <f t="shared" si="37"/>
        <v>0</v>
      </c>
      <c r="AN170">
        <f t="shared" si="38"/>
        <v>0</v>
      </c>
      <c r="AO170">
        <f t="shared" si="39"/>
        <v>0</v>
      </c>
      <c r="AP170">
        <f t="shared" si="40"/>
        <v>0</v>
      </c>
      <c r="AQ170">
        <f t="shared" si="41"/>
        <v>0</v>
      </c>
      <c r="AR170" s="276">
        <f t="shared" si="42"/>
        <v>3</v>
      </c>
      <c r="AT170" s="278"/>
      <c r="AU170" s="274">
        <v>3</v>
      </c>
      <c r="AY170" s="279"/>
      <c r="BD170" s="279"/>
      <c r="BK170" s="280">
        <f t="shared" si="43"/>
        <v>3</v>
      </c>
      <c r="BL170" s="274">
        <f t="shared" si="44"/>
        <v>3</v>
      </c>
      <c r="BP170" s="281">
        <v>515664</v>
      </c>
      <c r="BQ170" s="281">
        <v>171121</v>
      </c>
      <c r="BR170" s="296" t="s">
        <v>183</v>
      </c>
      <c r="BS170" t="s">
        <v>143</v>
      </c>
      <c r="BT170"/>
      <c r="BU170"/>
      <c r="BV170"/>
      <c r="BW170"/>
      <c r="BX170"/>
      <c r="BY170" t="s">
        <v>1109</v>
      </c>
      <c r="BZ170" t="s">
        <v>325</v>
      </c>
      <c r="CA170" t="s">
        <v>325</v>
      </c>
      <c r="CB170" t="s">
        <v>192</v>
      </c>
    </row>
    <row r="171" spans="1:80" ht="15" customHeight="1" x14ac:dyDescent="0.25">
      <c r="A171" s="274" t="s">
        <v>1110</v>
      </c>
      <c r="B171" s="277" t="s">
        <v>459</v>
      </c>
      <c r="C171" s="274" t="s">
        <v>293</v>
      </c>
      <c r="D171" s="275">
        <v>45167</v>
      </c>
      <c r="E171" s="275">
        <v>46263</v>
      </c>
      <c r="F171" s="239">
        <v>45323</v>
      </c>
      <c r="H171" s="274" t="s">
        <v>272</v>
      </c>
      <c r="I171" s="238" t="s">
        <v>303</v>
      </c>
      <c r="M171" s="277" t="s">
        <v>1111</v>
      </c>
      <c r="N171" s="277" t="s">
        <v>1107</v>
      </c>
      <c r="O171" s="276" t="s">
        <v>1108</v>
      </c>
      <c r="Y171" s="276">
        <f t="shared" si="32"/>
        <v>0</v>
      </c>
      <c r="AA171" s="276">
        <v>4</v>
      </c>
      <c r="AI171" s="276">
        <f t="shared" si="33"/>
        <v>4</v>
      </c>
      <c r="AJ171">
        <f t="shared" si="34"/>
        <v>4</v>
      </c>
      <c r="AK171">
        <f t="shared" si="35"/>
        <v>0</v>
      </c>
      <c r="AL171">
        <f t="shared" si="36"/>
        <v>0</v>
      </c>
      <c r="AM171">
        <f t="shared" si="37"/>
        <v>0</v>
      </c>
      <c r="AN171">
        <f t="shared" si="38"/>
        <v>0</v>
      </c>
      <c r="AO171">
        <f t="shared" si="39"/>
        <v>0</v>
      </c>
      <c r="AP171">
        <f t="shared" si="40"/>
        <v>0</v>
      </c>
      <c r="AQ171">
        <f t="shared" si="41"/>
        <v>0</v>
      </c>
      <c r="AR171" s="276">
        <f t="shared" si="42"/>
        <v>4</v>
      </c>
      <c r="AT171" s="278"/>
      <c r="AU171" s="274">
        <v>4</v>
      </c>
      <c r="AY171" s="279"/>
      <c r="BD171" s="279"/>
      <c r="BK171" s="280">
        <f t="shared" si="43"/>
        <v>4</v>
      </c>
      <c r="BL171" s="274">
        <f t="shared" si="44"/>
        <v>4</v>
      </c>
      <c r="BP171" s="281">
        <v>515664</v>
      </c>
      <c r="BQ171" s="281">
        <v>171121</v>
      </c>
      <c r="BR171" s="296" t="s">
        <v>183</v>
      </c>
      <c r="BS171" t="s">
        <v>143</v>
      </c>
      <c r="BT171"/>
      <c r="BU171"/>
      <c r="BV171"/>
      <c r="BW171"/>
      <c r="BX171"/>
      <c r="BY171" t="s">
        <v>1109</v>
      </c>
      <c r="BZ171" t="s">
        <v>325</v>
      </c>
      <c r="CA171" t="s">
        <v>325</v>
      </c>
      <c r="CB171" t="s">
        <v>192</v>
      </c>
    </row>
    <row r="172" spans="1:80" ht="15" customHeight="1" x14ac:dyDescent="0.25">
      <c r="A172" s="274" t="s">
        <v>1112</v>
      </c>
      <c r="B172" s="277" t="s">
        <v>459</v>
      </c>
      <c r="C172" s="274" t="s">
        <v>293</v>
      </c>
      <c r="D172" s="275">
        <v>45167</v>
      </c>
      <c r="E172" s="275">
        <v>46263</v>
      </c>
      <c r="F172" s="239">
        <v>45323</v>
      </c>
      <c r="H172" s="274" t="s">
        <v>272</v>
      </c>
      <c r="I172" s="238" t="s">
        <v>303</v>
      </c>
      <c r="M172" s="277" t="s">
        <v>1111</v>
      </c>
      <c r="N172" s="277" t="s">
        <v>1107</v>
      </c>
      <c r="O172" s="276" t="s">
        <v>1108</v>
      </c>
      <c r="Y172" s="276">
        <f t="shared" si="32"/>
        <v>0</v>
      </c>
      <c r="AA172" s="276">
        <v>1</v>
      </c>
      <c r="AI172" s="276">
        <f t="shared" si="33"/>
        <v>1</v>
      </c>
      <c r="AJ172">
        <f t="shared" si="34"/>
        <v>1</v>
      </c>
      <c r="AK172">
        <f t="shared" si="35"/>
        <v>0</v>
      </c>
      <c r="AL172">
        <f t="shared" si="36"/>
        <v>0</v>
      </c>
      <c r="AM172">
        <f t="shared" si="37"/>
        <v>0</v>
      </c>
      <c r="AN172">
        <f t="shared" si="38"/>
        <v>0</v>
      </c>
      <c r="AO172">
        <f t="shared" si="39"/>
        <v>0</v>
      </c>
      <c r="AP172">
        <f t="shared" si="40"/>
        <v>0</v>
      </c>
      <c r="AQ172">
        <f t="shared" si="41"/>
        <v>0</v>
      </c>
      <c r="AR172" s="276">
        <f t="shared" si="42"/>
        <v>1</v>
      </c>
      <c r="AT172" s="278"/>
      <c r="AU172" s="274">
        <v>1</v>
      </c>
      <c r="AY172" s="279"/>
      <c r="BD172" s="279"/>
      <c r="BK172" s="280">
        <f t="shared" si="43"/>
        <v>1</v>
      </c>
      <c r="BL172" s="274">
        <f t="shared" si="44"/>
        <v>1</v>
      </c>
      <c r="BP172" s="281">
        <v>515664</v>
      </c>
      <c r="BQ172" s="281">
        <v>171121</v>
      </c>
      <c r="BR172" s="296" t="s">
        <v>183</v>
      </c>
      <c r="BS172" t="s">
        <v>143</v>
      </c>
      <c r="BT172"/>
      <c r="BU172"/>
      <c r="BV172"/>
      <c r="BW172"/>
      <c r="BX172"/>
      <c r="BY172" t="s">
        <v>1109</v>
      </c>
      <c r="BZ172" t="s">
        <v>325</v>
      </c>
      <c r="CA172" t="s">
        <v>325</v>
      </c>
      <c r="CB172" t="s">
        <v>192</v>
      </c>
    </row>
    <row r="173" spans="1:80" ht="15" customHeight="1" x14ac:dyDescent="0.25">
      <c r="A173" s="274" t="s">
        <v>1113</v>
      </c>
      <c r="B173" s="277" t="s">
        <v>459</v>
      </c>
      <c r="C173" s="274" t="s">
        <v>293</v>
      </c>
      <c r="D173" s="275">
        <v>45282</v>
      </c>
      <c r="E173" s="275">
        <v>46378</v>
      </c>
      <c r="F173" s="239">
        <v>45323</v>
      </c>
      <c r="H173" s="274" t="s">
        <v>272</v>
      </c>
      <c r="I173" s="238" t="s">
        <v>303</v>
      </c>
      <c r="M173" s="277" t="s">
        <v>1114</v>
      </c>
      <c r="N173" s="277" t="s">
        <v>1115</v>
      </c>
      <c r="O173" s="276" t="s">
        <v>1116</v>
      </c>
      <c r="Y173" s="276">
        <f t="shared" si="32"/>
        <v>0</v>
      </c>
      <c r="AB173" s="276">
        <v>1</v>
      </c>
      <c r="AI173" s="276">
        <f t="shared" si="33"/>
        <v>1</v>
      </c>
      <c r="AJ173">
        <f t="shared" si="34"/>
        <v>0</v>
      </c>
      <c r="AK173">
        <f t="shared" si="35"/>
        <v>1</v>
      </c>
      <c r="AL173">
        <f t="shared" si="36"/>
        <v>0</v>
      </c>
      <c r="AM173">
        <f t="shared" si="37"/>
        <v>0</v>
      </c>
      <c r="AN173">
        <f t="shared" si="38"/>
        <v>0</v>
      </c>
      <c r="AO173">
        <f t="shared" si="39"/>
        <v>0</v>
      </c>
      <c r="AP173">
        <f t="shared" si="40"/>
        <v>0</v>
      </c>
      <c r="AQ173">
        <f t="shared" si="41"/>
        <v>0</v>
      </c>
      <c r="AR173" s="276">
        <f t="shared" si="42"/>
        <v>1</v>
      </c>
      <c r="AT173" s="278"/>
      <c r="AU173" s="274">
        <v>1</v>
      </c>
      <c r="AY173" s="279"/>
      <c r="BD173" s="279"/>
      <c r="BK173" s="280">
        <f t="shared" si="43"/>
        <v>1</v>
      </c>
      <c r="BL173" s="274">
        <f t="shared" si="44"/>
        <v>1</v>
      </c>
      <c r="BP173" s="281">
        <v>515687</v>
      </c>
      <c r="BQ173" s="281">
        <v>171148</v>
      </c>
      <c r="BR173" s="296" t="s">
        <v>183</v>
      </c>
      <c r="BS173" t="s">
        <v>143</v>
      </c>
      <c r="BT173"/>
      <c r="BU173"/>
      <c r="BV173"/>
      <c r="BW173"/>
      <c r="BX173"/>
      <c r="BY173" t="s">
        <v>1109</v>
      </c>
      <c r="BZ173" t="s">
        <v>325</v>
      </c>
      <c r="CA173" t="s">
        <v>325</v>
      </c>
      <c r="CB173" t="s">
        <v>192</v>
      </c>
    </row>
    <row r="174" spans="1:80" ht="15" customHeight="1" x14ac:dyDescent="0.25">
      <c r="A174" s="274" t="s">
        <v>1117</v>
      </c>
      <c r="B174" s="277" t="s">
        <v>532</v>
      </c>
      <c r="C174" s="274"/>
      <c r="D174" s="275">
        <v>44137</v>
      </c>
      <c r="E174" s="275">
        <v>45232</v>
      </c>
      <c r="F174" s="239">
        <v>45231</v>
      </c>
      <c r="H174" s="274" t="s">
        <v>272</v>
      </c>
      <c r="I174" s="238" t="s">
        <v>303</v>
      </c>
      <c r="M174" s="277" t="s">
        <v>1118</v>
      </c>
      <c r="N174" s="277" t="s">
        <v>1119</v>
      </c>
      <c r="O174" s="276" t="s">
        <v>1120</v>
      </c>
      <c r="Y174" s="276">
        <f t="shared" si="32"/>
        <v>0</v>
      </c>
      <c r="AA174" s="276">
        <v>2</v>
      </c>
      <c r="AI174" s="276">
        <f t="shared" si="33"/>
        <v>2</v>
      </c>
      <c r="AJ174">
        <f t="shared" si="34"/>
        <v>2</v>
      </c>
      <c r="AK174">
        <f t="shared" si="35"/>
        <v>0</v>
      </c>
      <c r="AL174">
        <f t="shared" si="36"/>
        <v>0</v>
      </c>
      <c r="AM174">
        <f t="shared" si="37"/>
        <v>0</v>
      </c>
      <c r="AN174">
        <f t="shared" si="38"/>
        <v>0</v>
      </c>
      <c r="AO174">
        <f t="shared" si="39"/>
        <v>0</v>
      </c>
      <c r="AP174">
        <f t="shared" si="40"/>
        <v>0</v>
      </c>
      <c r="AQ174">
        <f t="shared" si="41"/>
        <v>0</v>
      </c>
      <c r="AR174" s="276">
        <f t="shared" si="42"/>
        <v>2</v>
      </c>
      <c r="AT174" s="278"/>
      <c r="AU174" s="274">
        <v>1</v>
      </c>
      <c r="AV174" s="274">
        <v>1</v>
      </c>
      <c r="AY174" s="279"/>
      <c r="BD174" s="279"/>
      <c r="BK174" s="280">
        <f t="shared" si="43"/>
        <v>2</v>
      </c>
      <c r="BL174" s="274">
        <f t="shared" si="44"/>
        <v>2</v>
      </c>
      <c r="BP174" s="281">
        <v>516132</v>
      </c>
      <c r="BQ174" s="281">
        <v>170736</v>
      </c>
      <c r="BR174" s="296" t="s">
        <v>183</v>
      </c>
      <c r="BS174" t="s">
        <v>143</v>
      </c>
      <c r="BT174"/>
      <c r="BU174"/>
      <c r="BV174"/>
      <c r="BW174"/>
      <c r="BX174"/>
      <c r="BY174"/>
      <c r="BZ174"/>
      <c r="CA174"/>
      <c r="CB174" t="s">
        <v>192</v>
      </c>
    </row>
    <row r="175" spans="1:80" ht="15" customHeight="1" x14ac:dyDescent="0.25">
      <c r="A175" s="274" t="s">
        <v>1121</v>
      </c>
      <c r="B175" s="277" t="s">
        <v>444</v>
      </c>
      <c r="C175" s="274"/>
      <c r="D175" s="275">
        <v>45281</v>
      </c>
      <c r="E175" s="275">
        <v>46377</v>
      </c>
      <c r="F175" s="239">
        <v>45306</v>
      </c>
      <c r="H175" s="274" t="s">
        <v>272</v>
      </c>
      <c r="I175" s="238" t="s">
        <v>303</v>
      </c>
      <c r="M175" s="277" t="s">
        <v>1122</v>
      </c>
      <c r="N175" s="277" t="s">
        <v>1123</v>
      </c>
      <c r="O175" s="276" t="s">
        <v>1124</v>
      </c>
      <c r="Y175" s="276">
        <f t="shared" si="32"/>
        <v>0</v>
      </c>
      <c r="AC175" s="276">
        <v>1</v>
      </c>
      <c r="AI175" s="276">
        <f t="shared" si="33"/>
        <v>1</v>
      </c>
      <c r="AJ175">
        <f t="shared" si="34"/>
        <v>0</v>
      </c>
      <c r="AK175">
        <f t="shared" si="35"/>
        <v>0</v>
      </c>
      <c r="AL175">
        <f t="shared" si="36"/>
        <v>1</v>
      </c>
      <c r="AM175">
        <f t="shared" si="37"/>
        <v>0</v>
      </c>
      <c r="AN175">
        <f t="shared" si="38"/>
        <v>0</v>
      </c>
      <c r="AO175">
        <f t="shared" si="39"/>
        <v>0</v>
      </c>
      <c r="AP175">
        <f t="shared" si="40"/>
        <v>0</v>
      </c>
      <c r="AQ175">
        <f t="shared" si="41"/>
        <v>0</v>
      </c>
      <c r="AR175" s="276">
        <f t="shared" si="42"/>
        <v>1</v>
      </c>
      <c r="AT175" s="278"/>
      <c r="AV175" s="274">
        <v>1</v>
      </c>
      <c r="AY175" s="279"/>
      <c r="BD175" s="279"/>
      <c r="BK175" s="280">
        <f t="shared" si="43"/>
        <v>1</v>
      </c>
      <c r="BL175" s="274">
        <f t="shared" si="44"/>
        <v>1</v>
      </c>
      <c r="BP175" s="281">
        <v>513620</v>
      </c>
      <c r="BQ175" s="281">
        <v>172514</v>
      </c>
      <c r="BR175" s="296" t="s">
        <v>145</v>
      </c>
      <c r="BS175" t="s">
        <v>172</v>
      </c>
      <c r="BT175"/>
      <c r="BU175"/>
      <c r="BV175"/>
      <c r="BW175"/>
      <c r="BX175"/>
      <c r="BY175"/>
      <c r="BZ175"/>
      <c r="CA175"/>
      <c r="CB175" t="s">
        <v>193</v>
      </c>
    </row>
    <row r="176" spans="1:80" ht="15" customHeight="1" x14ac:dyDescent="0.25">
      <c r="A176" s="274" t="s">
        <v>1125</v>
      </c>
      <c r="B176" s="277" t="s">
        <v>444</v>
      </c>
      <c r="D176" s="275">
        <v>44721</v>
      </c>
      <c r="E176" s="275">
        <v>46193</v>
      </c>
      <c r="H176" s="274" t="s">
        <v>258</v>
      </c>
      <c r="I176" s="238" t="s">
        <v>303</v>
      </c>
      <c r="M176" s="277" t="s">
        <v>1126</v>
      </c>
      <c r="N176" s="277" t="s">
        <v>1127</v>
      </c>
      <c r="O176" s="276" t="s">
        <v>1128</v>
      </c>
      <c r="Y176" s="276">
        <f t="shared" si="32"/>
        <v>0</v>
      </c>
      <c r="AA176" s="276">
        <v>1</v>
      </c>
      <c r="AI176" s="276">
        <f t="shared" si="33"/>
        <v>1</v>
      </c>
      <c r="AJ176">
        <f t="shared" si="34"/>
        <v>1</v>
      </c>
      <c r="AK176">
        <f t="shared" si="35"/>
        <v>0</v>
      </c>
      <c r="AL176">
        <f t="shared" si="36"/>
        <v>0</v>
      </c>
      <c r="AM176">
        <f t="shared" si="37"/>
        <v>0</v>
      </c>
      <c r="AN176">
        <f t="shared" si="38"/>
        <v>0</v>
      </c>
      <c r="AO176">
        <f t="shared" si="39"/>
        <v>0</v>
      </c>
      <c r="AP176">
        <f t="shared" si="40"/>
        <v>0</v>
      </c>
      <c r="AQ176">
        <f t="shared" si="41"/>
        <v>0</v>
      </c>
      <c r="AR176" s="276">
        <f t="shared" si="42"/>
        <v>1</v>
      </c>
      <c r="AT176" s="278"/>
      <c r="AU176" s="274">
        <v>0.25</v>
      </c>
      <c r="AV176" s="274">
        <v>0.25</v>
      </c>
      <c r="AW176" s="274">
        <v>0.25</v>
      </c>
      <c r="AX176" s="274">
        <v>0.25</v>
      </c>
      <c r="AY176" s="279"/>
      <c r="BD176" s="279"/>
      <c r="BK176" s="280">
        <f t="shared" si="43"/>
        <v>1</v>
      </c>
      <c r="BL176" s="274">
        <f t="shared" si="44"/>
        <v>1</v>
      </c>
      <c r="BP176" s="281">
        <v>514372</v>
      </c>
      <c r="BQ176" s="281">
        <v>171120</v>
      </c>
      <c r="BR176" s="296" t="s">
        <v>183</v>
      </c>
      <c r="BS176" t="s">
        <v>159</v>
      </c>
      <c r="BT176"/>
      <c r="BU176"/>
      <c r="BV176" t="s">
        <v>739</v>
      </c>
      <c r="BW176" t="s">
        <v>325</v>
      </c>
      <c r="BX176"/>
      <c r="BY176"/>
      <c r="BZ176"/>
      <c r="CA176"/>
      <c r="CB176" t="s">
        <v>189</v>
      </c>
    </row>
    <row r="177" spans="1:81" ht="15" customHeight="1" x14ac:dyDescent="0.25">
      <c r="A177" s="274" t="s">
        <v>1129</v>
      </c>
      <c r="B177" s="277" t="s">
        <v>459</v>
      </c>
      <c r="C177" s="274" t="s">
        <v>293</v>
      </c>
      <c r="D177" s="275">
        <v>44732</v>
      </c>
      <c r="E177" s="275">
        <v>45828</v>
      </c>
      <c r="H177" s="274" t="s">
        <v>258</v>
      </c>
      <c r="I177" s="238" t="s">
        <v>303</v>
      </c>
      <c r="M177" s="277" t="s">
        <v>1130</v>
      </c>
      <c r="N177" s="277" t="s">
        <v>1131</v>
      </c>
      <c r="O177" s="276" t="s">
        <v>738</v>
      </c>
      <c r="Y177" s="276">
        <f t="shared" si="32"/>
        <v>0</v>
      </c>
      <c r="AA177" s="276">
        <v>3</v>
      </c>
      <c r="AB177" s="276">
        <v>3</v>
      </c>
      <c r="AC177" s="276">
        <v>1</v>
      </c>
      <c r="AI177" s="276">
        <f t="shared" si="33"/>
        <v>7</v>
      </c>
      <c r="AJ177">
        <f t="shared" si="34"/>
        <v>3</v>
      </c>
      <c r="AK177">
        <f t="shared" si="35"/>
        <v>3</v>
      </c>
      <c r="AL177">
        <f t="shared" si="36"/>
        <v>1</v>
      </c>
      <c r="AM177">
        <f t="shared" si="37"/>
        <v>0</v>
      </c>
      <c r="AN177">
        <f t="shared" si="38"/>
        <v>0</v>
      </c>
      <c r="AO177">
        <f t="shared" si="39"/>
        <v>0</v>
      </c>
      <c r="AP177">
        <f t="shared" si="40"/>
        <v>0</v>
      </c>
      <c r="AQ177">
        <f t="shared" si="41"/>
        <v>0</v>
      </c>
      <c r="AR177" s="276">
        <f t="shared" si="42"/>
        <v>7</v>
      </c>
      <c r="AT177" s="278"/>
      <c r="AV177" s="274">
        <v>7</v>
      </c>
      <c r="AY177" s="279"/>
      <c r="BD177" s="279"/>
      <c r="BK177" s="280">
        <f t="shared" si="43"/>
        <v>7</v>
      </c>
      <c r="BL177" s="274">
        <f t="shared" si="44"/>
        <v>7</v>
      </c>
      <c r="BP177" s="281">
        <v>514266</v>
      </c>
      <c r="BQ177" s="281">
        <v>170834</v>
      </c>
      <c r="BR177" s="296" t="s">
        <v>183</v>
      </c>
      <c r="BS177" t="s">
        <v>159</v>
      </c>
      <c r="BT177"/>
      <c r="BU177"/>
      <c r="BV177" t="s">
        <v>739</v>
      </c>
      <c r="BW177" t="s">
        <v>325</v>
      </c>
      <c r="BX177"/>
      <c r="BY177" t="s">
        <v>740</v>
      </c>
      <c r="BZ177" t="s">
        <v>325</v>
      </c>
      <c r="CA177"/>
      <c r="CB177" t="s">
        <v>189</v>
      </c>
    </row>
    <row r="178" spans="1:81" ht="15" customHeight="1" x14ac:dyDescent="0.25">
      <c r="A178" s="274" t="s">
        <v>1132</v>
      </c>
      <c r="B178" s="277" t="s">
        <v>459</v>
      </c>
      <c r="C178" s="274" t="s">
        <v>293</v>
      </c>
      <c r="D178" s="275">
        <v>44907</v>
      </c>
      <c r="E178" s="275">
        <v>46003</v>
      </c>
      <c r="H178" s="274" t="s">
        <v>258</v>
      </c>
      <c r="I178" s="238" t="s">
        <v>303</v>
      </c>
      <c r="M178" s="277" t="s">
        <v>1133</v>
      </c>
      <c r="N178" s="277" t="s">
        <v>1134</v>
      </c>
      <c r="O178" s="276" t="s">
        <v>1135</v>
      </c>
      <c r="Y178" s="276">
        <f t="shared" si="32"/>
        <v>0</v>
      </c>
      <c r="AB178" s="276">
        <v>2</v>
      </c>
      <c r="AI178" s="276">
        <f t="shared" si="33"/>
        <v>2</v>
      </c>
      <c r="AJ178">
        <f t="shared" si="34"/>
        <v>0</v>
      </c>
      <c r="AK178">
        <f t="shared" si="35"/>
        <v>2</v>
      </c>
      <c r="AL178">
        <f t="shared" si="36"/>
        <v>0</v>
      </c>
      <c r="AM178">
        <f t="shared" si="37"/>
        <v>0</v>
      </c>
      <c r="AN178">
        <f t="shared" si="38"/>
        <v>0</v>
      </c>
      <c r="AO178">
        <f t="shared" si="39"/>
        <v>0</v>
      </c>
      <c r="AP178">
        <f t="shared" si="40"/>
        <v>0</v>
      </c>
      <c r="AQ178">
        <f t="shared" si="41"/>
        <v>0</v>
      </c>
      <c r="AR178" s="276">
        <f t="shared" si="42"/>
        <v>2</v>
      </c>
      <c r="AT178" s="278"/>
      <c r="AV178" s="274">
        <v>2</v>
      </c>
      <c r="AY178" s="279"/>
      <c r="BD178" s="279"/>
      <c r="BK178" s="280">
        <f t="shared" si="43"/>
        <v>2</v>
      </c>
      <c r="BL178" s="274">
        <f t="shared" si="44"/>
        <v>2</v>
      </c>
      <c r="BP178" s="281">
        <v>514405</v>
      </c>
      <c r="BQ178" s="281">
        <v>171101</v>
      </c>
      <c r="BR178" s="296" t="s">
        <v>183</v>
      </c>
      <c r="BS178" t="s">
        <v>159</v>
      </c>
      <c r="BT178"/>
      <c r="BU178"/>
      <c r="BV178" t="s">
        <v>739</v>
      </c>
      <c r="BW178" t="s">
        <v>325</v>
      </c>
      <c r="BX178"/>
      <c r="BY178" t="s">
        <v>740</v>
      </c>
      <c r="BZ178" t="s">
        <v>325</v>
      </c>
      <c r="CA178"/>
      <c r="CB178" t="s">
        <v>189</v>
      </c>
    </row>
    <row r="179" spans="1:81" ht="15" customHeight="1" x14ac:dyDescent="0.25">
      <c r="A179" s="274" t="s">
        <v>1136</v>
      </c>
      <c r="B179" s="277" t="s">
        <v>444</v>
      </c>
      <c r="D179" s="275">
        <v>45226</v>
      </c>
      <c r="E179" s="275">
        <v>46322</v>
      </c>
      <c r="H179" s="274" t="s">
        <v>258</v>
      </c>
      <c r="I179" s="238" t="s">
        <v>303</v>
      </c>
      <c r="M179" s="277" t="s">
        <v>1137</v>
      </c>
      <c r="N179" s="277" t="s">
        <v>1138</v>
      </c>
      <c r="O179" s="276" t="s">
        <v>1139</v>
      </c>
      <c r="Y179" s="276">
        <f t="shared" si="32"/>
        <v>0</v>
      </c>
      <c r="AE179" s="276">
        <v>1</v>
      </c>
      <c r="AI179" s="276">
        <f t="shared" si="33"/>
        <v>1</v>
      </c>
      <c r="AJ179">
        <f t="shared" si="34"/>
        <v>0</v>
      </c>
      <c r="AK179">
        <f t="shared" si="35"/>
        <v>0</v>
      </c>
      <c r="AL179">
        <f t="shared" si="36"/>
        <v>0</v>
      </c>
      <c r="AM179">
        <f t="shared" si="37"/>
        <v>0</v>
      </c>
      <c r="AN179">
        <f t="shared" si="38"/>
        <v>1</v>
      </c>
      <c r="AO179">
        <f t="shared" si="39"/>
        <v>0</v>
      </c>
      <c r="AP179">
        <f t="shared" si="40"/>
        <v>0</v>
      </c>
      <c r="AQ179">
        <f t="shared" si="41"/>
        <v>0</v>
      </c>
      <c r="AR179" s="276">
        <f t="shared" si="42"/>
        <v>1</v>
      </c>
      <c r="AT179" s="278"/>
      <c r="AU179" s="274">
        <v>0.25</v>
      </c>
      <c r="AV179" s="274">
        <v>0.25</v>
      </c>
      <c r="AW179" s="274">
        <v>0.25</v>
      </c>
      <c r="AX179" s="274">
        <v>0.25</v>
      </c>
      <c r="AY179" s="279"/>
      <c r="BD179" s="279"/>
      <c r="BK179" s="280">
        <f t="shared" si="43"/>
        <v>1</v>
      </c>
      <c r="BL179" s="274">
        <f t="shared" si="44"/>
        <v>1</v>
      </c>
      <c r="BP179" s="281">
        <v>513964</v>
      </c>
      <c r="BQ179" s="281">
        <v>171432</v>
      </c>
      <c r="BR179" s="296" t="s">
        <v>183</v>
      </c>
      <c r="BS179" t="s">
        <v>159</v>
      </c>
      <c r="BT179"/>
      <c r="BU179"/>
      <c r="BV179"/>
      <c r="BW179"/>
      <c r="BX179"/>
      <c r="BY179"/>
      <c r="BZ179"/>
      <c r="CA179"/>
      <c r="CB179" t="s">
        <v>189</v>
      </c>
      <c r="CC179" s="276" t="s">
        <v>325</v>
      </c>
    </row>
    <row r="180" spans="1:81" ht="15" customHeight="1" x14ac:dyDescent="0.25">
      <c r="A180" s="274" t="s">
        <v>1140</v>
      </c>
      <c r="B180" s="277" t="s">
        <v>459</v>
      </c>
      <c r="D180" s="275">
        <v>44469</v>
      </c>
      <c r="E180" s="275">
        <v>45565</v>
      </c>
      <c r="H180" s="274" t="s">
        <v>258</v>
      </c>
      <c r="I180" s="238" t="s">
        <v>303</v>
      </c>
      <c r="M180" s="277" t="s">
        <v>1141</v>
      </c>
      <c r="N180" s="277" t="s">
        <v>1142</v>
      </c>
      <c r="O180" s="276" t="s">
        <v>462</v>
      </c>
      <c r="Y180" s="276">
        <f t="shared" si="32"/>
        <v>0</v>
      </c>
      <c r="AA180" s="276">
        <v>1</v>
      </c>
      <c r="AI180" s="276">
        <f t="shared" si="33"/>
        <v>1</v>
      </c>
      <c r="AJ180">
        <f t="shared" si="34"/>
        <v>1</v>
      </c>
      <c r="AK180">
        <f t="shared" si="35"/>
        <v>0</v>
      </c>
      <c r="AL180">
        <f t="shared" si="36"/>
        <v>0</v>
      </c>
      <c r="AM180">
        <f t="shared" si="37"/>
        <v>0</v>
      </c>
      <c r="AN180">
        <f t="shared" si="38"/>
        <v>0</v>
      </c>
      <c r="AO180">
        <f t="shared" si="39"/>
        <v>0</v>
      </c>
      <c r="AP180">
        <f t="shared" si="40"/>
        <v>0</v>
      </c>
      <c r="AQ180">
        <f t="shared" si="41"/>
        <v>0</v>
      </c>
      <c r="AR180" s="276">
        <f t="shared" si="42"/>
        <v>1</v>
      </c>
      <c r="AT180" s="278"/>
      <c r="AU180" s="274">
        <v>0.25</v>
      </c>
      <c r="AV180" s="274">
        <v>0.25</v>
      </c>
      <c r="AW180" s="274">
        <v>0.25</v>
      </c>
      <c r="AX180" s="274">
        <v>0.25</v>
      </c>
      <c r="AY180" s="279"/>
      <c r="BD180" s="279"/>
      <c r="BK180" s="280">
        <f t="shared" si="43"/>
        <v>1</v>
      </c>
      <c r="BL180" s="274">
        <f t="shared" si="44"/>
        <v>1</v>
      </c>
      <c r="BP180" s="281">
        <v>517763</v>
      </c>
      <c r="BQ180" s="281">
        <v>171531</v>
      </c>
      <c r="BR180" s="296" t="s">
        <v>182</v>
      </c>
      <c r="BS180" t="s">
        <v>160</v>
      </c>
      <c r="BT180"/>
      <c r="BU180"/>
      <c r="BV180"/>
      <c r="BW180"/>
      <c r="BX180"/>
      <c r="BY180"/>
      <c r="BZ180"/>
      <c r="CA180"/>
      <c r="CB180" t="s">
        <v>188</v>
      </c>
    </row>
    <row r="181" spans="1:81" ht="15" customHeight="1" x14ac:dyDescent="0.25">
      <c r="A181" s="274" t="s">
        <v>1143</v>
      </c>
      <c r="B181" s="277" t="s">
        <v>444</v>
      </c>
      <c r="D181" s="275">
        <v>44672</v>
      </c>
      <c r="E181" s="275">
        <v>45768</v>
      </c>
      <c r="H181" s="274" t="s">
        <v>258</v>
      </c>
      <c r="I181" s="238" t="s">
        <v>303</v>
      </c>
      <c r="M181" s="277" t="s">
        <v>1144</v>
      </c>
      <c r="N181" s="277" t="s">
        <v>1145</v>
      </c>
      <c r="O181" s="276" t="s">
        <v>1146</v>
      </c>
      <c r="Y181" s="276">
        <f t="shared" si="32"/>
        <v>0</v>
      </c>
      <c r="AB181" s="276">
        <v>1</v>
      </c>
      <c r="AI181" s="276">
        <f t="shared" si="33"/>
        <v>1</v>
      </c>
      <c r="AJ181">
        <f t="shared" si="34"/>
        <v>0</v>
      </c>
      <c r="AK181">
        <f t="shared" si="35"/>
        <v>1</v>
      </c>
      <c r="AL181">
        <f t="shared" si="36"/>
        <v>0</v>
      </c>
      <c r="AM181">
        <f t="shared" si="37"/>
        <v>0</v>
      </c>
      <c r="AN181">
        <f t="shared" si="38"/>
        <v>0</v>
      </c>
      <c r="AO181">
        <f t="shared" si="39"/>
        <v>0</v>
      </c>
      <c r="AP181">
        <f t="shared" si="40"/>
        <v>0</v>
      </c>
      <c r="AQ181">
        <f t="shared" si="41"/>
        <v>0</v>
      </c>
      <c r="AR181" s="276">
        <f t="shared" si="42"/>
        <v>1</v>
      </c>
      <c r="AT181" s="278"/>
      <c r="AU181" s="274">
        <v>0.25</v>
      </c>
      <c r="AV181" s="274">
        <v>0.25</v>
      </c>
      <c r="AW181" s="274">
        <v>0.25</v>
      </c>
      <c r="AX181" s="274">
        <v>0.25</v>
      </c>
      <c r="AY181" s="279"/>
      <c r="BD181" s="279"/>
      <c r="BK181" s="280">
        <f t="shared" si="43"/>
        <v>1</v>
      </c>
      <c r="BL181" s="274">
        <f t="shared" si="44"/>
        <v>1</v>
      </c>
      <c r="BP181" s="281">
        <v>516850</v>
      </c>
      <c r="BQ181" s="281">
        <v>172139</v>
      </c>
      <c r="BR181" s="296" t="s">
        <v>182</v>
      </c>
      <c r="BS181" t="s">
        <v>160</v>
      </c>
      <c r="BT181"/>
      <c r="BU181"/>
      <c r="BV181"/>
      <c r="BW181"/>
      <c r="BX181"/>
      <c r="BY181"/>
      <c r="BZ181"/>
      <c r="CA181"/>
      <c r="CB181" t="s">
        <v>188</v>
      </c>
    </row>
    <row r="182" spans="1:81" ht="15" customHeight="1" x14ac:dyDescent="0.25">
      <c r="A182" s="274" t="s">
        <v>1147</v>
      </c>
      <c r="B182" s="277" t="s">
        <v>444</v>
      </c>
      <c r="D182" s="275">
        <v>44672</v>
      </c>
      <c r="E182" s="275">
        <v>45768</v>
      </c>
      <c r="H182" s="274" t="s">
        <v>258</v>
      </c>
      <c r="I182" s="238" t="s">
        <v>303</v>
      </c>
      <c r="M182" s="277" t="s">
        <v>1148</v>
      </c>
      <c r="N182" s="277" t="s">
        <v>1149</v>
      </c>
      <c r="O182" s="276" t="s">
        <v>1150</v>
      </c>
      <c r="T182" s="276">
        <v>1</v>
      </c>
      <c r="Y182" s="276">
        <f t="shared" si="32"/>
        <v>1</v>
      </c>
      <c r="AE182" s="276">
        <v>1</v>
      </c>
      <c r="AI182" s="276">
        <f t="shared" si="33"/>
        <v>1</v>
      </c>
      <c r="AJ182">
        <f t="shared" si="34"/>
        <v>0</v>
      </c>
      <c r="AK182">
        <f t="shared" si="35"/>
        <v>0</v>
      </c>
      <c r="AL182">
        <f t="shared" si="36"/>
        <v>0</v>
      </c>
      <c r="AM182">
        <f t="shared" si="37"/>
        <v>-1</v>
      </c>
      <c r="AN182">
        <f t="shared" si="38"/>
        <v>1</v>
      </c>
      <c r="AO182">
        <f t="shared" si="39"/>
        <v>0</v>
      </c>
      <c r="AP182">
        <f t="shared" si="40"/>
        <v>0</v>
      </c>
      <c r="AQ182">
        <f t="shared" si="41"/>
        <v>0</v>
      </c>
      <c r="AR182" s="276">
        <f t="shared" si="42"/>
        <v>0</v>
      </c>
      <c r="AT182" s="278"/>
      <c r="AU182" s="274">
        <v>0</v>
      </c>
      <c r="AY182" s="279"/>
      <c r="BD182" s="279"/>
      <c r="BK182" s="280">
        <f t="shared" si="43"/>
        <v>0</v>
      </c>
      <c r="BL182" s="274">
        <f t="shared" si="44"/>
        <v>0</v>
      </c>
      <c r="BP182" s="281">
        <v>522088</v>
      </c>
      <c r="BQ182" s="281">
        <v>177109</v>
      </c>
      <c r="BR182" s="296" t="s">
        <v>181</v>
      </c>
      <c r="BS182" t="s">
        <v>158</v>
      </c>
      <c r="BT182"/>
      <c r="BU182"/>
      <c r="BV182"/>
      <c r="BW182"/>
      <c r="BX182"/>
      <c r="BY182"/>
      <c r="BZ182"/>
      <c r="CA182"/>
      <c r="CB182" t="s">
        <v>158</v>
      </c>
    </row>
    <row r="183" spans="1:81" ht="15" customHeight="1" x14ac:dyDescent="0.25">
      <c r="A183" s="274" t="s">
        <v>1151</v>
      </c>
      <c r="B183" s="277" t="s">
        <v>481</v>
      </c>
      <c r="D183" s="275">
        <v>45197</v>
      </c>
      <c r="E183" s="275">
        <v>46293</v>
      </c>
      <c r="H183" s="274" t="s">
        <v>258</v>
      </c>
      <c r="I183" s="238" t="s">
        <v>303</v>
      </c>
      <c r="M183" s="277" t="s">
        <v>1152</v>
      </c>
      <c r="N183" s="277" t="s">
        <v>1153</v>
      </c>
      <c r="O183" s="276" t="s">
        <v>1154</v>
      </c>
      <c r="S183" s="276">
        <v>1</v>
      </c>
      <c r="Y183" s="276">
        <f t="shared" si="32"/>
        <v>1</v>
      </c>
      <c r="AB183" s="276">
        <v>2</v>
      </c>
      <c r="AI183" s="276">
        <f t="shared" si="33"/>
        <v>2</v>
      </c>
      <c r="AJ183">
        <f t="shared" si="34"/>
        <v>0</v>
      </c>
      <c r="AK183">
        <f t="shared" si="35"/>
        <v>2</v>
      </c>
      <c r="AL183">
        <f t="shared" si="36"/>
        <v>-1</v>
      </c>
      <c r="AM183">
        <f t="shared" si="37"/>
        <v>0</v>
      </c>
      <c r="AN183">
        <f t="shared" si="38"/>
        <v>0</v>
      </c>
      <c r="AO183">
        <f t="shared" si="39"/>
        <v>0</v>
      </c>
      <c r="AP183">
        <f t="shared" si="40"/>
        <v>0</v>
      </c>
      <c r="AQ183">
        <f t="shared" si="41"/>
        <v>0</v>
      </c>
      <c r="AR183" s="276">
        <f t="shared" si="42"/>
        <v>1</v>
      </c>
      <c r="AT183" s="278"/>
      <c r="AU183" s="274">
        <v>0.25</v>
      </c>
      <c r="AV183" s="274">
        <v>0.25</v>
      </c>
      <c r="AW183" s="274">
        <v>0.25</v>
      </c>
      <c r="AX183" s="274">
        <v>0.25</v>
      </c>
      <c r="AY183" s="279"/>
      <c r="BD183" s="279"/>
      <c r="BK183" s="280">
        <f t="shared" si="43"/>
        <v>1</v>
      </c>
      <c r="BL183" s="274">
        <f t="shared" si="44"/>
        <v>1</v>
      </c>
      <c r="BP183" s="281">
        <v>512958</v>
      </c>
      <c r="BQ183" s="281">
        <v>173983</v>
      </c>
      <c r="BR183" t="s">
        <v>147</v>
      </c>
      <c r="BS183" t="s">
        <v>164</v>
      </c>
      <c r="BT183"/>
      <c r="BU183"/>
      <c r="BV183"/>
      <c r="BW183"/>
      <c r="BX183"/>
      <c r="BY183"/>
      <c r="BZ183"/>
      <c r="CA183"/>
      <c r="CB183" t="s">
        <v>194</v>
      </c>
    </row>
    <row r="184" spans="1:81" ht="15" customHeight="1" x14ac:dyDescent="0.25">
      <c r="A184" s="274" t="s">
        <v>1155</v>
      </c>
      <c r="B184" s="274" t="s">
        <v>444</v>
      </c>
      <c r="C184" s="274"/>
      <c r="D184" s="275">
        <v>45007</v>
      </c>
      <c r="E184" s="275">
        <v>46103</v>
      </c>
      <c r="F184" s="275">
        <v>45385</v>
      </c>
      <c r="H184" s="274" t="s">
        <v>258</v>
      </c>
      <c r="I184" s="276" t="s">
        <v>1156</v>
      </c>
      <c r="M184" s="277" t="s">
        <v>1157</v>
      </c>
      <c r="N184" s="277" t="s">
        <v>1158</v>
      </c>
      <c r="O184" s="276" t="s">
        <v>1159</v>
      </c>
      <c r="P184" s="276" t="s">
        <v>1160</v>
      </c>
      <c r="Q184" s="286">
        <v>6</v>
      </c>
      <c r="R184" s="286"/>
      <c r="S184" s="286">
        <v>5</v>
      </c>
      <c r="Y184" s="276">
        <f t="shared" si="32"/>
        <v>11</v>
      </c>
      <c r="Z184" s="276" t="s">
        <v>325</v>
      </c>
      <c r="AI184" s="276">
        <f t="shared" si="33"/>
        <v>0</v>
      </c>
      <c r="AJ184">
        <f t="shared" si="34"/>
        <v>-6</v>
      </c>
      <c r="AK184">
        <f t="shared" si="35"/>
        <v>0</v>
      </c>
      <c r="AL184">
        <f t="shared" si="36"/>
        <v>-5</v>
      </c>
      <c r="AM184">
        <f t="shared" si="37"/>
        <v>0</v>
      </c>
      <c r="AN184">
        <f t="shared" si="38"/>
        <v>0</v>
      </c>
      <c r="AO184">
        <f t="shared" si="39"/>
        <v>0</v>
      </c>
      <c r="AP184">
        <f t="shared" si="40"/>
        <v>0</v>
      </c>
      <c r="AQ184">
        <f t="shared" si="41"/>
        <v>0</v>
      </c>
      <c r="AR184" s="276">
        <f t="shared" si="42"/>
        <v>-11</v>
      </c>
      <c r="AT184" s="278"/>
      <c r="AU184" s="274">
        <v>-11</v>
      </c>
      <c r="AY184" s="279"/>
      <c r="BD184" s="279"/>
      <c r="BK184" s="280">
        <f t="shared" si="43"/>
        <v>-11</v>
      </c>
      <c r="BL184" s="274">
        <f t="shared" si="44"/>
        <v>-11</v>
      </c>
      <c r="BP184" s="281">
        <v>517121</v>
      </c>
      <c r="BQ184" s="281">
        <v>172297</v>
      </c>
      <c r="BR184" s="296" t="s">
        <v>182</v>
      </c>
      <c r="BS184" t="s">
        <v>160</v>
      </c>
      <c r="BT184"/>
      <c r="BU184"/>
      <c r="BV184"/>
      <c r="BW184"/>
      <c r="BX184"/>
      <c r="BY184"/>
      <c r="BZ184"/>
      <c r="CA184"/>
      <c r="CB184" t="s">
        <v>188</v>
      </c>
    </row>
    <row r="185" spans="1:81" ht="15" customHeight="1" x14ac:dyDescent="0.25">
      <c r="A185" s="274" t="s">
        <v>1155</v>
      </c>
      <c r="B185" s="274" t="s">
        <v>444</v>
      </c>
      <c r="C185" s="274"/>
      <c r="D185" s="275">
        <v>45007</v>
      </c>
      <c r="E185" s="275">
        <v>46103</v>
      </c>
      <c r="F185" s="275">
        <v>45385</v>
      </c>
      <c r="H185" s="274" t="s">
        <v>258</v>
      </c>
      <c r="I185" s="276" t="s">
        <v>1156</v>
      </c>
      <c r="M185" s="277" t="s">
        <v>1157</v>
      </c>
      <c r="N185" s="277" t="s">
        <v>1158</v>
      </c>
      <c r="O185" s="276" t="s">
        <v>1159</v>
      </c>
      <c r="P185" s="276" t="s">
        <v>1161</v>
      </c>
      <c r="Q185" s="286">
        <v>14</v>
      </c>
      <c r="R185" s="286">
        <v>20</v>
      </c>
      <c r="S185" s="286">
        <v>3</v>
      </c>
      <c r="Y185" s="276">
        <f t="shared" si="32"/>
        <v>37</v>
      </c>
      <c r="Z185" s="276" t="s">
        <v>325</v>
      </c>
      <c r="AI185" s="276">
        <f t="shared" si="33"/>
        <v>0</v>
      </c>
      <c r="AJ185">
        <f t="shared" si="34"/>
        <v>-14</v>
      </c>
      <c r="AK185">
        <f t="shared" si="35"/>
        <v>-20</v>
      </c>
      <c r="AL185">
        <f t="shared" si="36"/>
        <v>-3</v>
      </c>
      <c r="AM185">
        <f t="shared" si="37"/>
        <v>0</v>
      </c>
      <c r="AN185">
        <f t="shared" si="38"/>
        <v>0</v>
      </c>
      <c r="AO185">
        <f t="shared" si="39"/>
        <v>0</v>
      </c>
      <c r="AP185">
        <f t="shared" si="40"/>
        <v>0</v>
      </c>
      <c r="AQ185">
        <f t="shared" si="41"/>
        <v>0</v>
      </c>
      <c r="AR185" s="276">
        <f t="shared" si="42"/>
        <v>-37</v>
      </c>
      <c r="AT185" s="278"/>
      <c r="AW185" s="274">
        <v>-37</v>
      </c>
      <c r="AY185" s="279"/>
      <c r="BD185" s="279"/>
      <c r="BK185" s="280">
        <f t="shared" si="43"/>
        <v>-37</v>
      </c>
      <c r="BL185" s="274">
        <f t="shared" si="44"/>
        <v>-37</v>
      </c>
      <c r="BP185" s="281">
        <v>517121</v>
      </c>
      <c r="BQ185" s="281">
        <v>172297</v>
      </c>
      <c r="BR185" s="296" t="s">
        <v>182</v>
      </c>
      <c r="BS185" t="s">
        <v>160</v>
      </c>
      <c r="BT185"/>
      <c r="BU185"/>
      <c r="BV185"/>
      <c r="BW185"/>
      <c r="BX185"/>
      <c r="BY185"/>
      <c r="BZ185"/>
      <c r="CA185"/>
      <c r="CB185" t="s">
        <v>188</v>
      </c>
    </row>
    <row r="186" spans="1:81" ht="15" customHeight="1" x14ac:dyDescent="0.25">
      <c r="A186" s="274" t="s">
        <v>1155</v>
      </c>
      <c r="B186" s="274" t="s">
        <v>444</v>
      </c>
      <c r="C186" s="274"/>
      <c r="D186" s="275">
        <v>45007</v>
      </c>
      <c r="E186" s="275">
        <v>46103</v>
      </c>
      <c r="F186" s="275">
        <v>45385</v>
      </c>
      <c r="H186" s="274" t="s">
        <v>258</v>
      </c>
      <c r="I186" s="276" t="s">
        <v>1156</v>
      </c>
      <c r="M186" s="277" t="s">
        <v>1157</v>
      </c>
      <c r="N186" s="277" t="s">
        <v>1158</v>
      </c>
      <c r="O186" s="276" t="s">
        <v>1159</v>
      </c>
      <c r="P186" s="276" t="s">
        <v>1162</v>
      </c>
      <c r="Q186" s="286">
        <v>70</v>
      </c>
      <c r="R186" s="286">
        <v>19</v>
      </c>
      <c r="S186" s="286">
        <v>6</v>
      </c>
      <c r="Y186" s="276">
        <f t="shared" si="32"/>
        <v>95</v>
      </c>
      <c r="Z186" s="276" t="s">
        <v>325</v>
      </c>
      <c r="AI186" s="276">
        <f t="shared" si="33"/>
        <v>0</v>
      </c>
      <c r="AJ186">
        <f t="shared" si="34"/>
        <v>-70</v>
      </c>
      <c r="AK186">
        <f t="shared" si="35"/>
        <v>-19</v>
      </c>
      <c r="AL186">
        <f t="shared" si="36"/>
        <v>-6</v>
      </c>
      <c r="AM186">
        <f t="shared" si="37"/>
        <v>0</v>
      </c>
      <c r="AN186">
        <f t="shared" si="38"/>
        <v>0</v>
      </c>
      <c r="AO186">
        <f t="shared" si="39"/>
        <v>0</v>
      </c>
      <c r="AP186">
        <f t="shared" si="40"/>
        <v>0</v>
      </c>
      <c r="AQ186">
        <f t="shared" si="41"/>
        <v>0</v>
      </c>
      <c r="AR186" s="276">
        <f t="shared" si="42"/>
        <v>-95</v>
      </c>
      <c r="AT186" s="278"/>
      <c r="AY186" s="279"/>
      <c r="AZ186" s="274">
        <v>-95</v>
      </c>
      <c r="BD186" s="279"/>
      <c r="BK186" s="280">
        <f t="shared" si="43"/>
        <v>0</v>
      </c>
      <c r="BL186" s="274">
        <f t="shared" si="44"/>
        <v>-95</v>
      </c>
      <c r="BP186" s="281">
        <v>517121</v>
      </c>
      <c r="BQ186" s="281">
        <v>172297</v>
      </c>
      <c r="BR186" s="296" t="s">
        <v>182</v>
      </c>
      <c r="BS186" t="s">
        <v>160</v>
      </c>
      <c r="BT186"/>
      <c r="BU186"/>
      <c r="BV186"/>
      <c r="BW186"/>
      <c r="BX186"/>
      <c r="BY186"/>
      <c r="BZ186"/>
      <c r="CA186"/>
      <c r="CB186" t="s">
        <v>188</v>
      </c>
    </row>
    <row r="187" spans="1:81" ht="15" customHeight="1" x14ac:dyDescent="0.25">
      <c r="A187" s="274" t="s">
        <v>1155</v>
      </c>
      <c r="B187" s="274" t="s">
        <v>444</v>
      </c>
      <c r="C187" s="274"/>
      <c r="D187" s="275">
        <v>45007</v>
      </c>
      <c r="E187" s="275">
        <v>46103</v>
      </c>
      <c r="F187" s="275">
        <v>45385</v>
      </c>
      <c r="H187" s="274" t="s">
        <v>258</v>
      </c>
      <c r="I187" s="276" t="s">
        <v>338</v>
      </c>
      <c r="M187" s="277" t="s">
        <v>1157</v>
      </c>
      <c r="N187" s="277" t="s">
        <v>1158</v>
      </c>
      <c r="O187" s="276" t="s">
        <v>1159</v>
      </c>
      <c r="P187" s="276" t="s">
        <v>1163</v>
      </c>
      <c r="Q187" s="286"/>
      <c r="R187" s="286"/>
      <c r="S187" s="286"/>
      <c r="Y187" s="276">
        <f t="shared" si="32"/>
        <v>0</v>
      </c>
      <c r="Z187" s="276" t="s">
        <v>325</v>
      </c>
      <c r="AA187" s="276">
        <v>2</v>
      </c>
      <c r="AI187" s="276">
        <f t="shared" si="33"/>
        <v>2</v>
      </c>
      <c r="AJ187">
        <f t="shared" si="34"/>
        <v>2</v>
      </c>
      <c r="AK187">
        <f t="shared" si="35"/>
        <v>0</v>
      </c>
      <c r="AL187">
        <f t="shared" si="36"/>
        <v>0</v>
      </c>
      <c r="AM187">
        <f t="shared" si="37"/>
        <v>0</v>
      </c>
      <c r="AN187">
        <f t="shared" si="38"/>
        <v>0</v>
      </c>
      <c r="AO187">
        <f t="shared" si="39"/>
        <v>0</v>
      </c>
      <c r="AP187">
        <f t="shared" si="40"/>
        <v>0</v>
      </c>
      <c r="AQ187">
        <f t="shared" si="41"/>
        <v>0</v>
      </c>
      <c r="AR187" s="276">
        <f t="shared" si="42"/>
        <v>2</v>
      </c>
      <c r="AT187" s="278"/>
      <c r="AY187" s="279">
        <v>2</v>
      </c>
      <c r="BD187" s="279"/>
      <c r="BK187" s="280">
        <f t="shared" si="43"/>
        <v>2</v>
      </c>
      <c r="BL187" s="274">
        <f t="shared" si="44"/>
        <v>2</v>
      </c>
      <c r="BP187" s="281">
        <v>517121</v>
      </c>
      <c r="BQ187" s="281">
        <v>172297</v>
      </c>
      <c r="BR187" s="296" t="s">
        <v>182</v>
      </c>
      <c r="BS187" t="s">
        <v>160</v>
      </c>
      <c r="BT187"/>
      <c r="BU187"/>
      <c r="BV187"/>
      <c r="BW187"/>
      <c r="BX187"/>
      <c r="BY187"/>
      <c r="BZ187"/>
      <c r="CA187"/>
      <c r="CB187" t="s">
        <v>188</v>
      </c>
    </row>
    <row r="188" spans="1:81" ht="15" customHeight="1" x14ac:dyDescent="0.25">
      <c r="A188" s="274" t="s">
        <v>1155</v>
      </c>
      <c r="B188" s="274" t="s">
        <v>444</v>
      </c>
      <c r="C188" s="274"/>
      <c r="D188" s="275">
        <v>45007</v>
      </c>
      <c r="E188" s="275">
        <v>46103</v>
      </c>
      <c r="F188" s="275">
        <v>45385</v>
      </c>
      <c r="H188" s="274" t="s">
        <v>258</v>
      </c>
      <c r="I188" s="276" t="s">
        <v>338</v>
      </c>
      <c r="M188" s="277" t="s">
        <v>1157</v>
      </c>
      <c r="N188" s="277" t="s">
        <v>1164</v>
      </c>
      <c r="O188" s="276" t="s">
        <v>1159</v>
      </c>
      <c r="P188" s="276" t="s">
        <v>1165</v>
      </c>
      <c r="Q188" s="286"/>
      <c r="R188" s="286"/>
      <c r="S188" s="286"/>
      <c r="Y188" s="276">
        <f t="shared" si="32"/>
        <v>0</v>
      </c>
      <c r="Z188" s="276" t="s">
        <v>325</v>
      </c>
      <c r="AA188" s="276">
        <v>6</v>
      </c>
      <c r="AB188" s="276">
        <v>10</v>
      </c>
      <c r="AC188" s="276">
        <v>3</v>
      </c>
      <c r="AI188" s="276">
        <f t="shared" si="33"/>
        <v>19</v>
      </c>
      <c r="AJ188">
        <f t="shared" si="34"/>
        <v>6</v>
      </c>
      <c r="AK188">
        <f t="shared" si="35"/>
        <v>10</v>
      </c>
      <c r="AL188">
        <f t="shared" si="36"/>
        <v>3</v>
      </c>
      <c r="AM188">
        <f t="shared" si="37"/>
        <v>0</v>
      </c>
      <c r="AN188">
        <f t="shared" si="38"/>
        <v>0</v>
      </c>
      <c r="AO188">
        <f t="shared" si="39"/>
        <v>0</v>
      </c>
      <c r="AP188">
        <f t="shared" si="40"/>
        <v>0</v>
      </c>
      <c r="AQ188">
        <f t="shared" si="41"/>
        <v>0</v>
      </c>
      <c r="AR188" s="276">
        <f t="shared" si="42"/>
        <v>19</v>
      </c>
      <c r="AT188" s="278"/>
      <c r="AY188" s="279"/>
      <c r="BB188" s="274">
        <v>19</v>
      </c>
      <c r="BD188" s="279"/>
      <c r="BK188" s="280">
        <f t="shared" si="43"/>
        <v>0</v>
      </c>
      <c r="BL188" s="274">
        <f t="shared" si="44"/>
        <v>19</v>
      </c>
      <c r="BP188" s="281">
        <v>517121</v>
      </c>
      <c r="BQ188" s="281">
        <v>172297</v>
      </c>
      <c r="BR188" s="296" t="s">
        <v>182</v>
      </c>
      <c r="BS188" t="s">
        <v>160</v>
      </c>
      <c r="BT188"/>
      <c r="BU188"/>
      <c r="BV188"/>
      <c r="BW188"/>
      <c r="BX188"/>
      <c r="BY188"/>
      <c r="BZ188"/>
      <c r="CA188"/>
      <c r="CB188" t="s">
        <v>188</v>
      </c>
    </row>
    <row r="189" spans="1:81" s="240" customFormat="1" ht="15" customHeight="1" x14ac:dyDescent="0.25">
      <c r="A189" s="274" t="s">
        <v>1155</v>
      </c>
      <c r="B189" s="274" t="s">
        <v>444</v>
      </c>
      <c r="C189" s="274"/>
      <c r="D189" s="275">
        <v>45007</v>
      </c>
      <c r="E189" s="275">
        <v>46103</v>
      </c>
      <c r="F189" s="275">
        <v>45385</v>
      </c>
      <c r="G189" s="274"/>
      <c r="H189" s="274" t="s">
        <v>258</v>
      </c>
      <c r="I189" s="276" t="s">
        <v>340</v>
      </c>
      <c r="J189" s="276"/>
      <c r="K189" s="276"/>
      <c r="L189" s="276"/>
      <c r="M189" s="277" t="s">
        <v>1157</v>
      </c>
      <c r="N189" s="277" t="s">
        <v>1164</v>
      </c>
      <c r="O189" s="276" t="s">
        <v>1159</v>
      </c>
      <c r="P189" s="276" t="s">
        <v>1165</v>
      </c>
      <c r="Q189" s="286"/>
      <c r="R189" s="286"/>
      <c r="S189" s="286"/>
      <c r="T189" s="276"/>
      <c r="U189" s="276"/>
      <c r="V189" s="276"/>
      <c r="W189" s="276"/>
      <c r="X189" s="276"/>
      <c r="Y189" s="276">
        <f t="shared" si="32"/>
        <v>0</v>
      </c>
      <c r="Z189" s="276" t="s">
        <v>325</v>
      </c>
      <c r="AA189" s="276">
        <v>7</v>
      </c>
      <c r="AB189" s="276">
        <v>3</v>
      </c>
      <c r="AC189" s="276"/>
      <c r="AD189" s="276"/>
      <c r="AE189" s="276"/>
      <c r="AF189" s="276"/>
      <c r="AG189" s="276"/>
      <c r="AH189" s="276"/>
      <c r="AI189" s="276">
        <f t="shared" si="33"/>
        <v>10</v>
      </c>
      <c r="AJ189">
        <f t="shared" si="34"/>
        <v>7</v>
      </c>
      <c r="AK189">
        <f t="shared" si="35"/>
        <v>3</v>
      </c>
      <c r="AL189">
        <f t="shared" si="36"/>
        <v>0</v>
      </c>
      <c r="AM189">
        <f t="shared" si="37"/>
        <v>0</v>
      </c>
      <c r="AN189">
        <f t="shared" si="38"/>
        <v>0</v>
      </c>
      <c r="AO189">
        <f t="shared" si="39"/>
        <v>0</v>
      </c>
      <c r="AP189">
        <f t="shared" si="40"/>
        <v>0</v>
      </c>
      <c r="AQ189">
        <f t="shared" si="41"/>
        <v>0</v>
      </c>
      <c r="AR189" s="276">
        <f t="shared" si="42"/>
        <v>10</v>
      </c>
      <c r="AS189"/>
      <c r="AT189" s="278"/>
      <c r="AU189" s="274"/>
      <c r="AV189" s="274"/>
      <c r="AW189" s="274"/>
      <c r="AX189" s="274"/>
      <c r="AY189" s="279"/>
      <c r="AZ189" s="274"/>
      <c r="BA189" s="274"/>
      <c r="BB189" s="274">
        <v>10</v>
      </c>
      <c r="BC189" s="274"/>
      <c r="BD189" s="279"/>
      <c r="BE189" s="274"/>
      <c r="BF189" s="274"/>
      <c r="BG189" s="274"/>
      <c r="BH189" s="274"/>
      <c r="BI189" s="274"/>
      <c r="BJ189" s="274"/>
      <c r="BK189" s="280">
        <f t="shared" si="43"/>
        <v>0</v>
      </c>
      <c r="BL189" s="274">
        <f t="shared" si="44"/>
        <v>10</v>
      </c>
      <c r="BM189" s="276"/>
      <c r="BN189" s="276"/>
      <c r="BO189" s="247"/>
      <c r="BP189" s="281">
        <v>517121</v>
      </c>
      <c r="BQ189" s="281">
        <v>172297</v>
      </c>
      <c r="BR189" s="296" t="s">
        <v>182</v>
      </c>
      <c r="BS189" t="s">
        <v>160</v>
      </c>
      <c r="BT189"/>
      <c r="BU189"/>
      <c r="BV189"/>
      <c r="BW189"/>
      <c r="BX189"/>
      <c r="BY189"/>
      <c r="BZ189"/>
      <c r="CA189"/>
      <c r="CB189" t="s">
        <v>188</v>
      </c>
      <c r="CC189" s="276"/>
    </row>
    <row r="190" spans="1:81" ht="15" customHeight="1" x14ac:dyDescent="0.25">
      <c r="A190" s="274" t="s">
        <v>1155</v>
      </c>
      <c r="B190" s="274" t="s">
        <v>444</v>
      </c>
      <c r="C190" s="274"/>
      <c r="D190" s="275">
        <v>45007</v>
      </c>
      <c r="E190" s="275">
        <v>46103</v>
      </c>
      <c r="F190" s="275">
        <v>45385</v>
      </c>
      <c r="H190" s="274" t="s">
        <v>258</v>
      </c>
      <c r="I190" s="276" t="s">
        <v>303</v>
      </c>
      <c r="M190" s="277" t="s">
        <v>1157</v>
      </c>
      <c r="N190" s="277" t="s">
        <v>1164</v>
      </c>
      <c r="O190" s="276" t="s">
        <v>1159</v>
      </c>
      <c r="P190" s="276" t="s">
        <v>1160</v>
      </c>
      <c r="Q190" s="286"/>
      <c r="R190" s="286"/>
      <c r="S190" s="286">
        <v>1</v>
      </c>
      <c r="Y190" s="276">
        <f t="shared" si="32"/>
        <v>1</v>
      </c>
      <c r="AI190" s="276">
        <f t="shared" si="33"/>
        <v>0</v>
      </c>
      <c r="AJ190">
        <f t="shared" si="34"/>
        <v>0</v>
      </c>
      <c r="AK190">
        <f t="shared" si="35"/>
        <v>0</v>
      </c>
      <c r="AL190">
        <f t="shared" si="36"/>
        <v>-1</v>
      </c>
      <c r="AM190">
        <f t="shared" si="37"/>
        <v>0</v>
      </c>
      <c r="AN190">
        <f t="shared" si="38"/>
        <v>0</v>
      </c>
      <c r="AO190">
        <f t="shared" si="39"/>
        <v>0</v>
      </c>
      <c r="AP190">
        <f t="shared" si="40"/>
        <v>0</v>
      </c>
      <c r="AQ190">
        <f t="shared" si="41"/>
        <v>0</v>
      </c>
      <c r="AR190" s="276">
        <f t="shared" si="42"/>
        <v>-1</v>
      </c>
      <c r="AT190" s="278"/>
      <c r="AU190" s="274">
        <v>-1</v>
      </c>
      <c r="AY190" s="279"/>
      <c r="BD190" s="279"/>
      <c r="BK190" s="280">
        <f t="shared" si="43"/>
        <v>-1</v>
      </c>
      <c r="BL190" s="274">
        <f t="shared" si="44"/>
        <v>-1</v>
      </c>
      <c r="BP190" s="281">
        <v>517121</v>
      </c>
      <c r="BQ190" s="281">
        <v>172297</v>
      </c>
      <c r="BR190" s="296" t="s">
        <v>182</v>
      </c>
      <c r="BS190" t="s">
        <v>160</v>
      </c>
      <c r="BT190"/>
      <c r="BU190"/>
      <c r="BV190"/>
      <c r="BW190"/>
      <c r="BX190"/>
      <c r="BY190"/>
      <c r="BZ190"/>
      <c r="CA190"/>
      <c r="CB190" t="s">
        <v>188</v>
      </c>
    </row>
    <row r="191" spans="1:81" ht="15" customHeight="1" x14ac:dyDescent="0.25">
      <c r="A191" s="274" t="s">
        <v>1155</v>
      </c>
      <c r="B191" s="274" t="s">
        <v>444</v>
      </c>
      <c r="C191" s="274"/>
      <c r="D191" s="275">
        <v>45007</v>
      </c>
      <c r="E191" s="275">
        <v>46103</v>
      </c>
      <c r="F191" s="275">
        <v>45385</v>
      </c>
      <c r="H191" s="274" t="s">
        <v>258</v>
      </c>
      <c r="I191" s="276" t="s">
        <v>303</v>
      </c>
      <c r="M191" s="277" t="s">
        <v>1157</v>
      </c>
      <c r="N191" s="277" t="s">
        <v>1164</v>
      </c>
      <c r="O191" s="276" t="s">
        <v>1159</v>
      </c>
      <c r="P191" s="276" t="s">
        <v>1161</v>
      </c>
      <c r="Q191" s="286">
        <v>2</v>
      </c>
      <c r="R191" s="286">
        <v>8</v>
      </c>
      <c r="S191" s="286">
        <v>1</v>
      </c>
      <c r="Y191" s="276">
        <f t="shared" si="32"/>
        <v>11</v>
      </c>
      <c r="AI191" s="276">
        <f t="shared" si="33"/>
        <v>0</v>
      </c>
      <c r="AJ191">
        <f t="shared" si="34"/>
        <v>-2</v>
      </c>
      <c r="AK191">
        <f t="shared" si="35"/>
        <v>-8</v>
      </c>
      <c r="AL191">
        <f t="shared" si="36"/>
        <v>-1</v>
      </c>
      <c r="AM191">
        <f t="shared" si="37"/>
        <v>0</v>
      </c>
      <c r="AN191">
        <f t="shared" si="38"/>
        <v>0</v>
      </c>
      <c r="AO191">
        <f t="shared" si="39"/>
        <v>0</v>
      </c>
      <c r="AP191">
        <f t="shared" si="40"/>
        <v>0</v>
      </c>
      <c r="AQ191">
        <f t="shared" si="41"/>
        <v>0</v>
      </c>
      <c r="AR191" s="276">
        <f t="shared" si="42"/>
        <v>-11</v>
      </c>
      <c r="AT191" s="278"/>
      <c r="AW191" s="274">
        <v>-11</v>
      </c>
      <c r="AY191" s="279"/>
      <c r="BD191" s="279"/>
      <c r="BK191" s="280">
        <f t="shared" si="43"/>
        <v>-11</v>
      </c>
      <c r="BL191" s="274">
        <f t="shared" si="44"/>
        <v>-11</v>
      </c>
      <c r="BP191" s="281">
        <v>517121</v>
      </c>
      <c r="BQ191" s="281">
        <v>172297</v>
      </c>
      <c r="BR191" s="296" t="s">
        <v>182</v>
      </c>
      <c r="BS191" t="s">
        <v>160</v>
      </c>
      <c r="BT191"/>
      <c r="BU191"/>
      <c r="BV191"/>
      <c r="BW191"/>
      <c r="BX191"/>
      <c r="BY191"/>
      <c r="BZ191"/>
      <c r="CA191"/>
      <c r="CB191" t="s">
        <v>188</v>
      </c>
    </row>
    <row r="192" spans="1:81" ht="15" customHeight="1" x14ac:dyDescent="0.25">
      <c r="A192" s="274" t="s">
        <v>1155</v>
      </c>
      <c r="B192" s="274" t="s">
        <v>444</v>
      </c>
      <c r="C192" s="274"/>
      <c r="D192" s="275">
        <v>45007</v>
      </c>
      <c r="E192" s="275">
        <v>46103</v>
      </c>
      <c r="F192" s="275">
        <v>45385</v>
      </c>
      <c r="H192" s="274" t="s">
        <v>258</v>
      </c>
      <c r="I192" s="276" t="s">
        <v>303</v>
      </c>
      <c r="M192" s="277" t="s">
        <v>1157</v>
      </c>
      <c r="N192" s="277" t="s">
        <v>1164</v>
      </c>
      <c r="O192" s="276" t="s">
        <v>1159</v>
      </c>
      <c r="P192" s="276" t="s">
        <v>1162</v>
      </c>
      <c r="Q192" s="286">
        <v>16</v>
      </c>
      <c r="R192" s="286">
        <v>16</v>
      </c>
      <c r="S192" s="286">
        <v>5</v>
      </c>
      <c r="Y192" s="276">
        <f t="shared" si="32"/>
        <v>37</v>
      </c>
      <c r="AI192" s="276">
        <f t="shared" si="33"/>
        <v>0</v>
      </c>
      <c r="AJ192">
        <f t="shared" si="34"/>
        <v>-16</v>
      </c>
      <c r="AK192">
        <f t="shared" si="35"/>
        <v>-16</v>
      </c>
      <c r="AL192">
        <f t="shared" si="36"/>
        <v>-5</v>
      </c>
      <c r="AM192">
        <f t="shared" si="37"/>
        <v>0</v>
      </c>
      <c r="AN192">
        <f t="shared" si="38"/>
        <v>0</v>
      </c>
      <c r="AO192">
        <f t="shared" si="39"/>
        <v>0</v>
      </c>
      <c r="AP192">
        <f t="shared" si="40"/>
        <v>0</v>
      </c>
      <c r="AQ192">
        <f t="shared" si="41"/>
        <v>0</v>
      </c>
      <c r="AR192" s="276">
        <f t="shared" si="42"/>
        <v>-37</v>
      </c>
      <c r="AT192" s="278"/>
      <c r="AY192" s="279"/>
      <c r="AZ192" s="274">
        <v>-37</v>
      </c>
      <c r="BD192" s="279"/>
      <c r="BK192" s="280">
        <f t="shared" si="43"/>
        <v>0</v>
      </c>
      <c r="BL192" s="274">
        <f t="shared" si="44"/>
        <v>-37</v>
      </c>
      <c r="BP192" s="281">
        <v>517121</v>
      </c>
      <c r="BQ192" s="281">
        <v>172297</v>
      </c>
      <c r="BR192" s="296" t="s">
        <v>182</v>
      </c>
      <c r="BS192" t="s">
        <v>160</v>
      </c>
      <c r="BT192"/>
      <c r="BU192"/>
      <c r="BV192"/>
      <c r="BW192"/>
      <c r="BX192"/>
      <c r="BY192"/>
      <c r="BZ192"/>
      <c r="CA192"/>
      <c r="CB192" t="s">
        <v>188</v>
      </c>
    </row>
    <row r="193" spans="1:81" ht="15" customHeight="1" x14ac:dyDescent="0.25">
      <c r="A193" s="274" t="s">
        <v>1155</v>
      </c>
      <c r="B193" s="274" t="s">
        <v>444</v>
      </c>
      <c r="C193" s="274"/>
      <c r="D193" s="275">
        <v>45007</v>
      </c>
      <c r="E193" s="275">
        <v>46103</v>
      </c>
      <c r="F193" s="275">
        <v>45385</v>
      </c>
      <c r="H193" s="274" t="s">
        <v>258</v>
      </c>
      <c r="I193" s="276" t="s">
        <v>303</v>
      </c>
      <c r="M193" s="277" t="s">
        <v>1157</v>
      </c>
      <c r="N193" s="277" t="s">
        <v>1164</v>
      </c>
      <c r="O193" s="276" t="s">
        <v>1159</v>
      </c>
      <c r="P193" s="276" t="s">
        <v>1166</v>
      </c>
      <c r="Q193" s="286"/>
      <c r="R193" s="286"/>
      <c r="S193" s="286"/>
      <c r="Y193" s="276">
        <f t="shared" si="32"/>
        <v>0</v>
      </c>
      <c r="AA193" s="276">
        <v>2</v>
      </c>
      <c r="AB193" s="276">
        <v>3</v>
      </c>
      <c r="AC193" s="276">
        <v>2</v>
      </c>
      <c r="AI193" s="276">
        <f t="shared" si="33"/>
        <v>7</v>
      </c>
      <c r="AJ193">
        <f t="shared" si="34"/>
        <v>2</v>
      </c>
      <c r="AK193">
        <f t="shared" si="35"/>
        <v>3</v>
      </c>
      <c r="AL193">
        <f t="shared" si="36"/>
        <v>2</v>
      </c>
      <c r="AM193">
        <f t="shared" si="37"/>
        <v>0</v>
      </c>
      <c r="AN193">
        <f t="shared" si="38"/>
        <v>0</v>
      </c>
      <c r="AO193">
        <f t="shared" si="39"/>
        <v>0</v>
      </c>
      <c r="AP193">
        <f t="shared" si="40"/>
        <v>0</v>
      </c>
      <c r="AQ193">
        <f t="shared" si="41"/>
        <v>0</v>
      </c>
      <c r="AR193" s="276">
        <f t="shared" si="42"/>
        <v>7</v>
      </c>
      <c r="AT193" s="278"/>
      <c r="AV193" s="274">
        <v>7</v>
      </c>
      <c r="AY193" s="279"/>
      <c r="BD193" s="279"/>
      <c r="BK193" s="280">
        <f t="shared" si="43"/>
        <v>7</v>
      </c>
      <c r="BL193" s="274">
        <f t="shared" si="44"/>
        <v>7</v>
      </c>
      <c r="BP193" s="281">
        <v>517121</v>
      </c>
      <c r="BQ193" s="281">
        <v>172297</v>
      </c>
      <c r="BR193" s="296" t="s">
        <v>182</v>
      </c>
      <c r="BS193" t="s">
        <v>160</v>
      </c>
      <c r="BT193"/>
      <c r="BU193"/>
      <c r="BV193"/>
      <c r="BW193"/>
      <c r="BX193"/>
      <c r="BY193"/>
      <c r="BZ193"/>
      <c r="CA193"/>
      <c r="CB193" t="s">
        <v>188</v>
      </c>
    </row>
    <row r="194" spans="1:81" ht="15" customHeight="1" x14ac:dyDescent="0.25">
      <c r="A194" s="274" t="s">
        <v>1155</v>
      </c>
      <c r="B194" s="274" t="s">
        <v>444</v>
      </c>
      <c r="C194" s="274"/>
      <c r="D194" s="275">
        <v>45007</v>
      </c>
      <c r="E194" s="275">
        <v>46103</v>
      </c>
      <c r="F194" s="275">
        <v>45385</v>
      </c>
      <c r="H194" s="274" t="s">
        <v>258</v>
      </c>
      <c r="I194" s="276" t="s">
        <v>303</v>
      </c>
      <c r="M194" s="277" t="s">
        <v>1157</v>
      </c>
      <c r="N194" s="277" t="s">
        <v>1164</v>
      </c>
      <c r="O194" s="276" t="s">
        <v>1159</v>
      </c>
      <c r="P194" s="276" t="s">
        <v>1163</v>
      </c>
      <c r="Q194" s="286"/>
      <c r="R194" s="286"/>
      <c r="S194" s="286"/>
      <c r="Y194" s="276">
        <f t="shared" ref="Y194:Y209" si="45">SUM(Q194:X194)</f>
        <v>0</v>
      </c>
      <c r="AA194" s="276">
        <v>50</v>
      </c>
      <c r="AB194" s="276">
        <v>26</v>
      </c>
      <c r="AC194" s="276">
        <v>2</v>
      </c>
      <c r="AI194" s="276">
        <f t="shared" ref="AI194:AI210" si="46">SUM(AA194:AH194)</f>
        <v>78</v>
      </c>
      <c r="AJ194">
        <f t="shared" ref="AJ194:AJ257" si="47">AA194-Q194</f>
        <v>50</v>
      </c>
      <c r="AK194">
        <f t="shared" ref="AK194:AK257" si="48">AB194-R194</f>
        <v>26</v>
      </c>
      <c r="AL194">
        <f t="shared" ref="AL194:AL257" si="49">AC194-S194</f>
        <v>2</v>
      </c>
      <c r="AM194">
        <f t="shared" ref="AM194:AM257" si="50">AD194-T194</f>
        <v>0</v>
      </c>
      <c r="AN194">
        <f t="shared" ref="AN194:AN257" si="51">AE194-U194</f>
        <v>0</v>
      </c>
      <c r="AO194">
        <f t="shared" ref="AO194:AO257" si="52">AF194-V194</f>
        <v>0</v>
      </c>
      <c r="AP194">
        <f t="shared" ref="AP194:AP257" si="53">AG194-W194</f>
        <v>0</v>
      </c>
      <c r="AQ194">
        <f t="shared" ref="AQ194:AQ257" si="54">AH194-X194</f>
        <v>0</v>
      </c>
      <c r="AR194" s="276">
        <f t="shared" ref="AR194:AR257" si="55">AI194-Y194</f>
        <v>78</v>
      </c>
      <c r="AT194" s="278"/>
      <c r="AY194" s="279">
        <v>78</v>
      </c>
      <c r="BD194" s="279"/>
      <c r="BK194" s="280">
        <f t="shared" ref="BK194:BK257" si="56">SUM(AU194:AY194)</f>
        <v>78</v>
      </c>
      <c r="BL194" s="274">
        <f t="shared" ref="BL194:BL257" si="57">SUM(AU194:BD194)</f>
        <v>78</v>
      </c>
      <c r="BP194" s="281">
        <v>517121</v>
      </c>
      <c r="BQ194" s="281">
        <v>172297</v>
      </c>
      <c r="BR194" s="296" t="s">
        <v>182</v>
      </c>
      <c r="BS194" t="s">
        <v>160</v>
      </c>
      <c r="BT194"/>
      <c r="BU194"/>
      <c r="BV194"/>
      <c r="BW194"/>
      <c r="BX194"/>
      <c r="BY194"/>
      <c r="BZ194"/>
      <c r="CA194"/>
      <c r="CB194" t="s">
        <v>188</v>
      </c>
    </row>
    <row r="195" spans="1:81" ht="15" customHeight="1" x14ac:dyDescent="0.25">
      <c r="A195" s="274" t="s">
        <v>1155</v>
      </c>
      <c r="B195" s="274" t="s">
        <v>444</v>
      </c>
      <c r="C195" s="274"/>
      <c r="D195" s="275">
        <v>45007</v>
      </c>
      <c r="E195" s="275">
        <v>46103</v>
      </c>
      <c r="F195" s="275">
        <v>45385</v>
      </c>
      <c r="H195" s="274" t="s">
        <v>258</v>
      </c>
      <c r="I195" s="276" t="s">
        <v>303</v>
      </c>
      <c r="M195" s="277" t="s">
        <v>1157</v>
      </c>
      <c r="N195" s="277" t="s">
        <v>1164</v>
      </c>
      <c r="O195" s="276" t="s">
        <v>1159</v>
      </c>
      <c r="P195" s="276" t="s">
        <v>1165</v>
      </c>
      <c r="Q195" s="286"/>
      <c r="R195" s="286"/>
      <c r="S195" s="286"/>
      <c r="Y195" s="276">
        <f t="shared" si="45"/>
        <v>0</v>
      </c>
      <c r="AA195" s="276">
        <v>42</v>
      </c>
      <c r="AB195" s="276">
        <v>62</v>
      </c>
      <c r="AD195" s="276">
        <v>34</v>
      </c>
      <c r="AE195" s="276">
        <v>8</v>
      </c>
      <c r="AI195" s="276">
        <f t="shared" si="46"/>
        <v>146</v>
      </c>
      <c r="AJ195">
        <f t="shared" si="47"/>
        <v>42</v>
      </c>
      <c r="AK195">
        <f t="shared" si="48"/>
        <v>62</v>
      </c>
      <c r="AL195">
        <f t="shared" si="49"/>
        <v>0</v>
      </c>
      <c r="AM195">
        <f t="shared" si="50"/>
        <v>34</v>
      </c>
      <c r="AN195">
        <f t="shared" si="51"/>
        <v>8</v>
      </c>
      <c r="AO195">
        <f t="shared" si="52"/>
        <v>0</v>
      </c>
      <c r="AP195">
        <f t="shared" si="53"/>
        <v>0</v>
      </c>
      <c r="AQ195">
        <f t="shared" si="54"/>
        <v>0</v>
      </c>
      <c r="AR195" s="276">
        <f t="shared" si="55"/>
        <v>146</v>
      </c>
      <c r="AT195" s="278"/>
      <c r="AY195" s="279"/>
      <c r="BA195" s="274">
        <v>35</v>
      </c>
      <c r="BB195" s="274">
        <v>73</v>
      </c>
      <c r="BC195" s="274">
        <v>38</v>
      </c>
      <c r="BD195" s="279"/>
      <c r="BK195" s="280">
        <f t="shared" si="56"/>
        <v>0</v>
      </c>
      <c r="BL195" s="274">
        <f t="shared" si="57"/>
        <v>146</v>
      </c>
      <c r="BP195" s="281">
        <v>517121</v>
      </c>
      <c r="BQ195" s="281">
        <v>172297</v>
      </c>
      <c r="BR195" s="296" t="s">
        <v>182</v>
      </c>
      <c r="BS195" t="s">
        <v>160</v>
      </c>
      <c r="BT195"/>
      <c r="BU195"/>
      <c r="BV195"/>
      <c r="BW195"/>
      <c r="BX195"/>
      <c r="BY195"/>
      <c r="BZ195"/>
      <c r="CA195"/>
      <c r="CB195" t="s">
        <v>188</v>
      </c>
    </row>
    <row r="196" spans="1:81" ht="15" customHeight="1" x14ac:dyDescent="0.25">
      <c r="A196" s="274" t="s">
        <v>1155</v>
      </c>
      <c r="B196" s="274" t="s">
        <v>444</v>
      </c>
      <c r="C196" s="274"/>
      <c r="D196" s="275">
        <v>45007</v>
      </c>
      <c r="E196" s="275">
        <v>46103</v>
      </c>
      <c r="F196" s="275">
        <v>45385</v>
      </c>
      <c r="H196" s="274" t="s">
        <v>258</v>
      </c>
      <c r="I196" s="276" t="s">
        <v>1167</v>
      </c>
      <c r="M196" s="277" t="s">
        <v>1157</v>
      </c>
      <c r="N196" s="277" t="s">
        <v>1164</v>
      </c>
      <c r="O196" s="276" t="s">
        <v>1159</v>
      </c>
      <c r="P196" s="276" t="s">
        <v>1165</v>
      </c>
      <c r="Q196" s="286"/>
      <c r="R196" s="286"/>
      <c r="S196" s="286"/>
      <c r="Y196" s="276">
        <f t="shared" si="45"/>
        <v>0</v>
      </c>
      <c r="Z196" s="276" t="s">
        <v>325</v>
      </c>
      <c r="AA196" s="276">
        <v>22</v>
      </c>
      <c r="AB196" s="276">
        <v>24</v>
      </c>
      <c r="AC196" s="276">
        <v>1</v>
      </c>
      <c r="AI196" s="276">
        <f t="shared" si="46"/>
        <v>47</v>
      </c>
      <c r="AJ196">
        <f t="shared" si="47"/>
        <v>22</v>
      </c>
      <c r="AK196">
        <f t="shared" si="48"/>
        <v>24</v>
      </c>
      <c r="AL196">
        <f t="shared" si="49"/>
        <v>1</v>
      </c>
      <c r="AM196">
        <f t="shared" si="50"/>
        <v>0</v>
      </c>
      <c r="AN196">
        <f t="shared" si="51"/>
        <v>0</v>
      </c>
      <c r="AO196">
        <f t="shared" si="52"/>
        <v>0</v>
      </c>
      <c r="AP196">
        <f t="shared" si="53"/>
        <v>0</v>
      </c>
      <c r="AQ196">
        <f t="shared" si="54"/>
        <v>0</v>
      </c>
      <c r="AR196" s="276">
        <f t="shared" si="55"/>
        <v>47</v>
      </c>
      <c r="AT196" s="278"/>
      <c r="AY196" s="279"/>
      <c r="BB196" s="274">
        <v>47</v>
      </c>
      <c r="BD196" s="279"/>
      <c r="BK196" s="280">
        <f t="shared" si="56"/>
        <v>0</v>
      </c>
      <c r="BL196" s="274">
        <f t="shared" si="57"/>
        <v>47</v>
      </c>
      <c r="BP196" s="281">
        <v>517121</v>
      </c>
      <c r="BQ196" s="281">
        <v>172297</v>
      </c>
      <c r="BR196" s="296" t="s">
        <v>182</v>
      </c>
      <c r="BS196" t="s">
        <v>160</v>
      </c>
      <c r="BT196"/>
      <c r="BU196"/>
      <c r="BV196"/>
      <c r="BW196"/>
      <c r="BX196"/>
      <c r="BY196"/>
      <c r="BZ196"/>
      <c r="CA196"/>
      <c r="CB196" t="s">
        <v>188</v>
      </c>
    </row>
    <row r="197" spans="1:81" ht="15" customHeight="1" x14ac:dyDescent="0.25">
      <c r="A197" s="274" t="s">
        <v>1155</v>
      </c>
      <c r="B197" s="274" t="s">
        <v>444</v>
      </c>
      <c r="C197" s="274"/>
      <c r="D197" s="275">
        <v>45007</v>
      </c>
      <c r="E197" s="275">
        <v>46103</v>
      </c>
      <c r="F197" s="275">
        <v>45385</v>
      </c>
      <c r="H197" s="274" t="s">
        <v>258</v>
      </c>
      <c r="I197" s="276" t="s">
        <v>337</v>
      </c>
      <c r="M197" s="277" t="s">
        <v>1157</v>
      </c>
      <c r="N197" s="277" t="s">
        <v>1164</v>
      </c>
      <c r="O197" s="276" t="s">
        <v>1159</v>
      </c>
      <c r="P197" s="276" t="s">
        <v>1166</v>
      </c>
      <c r="Q197" s="286"/>
      <c r="R197" s="286"/>
      <c r="S197" s="286"/>
      <c r="Y197" s="276">
        <f t="shared" si="45"/>
        <v>0</v>
      </c>
      <c r="Z197" s="276" t="s">
        <v>325</v>
      </c>
      <c r="AA197" s="276">
        <v>35</v>
      </c>
      <c r="AB197" s="276">
        <v>18</v>
      </c>
      <c r="AC197" s="276">
        <v>10</v>
      </c>
      <c r="AI197" s="276">
        <f t="shared" si="46"/>
        <v>63</v>
      </c>
      <c r="AJ197">
        <f t="shared" si="47"/>
        <v>35</v>
      </c>
      <c r="AK197">
        <f t="shared" si="48"/>
        <v>18</v>
      </c>
      <c r="AL197">
        <f t="shared" si="49"/>
        <v>10</v>
      </c>
      <c r="AM197">
        <f t="shared" si="50"/>
        <v>0</v>
      </c>
      <c r="AN197">
        <f t="shared" si="51"/>
        <v>0</v>
      </c>
      <c r="AO197">
        <f t="shared" si="52"/>
        <v>0</v>
      </c>
      <c r="AP197">
        <f t="shared" si="53"/>
        <v>0</v>
      </c>
      <c r="AQ197">
        <f t="shared" si="54"/>
        <v>0</v>
      </c>
      <c r="AR197" s="276">
        <f t="shared" si="55"/>
        <v>63</v>
      </c>
      <c r="AT197" s="278"/>
      <c r="AV197" s="274">
        <v>63</v>
      </c>
      <c r="AY197" s="279"/>
      <c r="BD197" s="279"/>
      <c r="BK197" s="280">
        <f t="shared" si="56"/>
        <v>63</v>
      </c>
      <c r="BL197" s="274">
        <f t="shared" si="57"/>
        <v>63</v>
      </c>
      <c r="BP197" s="281">
        <v>517121</v>
      </c>
      <c r="BQ197" s="281">
        <v>172297</v>
      </c>
      <c r="BR197" s="296" t="s">
        <v>182</v>
      </c>
      <c r="BS197" t="s">
        <v>160</v>
      </c>
      <c r="BT197"/>
      <c r="BU197"/>
      <c r="BV197"/>
      <c r="BW197"/>
      <c r="BX197"/>
      <c r="BY197"/>
      <c r="BZ197"/>
      <c r="CA197"/>
      <c r="CB197" t="s">
        <v>188</v>
      </c>
    </row>
    <row r="198" spans="1:81" ht="15" customHeight="1" x14ac:dyDescent="0.25">
      <c r="A198" s="274" t="s">
        <v>1155</v>
      </c>
      <c r="B198" s="274" t="s">
        <v>444</v>
      </c>
      <c r="C198" s="274"/>
      <c r="D198" s="275">
        <v>45007</v>
      </c>
      <c r="E198" s="275">
        <v>46103</v>
      </c>
      <c r="F198" s="275">
        <v>45385</v>
      </c>
      <c r="H198" s="274" t="s">
        <v>258</v>
      </c>
      <c r="I198" s="276" t="s">
        <v>337</v>
      </c>
      <c r="M198" s="277" t="s">
        <v>1157</v>
      </c>
      <c r="N198" s="277" t="s">
        <v>1164</v>
      </c>
      <c r="O198" s="276" t="s">
        <v>1159</v>
      </c>
      <c r="P198" s="276" t="s">
        <v>1163</v>
      </c>
      <c r="Q198" s="286"/>
      <c r="R198" s="286"/>
      <c r="S198" s="286"/>
      <c r="Y198" s="276">
        <f t="shared" si="45"/>
        <v>0</v>
      </c>
      <c r="Z198" s="276" t="s">
        <v>325</v>
      </c>
      <c r="AA198" s="276">
        <v>58</v>
      </c>
      <c r="AB198" s="276">
        <v>19</v>
      </c>
      <c r="AC198" s="276">
        <v>3</v>
      </c>
      <c r="AI198" s="276">
        <f t="shared" si="46"/>
        <v>80</v>
      </c>
      <c r="AJ198">
        <f t="shared" si="47"/>
        <v>58</v>
      </c>
      <c r="AK198">
        <f t="shared" si="48"/>
        <v>19</v>
      </c>
      <c r="AL198">
        <f t="shared" si="49"/>
        <v>3</v>
      </c>
      <c r="AM198">
        <f t="shared" si="50"/>
        <v>0</v>
      </c>
      <c r="AN198">
        <f t="shared" si="51"/>
        <v>0</v>
      </c>
      <c r="AO198">
        <f t="shared" si="52"/>
        <v>0</v>
      </c>
      <c r="AP198">
        <f t="shared" si="53"/>
        <v>0</v>
      </c>
      <c r="AQ198">
        <f t="shared" si="54"/>
        <v>0</v>
      </c>
      <c r="AR198" s="276">
        <f t="shared" si="55"/>
        <v>80</v>
      </c>
      <c r="AT198" s="278"/>
      <c r="AY198" s="279">
        <v>80</v>
      </c>
      <c r="BD198" s="279"/>
      <c r="BK198" s="280">
        <f t="shared" si="56"/>
        <v>80</v>
      </c>
      <c r="BL198" s="274">
        <f t="shared" si="57"/>
        <v>80</v>
      </c>
      <c r="BP198" s="281">
        <v>517121</v>
      </c>
      <c r="BQ198" s="281">
        <v>172297</v>
      </c>
      <c r="BR198" s="296" t="s">
        <v>182</v>
      </c>
      <c r="BS198" t="s">
        <v>160</v>
      </c>
      <c r="BT198"/>
      <c r="BU198"/>
      <c r="BV198"/>
      <c r="BW198"/>
      <c r="BX198"/>
      <c r="BY198"/>
      <c r="BZ198"/>
      <c r="CA198"/>
      <c r="CB198" t="s">
        <v>188</v>
      </c>
    </row>
    <row r="199" spans="1:81" ht="15" customHeight="1" x14ac:dyDescent="0.25">
      <c r="A199" s="274" t="s">
        <v>1168</v>
      </c>
      <c r="B199" s="277" t="s">
        <v>444</v>
      </c>
      <c r="D199" s="275">
        <v>45189</v>
      </c>
      <c r="E199" s="275">
        <v>46285</v>
      </c>
      <c r="H199" s="274" t="s">
        <v>258</v>
      </c>
      <c r="I199" s="238" t="s">
        <v>303</v>
      </c>
      <c r="M199" s="277" t="s">
        <v>1169</v>
      </c>
      <c r="N199" s="277" t="s">
        <v>1170</v>
      </c>
      <c r="O199" s="276" t="s">
        <v>1171</v>
      </c>
      <c r="Y199" s="276">
        <f t="shared" si="45"/>
        <v>0</v>
      </c>
      <c r="AD199" s="276">
        <v>2</v>
      </c>
      <c r="AI199" s="276">
        <f t="shared" si="46"/>
        <v>2</v>
      </c>
      <c r="AJ199">
        <f t="shared" si="47"/>
        <v>0</v>
      </c>
      <c r="AK199">
        <f t="shared" si="48"/>
        <v>0</v>
      </c>
      <c r="AL199">
        <f t="shared" si="49"/>
        <v>0</v>
      </c>
      <c r="AM199">
        <f t="shared" si="50"/>
        <v>2</v>
      </c>
      <c r="AN199">
        <f t="shared" si="51"/>
        <v>0</v>
      </c>
      <c r="AO199">
        <f t="shared" si="52"/>
        <v>0</v>
      </c>
      <c r="AP199">
        <f t="shared" si="53"/>
        <v>0</v>
      </c>
      <c r="AQ199">
        <f t="shared" si="54"/>
        <v>0</v>
      </c>
      <c r="AR199" s="276">
        <f t="shared" si="55"/>
        <v>2</v>
      </c>
      <c r="AT199" s="278"/>
      <c r="AU199" s="274">
        <v>0.5</v>
      </c>
      <c r="AV199" s="274">
        <v>0.5</v>
      </c>
      <c r="AW199" s="274">
        <v>0.5</v>
      </c>
      <c r="AX199" s="274">
        <v>0.5</v>
      </c>
      <c r="AY199" s="279"/>
      <c r="BD199" s="279"/>
      <c r="BK199" s="280">
        <f t="shared" si="56"/>
        <v>2</v>
      </c>
      <c r="BL199" s="274">
        <f t="shared" si="57"/>
        <v>2</v>
      </c>
      <c r="BP199" s="281">
        <v>516805</v>
      </c>
      <c r="BQ199" s="281">
        <v>172149</v>
      </c>
      <c r="BR199" s="296" t="s">
        <v>182</v>
      </c>
      <c r="BS199" t="s">
        <v>160</v>
      </c>
      <c r="BT199"/>
      <c r="BU199"/>
      <c r="BV199"/>
      <c r="BW199"/>
      <c r="BX199"/>
      <c r="BY199"/>
      <c r="BZ199"/>
      <c r="CA199"/>
      <c r="CB199" t="s">
        <v>188</v>
      </c>
    </row>
    <row r="200" spans="1:81" ht="15" customHeight="1" x14ac:dyDescent="0.25">
      <c r="A200" s="274" t="s">
        <v>1172</v>
      </c>
      <c r="B200" s="274" t="s">
        <v>444</v>
      </c>
      <c r="C200" s="274"/>
      <c r="D200" s="275">
        <v>44820</v>
      </c>
      <c r="E200" s="275">
        <v>45916</v>
      </c>
      <c r="H200" s="274" t="s">
        <v>258</v>
      </c>
      <c r="I200" s="238" t="s">
        <v>303</v>
      </c>
      <c r="M200" s="277" t="s">
        <v>1173</v>
      </c>
      <c r="N200" s="277" t="s">
        <v>1174</v>
      </c>
      <c r="O200" s="276" t="s">
        <v>1175</v>
      </c>
      <c r="Y200" s="276">
        <f t="shared" si="45"/>
        <v>0</v>
      </c>
      <c r="AD200" s="276">
        <v>1</v>
      </c>
      <c r="AI200" s="276">
        <f t="shared" si="46"/>
        <v>1</v>
      </c>
      <c r="AJ200">
        <f t="shared" si="47"/>
        <v>0</v>
      </c>
      <c r="AK200">
        <f t="shared" si="48"/>
        <v>0</v>
      </c>
      <c r="AL200">
        <f t="shared" si="49"/>
        <v>0</v>
      </c>
      <c r="AM200">
        <f t="shared" si="50"/>
        <v>1</v>
      </c>
      <c r="AN200">
        <f t="shared" si="51"/>
        <v>0</v>
      </c>
      <c r="AO200">
        <f t="shared" si="52"/>
        <v>0</v>
      </c>
      <c r="AP200">
        <f t="shared" si="53"/>
        <v>0</v>
      </c>
      <c r="AQ200">
        <f t="shared" si="54"/>
        <v>0</v>
      </c>
      <c r="AR200" s="276">
        <f t="shared" si="55"/>
        <v>1</v>
      </c>
      <c r="AT200" s="278"/>
      <c r="AU200" s="274">
        <v>0.25</v>
      </c>
      <c r="AV200" s="274">
        <v>0.25</v>
      </c>
      <c r="AW200" s="274">
        <v>0.25</v>
      </c>
      <c r="AX200" s="274">
        <v>0.25</v>
      </c>
      <c r="AY200" s="279"/>
      <c r="BD200" s="279"/>
      <c r="BK200" s="280">
        <f t="shared" si="56"/>
        <v>1</v>
      </c>
      <c r="BL200" s="274">
        <f t="shared" si="57"/>
        <v>1</v>
      </c>
      <c r="BP200" s="281">
        <v>512954</v>
      </c>
      <c r="BQ200" s="281">
        <v>170628</v>
      </c>
      <c r="BR200" s="296" t="s">
        <v>183</v>
      </c>
      <c r="BS200" t="s">
        <v>162</v>
      </c>
      <c r="BT200"/>
      <c r="BU200"/>
      <c r="BV200"/>
      <c r="BW200"/>
      <c r="BX200"/>
      <c r="BY200"/>
      <c r="BZ200"/>
      <c r="CA200"/>
      <c r="CB200" t="s">
        <v>189</v>
      </c>
    </row>
    <row r="201" spans="1:81" ht="15" customHeight="1" x14ac:dyDescent="0.25">
      <c r="A201" s="274" t="s">
        <v>1176</v>
      </c>
      <c r="B201" s="274" t="s">
        <v>444</v>
      </c>
      <c r="C201" s="274"/>
      <c r="D201" s="275">
        <v>45044</v>
      </c>
      <c r="E201" s="275">
        <v>46140</v>
      </c>
      <c r="H201" s="237" t="s">
        <v>258</v>
      </c>
      <c r="I201" s="238" t="s">
        <v>303</v>
      </c>
      <c r="M201" s="277" t="s">
        <v>1177</v>
      </c>
      <c r="N201" s="277" t="s">
        <v>1178</v>
      </c>
      <c r="O201" s="276" t="s">
        <v>1179</v>
      </c>
      <c r="Y201" s="276">
        <f t="shared" si="45"/>
        <v>0</v>
      </c>
      <c r="AB201" s="276">
        <v>1</v>
      </c>
      <c r="AD201" s="276">
        <v>1</v>
      </c>
      <c r="AI201" s="276">
        <f t="shared" si="46"/>
        <v>2</v>
      </c>
      <c r="AJ201">
        <f t="shared" si="47"/>
        <v>0</v>
      </c>
      <c r="AK201">
        <f t="shared" si="48"/>
        <v>1</v>
      </c>
      <c r="AL201">
        <f t="shared" si="49"/>
        <v>0</v>
      </c>
      <c r="AM201">
        <f t="shared" si="50"/>
        <v>1</v>
      </c>
      <c r="AN201">
        <f t="shared" si="51"/>
        <v>0</v>
      </c>
      <c r="AO201">
        <f t="shared" si="52"/>
        <v>0</v>
      </c>
      <c r="AP201">
        <f t="shared" si="53"/>
        <v>0</v>
      </c>
      <c r="AQ201">
        <f t="shared" si="54"/>
        <v>0</v>
      </c>
      <c r="AR201" s="276">
        <f t="shared" si="55"/>
        <v>2</v>
      </c>
      <c r="AT201" s="278"/>
      <c r="AU201" s="274">
        <v>0.5</v>
      </c>
      <c r="AV201" s="274">
        <v>0.5</v>
      </c>
      <c r="AW201" s="274">
        <v>0.5</v>
      </c>
      <c r="AX201" s="274">
        <v>0.5</v>
      </c>
      <c r="AY201" s="279"/>
      <c r="BD201" s="279"/>
      <c r="BK201" s="280">
        <f t="shared" si="56"/>
        <v>2</v>
      </c>
      <c r="BL201" s="274">
        <f t="shared" si="57"/>
        <v>2</v>
      </c>
      <c r="BP201" s="281">
        <v>512514</v>
      </c>
      <c r="BQ201" s="281">
        <v>173445</v>
      </c>
      <c r="BR201" t="s">
        <v>147</v>
      </c>
      <c r="BS201" t="s">
        <v>164</v>
      </c>
      <c r="BT201"/>
      <c r="BU201"/>
      <c r="BV201"/>
      <c r="BW201"/>
      <c r="BX201"/>
      <c r="BY201"/>
      <c r="BZ201"/>
      <c r="CA201"/>
      <c r="CB201" t="s">
        <v>194</v>
      </c>
      <c r="CC201" s="276" t="s">
        <v>325</v>
      </c>
    </row>
    <row r="202" spans="1:81" ht="15" customHeight="1" x14ac:dyDescent="0.25">
      <c r="A202" s="274" t="s">
        <v>1180</v>
      </c>
      <c r="B202" s="274" t="s">
        <v>444</v>
      </c>
      <c r="C202" s="274"/>
      <c r="D202" s="275">
        <v>44846</v>
      </c>
      <c r="E202" s="275">
        <v>45942</v>
      </c>
      <c r="H202" s="274" t="s">
        <v>258</v>
      </c>
      <c r="I202" s="238" t="s">
        <v>303</v>
      </c>
      <c r="M202" s="277" t="s">
        <v>1181</v>
      </c>
      <c r="N202" s="277" t="s">
        <v>1182</v>
      </c>
      <c r="O202" s="276" t="s">
        <v>1183</v>
      </c>
      <c r="S202" s="276">
        <v>1</v>
      </c>
      <c r="Y202" s="276">
        <f t="shared" si="45"/>
        <v>1</v>
      </c>
      <c r="AE202" s="276">
        <v>1</v>
      </c>
      <c r="AI202" s="276">
        <f t="shared" si="46"/>
        <v>1</v>
      </c>
      <c r="AJ202">
        <f t="shared" si="47"/>
        <v>0</v>
      </c>
      <c r="AK202">
        <f t="shared" si="48"/>
        <v>0</v>
      </c>
      <c r="AL202">
        <f t="shared" si="49"/>
        <v>-1</v>
      </c>
      <c r="AM202">
        <f t="shared" si="50"/>
        <v>0</v>
      </c>
      <c r="AN202">
        <f t="shared" si="51"/>
        <v>1</v>
      </c>
      <c r="AO202">
        <f t="shared" si="52"/>
        <v>0</v>
      </c>
      <c r="AP202">
        <f t="shared" si="53"/>
        <v>0</v>
      </c>
      <c r="AQ202">
        <f t="shared" si="54"/>
        <v>0</v>
      </c>
      <c r="AR202" s="276">
        <f t="shared" si="55"/>
        <v>0</v>
      </c>
      <c r="AT202" s="278"/>
      <c r="AU202" s="274">
        <v>0</v>
      </c>
      <c r="AY202" s="279"/>
      <c r="BD202" s="279"/>
      <c r="BK202" s="280">
        <f t="shared" si="56"/>
        <v>0</v>
      </c>
      <c r="BL202" s="274">
        <f t="shared" si="57"/>
        <v>0</v>
      </c>
      <c r="BP202" s="281">
        <v>517779</v>
      </c>
      <c r="BQ202" s="281">
        <v>172645</v>
      </c>
      <c r="BR202" s="296" t="s">
        <v>182</v>
      </c>
      <c r="BS202" t="s">
        <v>160</v>
      </c>
      <c r="BT202"/>
      <c r="BU202"/>
      <c r="BV202"/>
      <c r="BW202"/>
      <c r="BX202"/>
      <c r="BY202"/>
      <c r="BZ202"/>
      <c r="CA202"/>
      <c r="CB202" t="s">
        <v>188</v>
      </c>
    </row>
    <row r="203" spans="1:81" ht="15" customHeight="1" x14ac:dyDescent="0.25">
      <c r="A203" s="274" t="s">
        <v>1184</v>
      </c>
      <c r="B203" s="277" t="s">
        <v>481</v>
      </c>
      <c r="D203" s="275">
        <v>45306</v>
      </c>
      <c r="E203" s="275">
        <v>46402</v>
      </c>
      <c r="H203" s="274" t="s">
        <v>258</v>
      </c>
      <c r="I203" s="238" t="s">
        <v>303</v>
      </c>
      <c r="M203" s="277" t="s">
        <v>1185</v>
      </c>
      <c r="N203" s="277" t="s">
        <v>1186</v>
      </c>
      <c r="O203" s="276" t="s">
        <v>1187</v>
      </c>
      <c r="T203" s="276">
        <v>1</v>
      </c>
      <c r="Y203" s="276">
        <f t="shared" si="45"/>
        <v>1</v>
      </c>
      <c r="AB203" s="276">
        <v>2</v>
      </c>
      <c r="AI203" s="276">
        <f t="shared" si="46"/>
        <v>2</v>
      </c>
      <c r="AJ203">
        <f t="shared" si="47"/>
        <v>0</v>
      </c>
      <c r="AK203">
        <f t="shared" si="48"/>
        <v>2</v>
      </c>
      <c r="AL203">
        <f t="shared" si="49"/>
        <v>0</v>
      </c>
      <c r="AM203">
        <f t="shared" si="50"/>
        <v>-1</v>
      </c>
      <c r="AN203">
        <f t="shared" si="51"/>
        <v>0</v>
      </c>
      <c r="AO203">
        <f t="shared" si="52"/>
        <v>0</v>
      </c>
      <c r="AP203">
        <f t="shared" si="53"/>
        <v>0</v>
      </c>
      <c r="AQ203">
        <f t="shared" si="54"/>
        <v>0</v>
      </c>
      <c r="AR203" s="276">
        <f t="shared" si="55"/>
        <v>1</v>
      </c>
      <c r="AT203" s="278"/>
      <c r="AU203" s="274">
        <v>0.25</v>
      </c>
      <c r="AV203" s="274">
        <v>0.25</v>
      </c>
      <c r="AW203" s="274">
        <v>0.25</v>
      </c>
      <c r="AX203" s="274">
        <v>0.25</v>
      </c>
      <c r="AY203" s="279"/>
      <c r="BD203" s="279"/>
      <c r="BK203" s="280">
        <f t="shared" si="56"/>
        <v>1</v>
      </c>
      <c r="BL203" s="274">
        <f t="shared" si="57"/>
        <v>1</v>
      </c>
      <c r="BP203" s="281">
        <v>512735</v>
      </c>
      <c r="BQ203" s="281">
        <v>170493</v>
      </c>
      <c r="BR203" s="296" t="s">
        <v>183</v>
      </c>
      <c r="BS203" t="s">
        <v>162</v>
      </c>
      <c r="BT203"/>
      <c r="BU203"/>
      <c r="BV203"/>
      <c r="BW203"/>
      <c r="BX203"/>
      <c r="BY203"/>
      <c r="BZ203"/>
      <c r="CA203"/>
      <c r="CB203" t="s">
        <v>189</v>
      </c>
    </row>
    <row r="204" spans="1:81" ht="15" customHeight="1" x14ac:dyDescent="0.25">
      <c r="A204" s="274" t="s">
        <v>1188</v>
      </c>
      <c r="B204" s="277" t="s">
        <v>459</v>
      </c>
      <c r="C204" s="274" t="s">
        <v>293</v>
      </c>
      <c r="D204" s="275">
        <v>44931</v>
      </c>
      <c r="E204" s="275">
        <v>46027</v>
      </c>
      <c r="H204" s="274" t="s">
        <v>258</v>
      </c>
      <c r="I204" s="238" t="s">
        <v>303</v>
      </c>
      <c r="M204" s="277" t="s">
        <v>1189</v>
      </c>
      <c r="N204" s="277" t="s">
        <v>1190</v>
      </c>
      <c r="O204" s="276" t="s">
        <v>1191</v>
      </c>
      <c r="Y204" s="276">
        <f t="shared" si="45"/>
        <v>0</v>
      </c>
      <c r="AA204" s="276">
        <v>4</v>
      </c>
      <c r="AB204" s="276">
        <v>1</v>
      </c>
      <c r="AI204" s="276">
        <f t="shared" si="46"/>
        <v>5</v>
      </c>
      <c r="AJ204">
        <f t="shared" si="47"/>
        <v>4</v>
      </c>
      <c r="AK204">
        <f t="shared" si="48"/>
        <v>1</v>
      </c>
      <c r="AL204">
        <f t="shared" si="49"/>
        <v>0</v>
      </c>
      <c r="AM204">
        <f t="shared" si="50"/>
        <v>0</v>
      </c>
      <c r="AN204">
        <f t="shared" si="51"/>
        <v>0</v>
      </c>
      <c r="AO204">
        <f t="shared" si="52"/>
        <v>0</v>
      </c>
      <c r="AP204">
        <f t="shared" si="53"/>
        <v>0</v>
      </c>
      <c r="AQ204">
        <f t="shared" si="54"/>
        <v>0</v>
      </c>
      <c r="AR204" s="276">
        <f t="shared" si="55"/>
        <v>5</v>
      </c>
      <c r="AT204" s="278"/>
      <c r="AU204" s="274">
        <v>2.5</v>
      </c>
      <c r="AV204" s="274">
        <v>2.5</v>
      </c>
      <c r="AY204" s="279"/>
      <c r="BD204" s="279"/>
      <c r="BK204" s="280">
        <f t="shared" si="56"/>
        <v>5</v>
      </c>
      <c r="BL204" s="274">
        <f t="shared" si="57"/>
        <v>5</v>
      </c>
      <c r="BP204" s="281">
        <v>514122</v>
      </c>
      <c r="BQ204" s="281">
        <v>170560</v>
      </c>
      <c r="BR204" s="296" t="s">
        <v>183</v>
      </c>
      <c r="BS204" t="s">
        <v>159</v>
      </c>
      <c r="BT204"/>
      <c r="BU204"/>
      <c r="BV204"/>
      <c r="BW204"/>
      <c r="BX204"/>
      <c r="BY204"/>
      <c r="BZ204"/>
      <c r="CA204"/>
      <c r="CB204" t="s">
        <v>189</v>
      </c>
    </row>
    <row r="205" spans="1:81" ht="15" customHeight="1" x14ac:dyDescent="0.25">
      <c r="A205" s="274" t="s">
        <v>1192</v>
      </c>
      <c r="B205" s="277" t="s">
        <v>444</v>
      </c>
      <c r="D205" s="275">
        <v>45090</v>
      </c>
      <c r="E205" s="275">
        <v>46186</v>
      </c>
      <c r="H205" s="274" t="s">
        <v>258</v>
      </c>
      <c r="I205" s="238" t="s">
        <v>303</v>
      </c>
      <c r="M205" s="277" t="s">
        <v>1193</v>
      </c>
      <c r="N205" s="277" t="s">
        <v>1194</v>
      </c>
      <c r="O205" s="276" t="s">
        <v>1195</v>
      </c>
      <c r="S205" s="276">
        <v>1</v>
      </c>
      <c r="Y205" s="276">
        <f t="shared" si="45"/>
        <v>1</v>
      </c>
      <c r="AD205" s="276">
        <v>1</v>
      </c>
      <c r="AI205" s="276">
        <f t="shared" si="46"/>
        <v>1</v>
      </c>
      <c r="AJ205">
        <f t="shared" si="47"/>
        <v>0</v>
      </c>
      <c r="AK205">
        <f t="shared" si="48"/>
        <v>0</v>
      </c>
      <c r="AL205">
        <f t="shared" si="49"/>
        <v>-1</v>
      </c>
      <c r="AM205">
        <f t="shared" si="50"/>
        <v>1</v>
      </c>
      <c r="AN205">
        <f t="shared" si="51"/>
        <v>0</v>
      </c>
      <c r="AO205">
        <f t="shared" si="52"/>
        <v>0</v>
      </c>
      <c r="AP205">
        <f t="shared" si="53"/>
        <v>0</v>
      </c>
      <c r="AQ205">
        <f t="shared" si="54"/>
        <v>0</v>
      </c>
      <c r="AR205" s="276">
        <f t="shared" si="55"/>
        <v>0</v>
      </c>
      <c r="AT205" s="278"/>
      <c r="AU205" s="274">
        <v>0</v>
      </c>
      <c r="AY205" s="279"/>
      <c r="BD205" s="279"/>
      <c r="BK205" s="280">
        <f t="shared" si="56"/>
        <v>0</v>
      </c>
      <c r="BL205" s="274">
        <f t="shared" si="57"/>
        <v>0</v>
      </c>
      <c r="BP205" s="281">
        <v>522220</v>
      </c>
      <c r="BQ205" s="281">
        <v>177505</v>
      </c>
      <c r="BR205" s="296" t="s">
        <v>181</v>
      </c>
      <c r="BS205" t="s">
        <v>158</v>
      </c>
      <c r="BT205"/>
      <c r="BU205"/>
      <c r="BV205"/>
      <c r="BW205"/>
      <c r="BX205"/>
      <c r="BY205"/>
      <c r="BZ205"/>
      <c r="CA205"/>
      <c r="CB205" t="s">
        <v>158</v>
      </c>
    </row>
    <row r="206" spans="1:81" ht="15" customHeight="1" x14ac:dyDescent="0.25">
      <c r="A206" s="274" t="s">
        <v>1196</v>
      </c>
      <c r="B206" s="277" t="s">
        <v>444</v>
      </c>
      <c r="D206" s="275">
        <v>45141</v>
      </c>
      <c r="E206" s="275">
        <v>46237</v>
      </c>
      <c r="H206" s="274" t="s">
        <v>258</v>
      </c>
      <c r="I206" s="238" t="s">
        <v>303</v>
      </c>
      <c r="M206" s="277" t="s">
        <v>1197</v>
      </c>
      <c r="N206" s="277" t="s">
        <v>1198</v>
      </c>
      <c r="O206" s="276" t="s">
        <v>1199</v>
      </c>
      <c r="R206" s="276">
        <v>1</v>
      </c>
      <c r="Y206" s="276">
        <f t="shared" si="45"/>
        <v>1</v>
      </c>
      <c r="AC206" s="276">
        <v>1</v>
      </c>
      <c r="AI206" s="276">
        <f t="shared" si="46"/>
        <v>1</v>
      </c>
      <c r="AJ206">
        <f t="shared" si="47"/>
        <v>0</v>
      </c>
      <c r="AK206">
        <f t="shared" si="48"/>
        <v>-1</v>
      </c>
      <c r="AL206">
        <f t="shared" si="49"/>
        <v>1</v>
      </c>
      <c r="AM206">
        <f t="shared" si="50"/>
        <v>0</v>
      </c>
      <c r="AN206">
        <f t="shared" si="51"/>
        <v>0</v>
      </c>
      <c r="AO206">
        <f t="shared" si="52"/>
        <v>0</v>
      </c>
      <c r="AP206">
        <f t="shared" si="53"/>
        <v>0</v>
      </c>
      <c r="AQ206">
        <f t="shared" si="54"/>
        <v>0</v>
      </c>
      <c r="AR206" s="276">
        <f t="shared" si="55"/>
        <v>0</v>
      </c>
      <c r="AT206" s="278"/>
      <c r="AU206" s="274">
        <v>0</v>
      </c>
      <c r="AY206" s="279"/>
      <c r="BD206" s="279"/>
      <c r="BK206" s="280">
        <f t="shared" si="56"/>
        <v>0</v>
      </c>
      <c r="BL206" s="274">
        <f t="shared" si="57"/>
        <v>0</v>
      </c>
      <c r="BP206" s="281">
        <v>522197</v>
      </c>
      <c r="BQ206" s="281">
        <v>177398</v>
      </c>
      <c r="BR206" s="296" t="s">
        <v>181</v>
      </c>
      <c r="BS206" t="s">
        <v>158</v>
      </c>
      <c r="BT206"/>
      <c r="BU206"/>
      <c r="BV206"/>
      <c r="BW206"/>
      <c r="BX206"/>
      <c r="BY206"/>
      <c r="BZ206"/>
      <c r="CA206"/>
      <c r="CB206" t="s">
        <v>158</v>
      </c>
    </row>
    <row r="207" spans="1:81" ht="15" customHeight="1" x14ac:dyDescent="0.25">
      <c r="A207" s="274" t="s">
        <v>1200</v>
      </c>
      <c r="B207" s="274" t="s">
        <v>459</v>
      </c>
      <c r="C207" s="274"/>
      <c r="D207" s="275">
        <v>45211</v>
      </c>
      <c r="E207" s="275">
        <v>46307</v>
      </c>
      <c r="F207" s="275"/>
      <c r="G207" s="275"/>
      <c r="H207" s="234" t="s">
        <v>258</v>
      </c>
      <c r="I207" s="238" t="s">
        <v>303</v>
      </c>
      <c r="M207" s="277" t="s">
        <v>1201</v>
      </c>
      <c r="N207" s="277" t="s">
        <v>1202</v>
      </c>
      <c r="O207" s="276" t="s">
        <v>1203</v>
      </c>
      <c r="S207" s="276">
        <v>1</v>
      </c>
      <c r="Y207" s="276">
        <f t="shared" si="45"/>
        <v>1</v>
      </c>
      <c r="AC207" s="276">
        <v>1</v>
      </c>
      <c r="AI207" s="276">
        <f t="shared" si="46"/>
        <v>1</v>
      </c>
      <c r="AJ207">
        <f t="shared" si="47"/>
        <v>0</v>
      </c>
      <c r="AK207">
        <f t="shared" si="48"/>
        <v>0</v>
      </c>
      <c r="AL207">
        <f t="shared" si="49"/>
        <v>0</v>
      </c>
      <c r="AM207">
        <f t="shared" si="50"/>
        <v>0</v>
      </c>
      <c r="AN207">
        <f t="shared" si="51"/>
        <v>0</v>
      </c>
      <c r="AO207">
        <f t="shared" si="52"/>
        <v>0</v>
      </c>
      <c r="AP207">
        <f t="shared" si="53"/>
        <v>0</v>
      </c>
      <c r="AQ207">
        <f t="shared" si="54"/>
        <v>0</v>
      </c>
      <c r="AR207" s="276">
        <f t="shared" si="55"/>
        <v>0</v>
      </c>
      <c r="AT207" s="278"/>
      <c r="AU207" s="274">
        <v>0</v>
      </c>
      <c r="AY207" s="279"/>
      <c r="BD207" s="279"/>
      <c r="BK207" s="280">
        <f t="shared" si="56"/>
        <v>0</v>
      </c>
      <c r="BL207" s="274">
        <f t="shared" si="57"/>
        <v>0</v>
      </c>
      <c r="BO207" s="244" t="s">
        <v>325</v>
      </c>
      <c r="BP207" s="281">
        <v>513121</v>
      </c>
      <c r="BQ207" s="281">
        <v>173691</v>
      </c>
      <c r="BR207" t="s">
        <v>147</v>
      </c>
      <c r="BS207" t="s">
        <v>164</v>
      </c>
      <c r="BT207"/>
      <c r="BU207"/>
      <c r="BV207"/>
      <c r="BW207"/>
      <c r="BX207"/>
      <c r="BY207"/>
      <c r="BZ207"/>
      <c r="CA207"/>
      <c r="CB207" t="s">
        <v>194</v>
      </c>
    </row>
    <row r="208" spans="1:81" ht="15" customHeight="1" x14ac:dyDescent="0.25">
      <c r="A208" s="274" t="s">
        <v>1204</v>
      </c>
      <c r="B208" s="277" t="s">
        <v>444</v>
      </c>
      <c r="D208" s="275">
        <v>45176</v>
      </c>
      <c r="E208" s="275">
        <v>46272</v>
      </c>
      <c r="H208" s="274" t="s">
        <v>258</v>
      </c>
      <c r="I208" s="238" t="s">
        <v>303</v>
      </c>
      <c r="M208" s="277" t="s">
        <v>1205</v>
      </c>
      <c r="N208" s="277" t="s">
        <v>1206</v>
      </c>
      <c r="O208" s="276" t="s">
        <v>1207</v>
      </c>
      <c r="S208" s="276">
        <v>1</v>
      </c>
      <c r="Y208" s="276">
        <f t="shared" si="45"/>
        <v>1</v>
      </c>
      <c r="AE208" s="276">
        <v>1</v>
      </c>
      <c r="AI208" s="276">
        <f t="shared" si="46"/>
        <v>1</v>
      </c>
      <c r="AJ208">
        <f t="shared" si="47"/>
        <v>0</v>
      </c>
      <c r="AK208">
        <f t="shared" si="48"/>
        <v>0</v>
      </c>
      <c r="AL208">
        <f t="shared" si="49"/>
        <v>-1</v>
      </c>
      <c r="AM208">
        <f t="shared" si="50"/>
        <v>0</v>
      </c>
      <c r="AN208">
        <f t="shared" si="51"/>
        <v>1</v>
      </c>
      <c r="AO208">
        <f t="shared" si="52"/>
        <v>0</v>
      </c>
      <c r="AP208">
        <f t="shared" si="53"/>
        <v>0</v>
      </c>
      <c r="AQ208">
        <f t="shared" si="54"/>
        <v>0</v>
      </c>
      <c r="AR208" s="276">
        <f t="shared" si="55"/>
        <v>0</v>
      </c>
      <c r="AT208" s="278"/>
      <c r="AU208" s="274">
        <v>0</v>
      </c>
      <c r="AY208" s="279"/>
      <c r="BD208" s="279"/>
      <c r="BK208" s="280">
        <f t="shared" si="56"/>
        <v>0</v>
      </c>
      <c r="BL208" s="274">
        <f t="shared" si="57"/>
        <v>0</v>
      </c>
      <c r="BP208" s="281">
        <v>518160</v>
      </c>
      <c r="BQ208" s="281">
        <v>173124</v>
      </c>
      <c r="BR208" s="296" t="s">
        <v>182</v>
      </c>
      <c r="BS208" t="s">
        <v>160</v>
      </c>
      <c r="BT208"/>
      <c r="BU208"/>
      <c r="BV208"/>
      <c r="BW208"/>
      <c r="BX208"/>
      <c r="BY208"/>
      <c r="BZ208"/>
      <c r="CA208"/>
      <c r="CB208" t="s">
        <v>188</v>
      </c>
    </row>
    <row r="209" spans="1:81" ht="15" customHeight="1" x14ac:dyDescent="0.25">
      <c r="A209" s="274" t="s">
        <v>1208</v>
      </c>
      <c r="B209" s="277" t="s">
        <v>444</v>
      </c>
      <c r="D209" s="275">
        <v>45313</v>
      </c>
      <c r="E209" s="275">
        <v>46409</v>
      </c>
      <c r="H209" s="274" t="s">
        <v>258</v>
      </c>
      <c r="I209" s="238" t="s">
        <v>303</v>
      </c>
      <c r="M209" s="277" t="s">
        <v>1209</v>
      </c>
      <c r="N209" s="277" t="s">
        <v>1210</v>
      </c>
      <c r="O209" s="276" t="s">
        <v>1211</v>
      </c>
      <c r="R209" s="276">
        <v>1</v>
      </c>
      <c r="Y209" s="276">
        <f t="shared" si="45"/>
        <v>1</v>
      </c>
      <c r="AI209" s="276">
        <f t="shared" si="46"/>
        <v>0</v>
      </c>
      <c r="AJ209">
        <f t="shared" si="47"/>
        <v>0</v>
      </c>
      <c r="AK209">
        <f t="shared" si="48"/>
        <v>-1</v>
      </c>
      <c r="AL209">
        <f t="shared" si="49"/>
        <v>0</v>
      </c>
      <c r="AM209">
        <f t="shared" si="50"/>
        <v>0</v>
      </c>
      <c r="AN209">
        <f t="shared" si="51"/>
        <v>0</v>
      </c>
      <c r="AO209">
        <f t="shared" si="52"/>
        <v>0</v>
      </c>
      <c r="AP209">
        <f t="shared" si="53"/>
        <v>0</v>
      </c>
      <c r="AQ209">
        <f t="shared" si="54"/>
        <v>0</v>
      </c>
      <c r="AR209" s="276">
        <f t="shared" si="55"/>
        <v>-1</v>
      </c>
      <c r="AT209" s="278"/>
      <c r="AU209" s="274">
        <v>-0.25</v>
      </c>
      <c r="AV209" s="274">
        <v>-0.25</v>
      </c>
      <c r="AW209" s="274">
        <v>-0.25</v>
      </c>
      <c r="AX209" s="274">
        <v>-0.25</v>
      </c>
      <c r="AY209" s="279"/>
      <c r="BD209" s="279"/>
      <c r="BK209" s="280">
        <f t="shared" si="56"/>
        <v>-1</v>
      </c>
      <c r="BL209" s="274">
        <f t="shared" si="57"/>
        <v>-1</v>
      </c>
      <c r="BP209" s="281">
        <v>513128</v>
      </c>
      <c r="BQ209" s="281">
        <v>171220</v>
      </c>
      <c r="BR209" s="296" t="s">
        <v>183</v>
      </c>
      <c r="BS209" t="s">
        <v>162</v>
      </c>
      <c r="BT209"/>
      <c r="BU209"/>
      <c r="BV209"/>
      <c r="BW209"/>
      <c r="BX209"/>
      <c r="BY209"/>
      <c r="BZ209"/>
      <c r="CA209"/>
      <c r="CB209" t="s">
        <v>189</v>
      </c>
    </row>
    <row r="210" spans="1:81" ht="15" customHeight="1" x14ac:dyDescent="0.25">
      <c r="A210" s="282" t="s">
        <v>1212</v>
      </c>
      <c r="B210" s="282" t="s">
        <v>444</v>
      </c>
      <c r="C210" s="282"/>
      <c r="D210" s="243">
        <v>45377</v>
      </c>
      <c r="E210" s="243">
        <v>46472</v>
      </c>
      <c r="F210" s="288"/>
      <c r="G210" s="288"/>
      <c r="H210" s="274" t="s">
        <v>258</v>
      </c>
      <c r="I210" s="238" t="s">
        <v>303</v>
      </c>
      <c r="J210" s="282"/>
      <c r="K210" s="282"/>
      <c r="L210" s="282"/>
      <c r="M210" s="242" t="s">
        <v>1213</v>
      </c>
      <c r="N210" s="282" t="s">
        <v>1214</v>
      </c>
      <c r="O210" s="282" t="s">
        <v>1215</v>
      </c>
      <c r="P210" s="282"/>
      <c r="Q210" s="282"/>
      <c r="R210" s="282"/>
      <c r="S210" s="282"/>
      <c r="T210" s="283">
        <v>1</v>
      </c>
      <c r="U210" s="282"/>
      <c r="V210" s="282"/>
      <c r="W210" s="282"/>
      <c r="X210" s="282"/>
      <c r="Y210" s="276">
        <f>SUM(Q210:X210)</f>
        <v>1</v>
      </c>
      <c r="Z210" s="282"/>
      <c r="AA210" s="282"/>
      <c r="AB210" s="282"/>
      <c r="AC210" s="282"/>
      <c r="AD210" s="283">
        <v>1</v>
      </c>
      <c r="AE210" s="282"/>
      <c r="AF210" s="282"/>
      <c r="AG210" s="282"/>
      <c r="AH210" s="282"/>
      <c r="AI210" s="276">
        <f t="shared" si="46"/>
        <v>1</v>
      </c>
      <c r="AJ210">
        <f t="shared" si="47"/>
        <v>0</v>
      </c>
      <c r="AK210">
        <f t="shared" si="48"/>
        <v>0</v>
      </c>
      <c r="AL210">
        <f t="shared" si="49"/>
        <v>0</v>
      </c>
      <c r="AM210">
        <f t="shared" si="50"/>
        <v>0</v>
      </c>
      <c r="AN210">
        <f t="shared" si="51"/>
        <v>0</v>
      </c>
      <c r="AO210">
        <f t="shared" si="52"/>
        <v>0</v>
      </c>
      <c r="AP210">
        <f t="shared" si="53"/>
        <v>0</v>
      </c>
      <c r="AQ210">
        <f t="shared" si="54"/>
        <v>0</v>
      </c>
      <c r="AR210" s="276">
        <f t="shared" si="55"/>
        <v>0</v>
      </c>
      <c r="AT210" s="278"/>
      <c r="AU210" s="274">
        <v>0</v>
      </c>
      <c r="AY210" s="279"/>
      <c r="BD210" s="279"/>
      <c r="BK210" s="280">
        <f t="shared" si="56"/>
        <v>0</v>
      </c>
      <c r="BL210" s="274">
        <f t="shared" si="57"/>
        <v>0</v>
      </c>
      <c r="BM210" s="282"/>
      <c r="BN210" s="282"/>
      <c r="BO210" s="294"/>
      <c r="BP210" s="284">
        <v>518153</v>
      </c>
      <c r="BQ210" s="284">
        <v>172943</v>
      </c>
      <c r="BR210" s="296" t="s">
        <v>182</v>
      </c>
      <c r="BS210" t="s">
        <v>160</v>
      </c>
      <c r="BT210"/>
      <c r="BU210"/>
      <c r="BV210"/>
      <c r="BW210"/>
      <c r="BX210"/>
      <c r="BY210" t="s">
        <v>746</v>
      </c>
      <c r="BZ210" t="s">
        <v>325</v>
      </c>
      <c r="CA210"/>
      <c r="CB210" t="s">
        <v>188</v>
      </c>
      <c r="CC210" s="282"/>
    </row>
    <row r="211" spans="1:81" ht="15" customHeight="1" x14ac:dyDescent="0.25">
      <c r="A211" s="274" t="s">
        <v>1216</v>
      </c>
      <c r="B211" s="277" t="s">
        <v>459</v>
      </c>
      <c r="D211" s="275">
        <v>44509</v>
      </c>
      <c r="E211" s="275">
        <v>45605</v>
      </c>
      <c r="H211" s="274" t="s">
        <v>258</v>
      </c>
      <c r="I211" s="238" t="s">
        <v>303</v>
      </c>
      <c r="M211" s="277" t="s">
        <v>1217</v>
      </c>
      <c r="N211" s="277" t="s">
        <v>1218</v>
      </c>
      <c r="O211" s="276" t="s">
        <v>1219</v>
      </c>
      <c r="Q211" s="276">
        <v>1</v>
      </c>
      <c r="Y211" s="276">
        <f t="shared" ref="Y211:Y247" si="58">SUM(Q211:X211)</f>
        <v>1</v>
      </c>
      <c r="AI211" s="276">
        <f t="shared" ref="AI211:AI242" si="59">SUM(AA211:AH211)</f>
        <v>0</v>
      </c>
      <c r="AJ211">
        <f t="shared" si="47"/>
        <v>-1</v>
      </c>
      <c r="AK211">
        <f t="shared" si="48"/>
        <v>0</v>
      </c>
      <c r="AL211">
        <f t="shared" si="49"/>
        <v>0</v>
      </c>
      <c r="AM211">
        <f t="shared" si="50"/>
        <v>0</v>
      </c>
      <c r="AN211">
        <f t="shared" si="51"/>
        <v>0</v>
      </c>
      <c r="AO211">
        <f t="shared" si="52"/>
        <v>0</v>
      </c>
      <c r="AP211">
        <f t="shared" si="53"/>
        <v>0</v>
      </c>
      <c r="AQ211">
        <f t="shared" si="54"/>
        <v>0</v>
      </c>
      <c r="AR211" s="276">
        <f t="shared" si="55"/>
        <v>-1</v>
      </c>
      <c r="AT211" s="278"/>
      <c r="AU211" s="274">
        <v>-0.25</v>
      </c>
      <c r="AV211" s="274">
        <v>-0.25</v>
      </c>
      <c r="AW211" s="274">
        <v>-0.25</v>
      </c>
      <c r="AX211" s="274">
        <v>-0.25</v>
      </c>
      <c r="AY211" s="279"/>
      <c r="BD211" s="279"/>
      <c r="BK211" s="280">
        <f t="shared" si="56"/>
        <v>-1</v>
      </c>
      <c r="BL211" s="274">
        <f t="shared" si="57"/>
        <v>-1</v>
      </c>
      <c r="BP211" s="281">
        <v>522822</v>
      </c>
      <c r="BQ211" s="281">
        <v>177807</v>
      </c>
      <c r="BR211" s="296" t="s">
        <v>181</v>
      </c>
      <c r="BS211" t="s">
        <v>158</v>
      </c>
      <c r="BT211"/>
      <c r="BU211"/>
      <c r="BV211" t="s">
        <v>1220</v>
      </c>
      <c r="BW211" t="s">
        <v>325</v>
      </c>
      <c r="BX211"/>
      <c r="BY211" t="s">
        <v>1221</v>
      </c>
      <c r="BZ211" t="s">
        <v>325</v>
      </c>
      <c r="CA211" t="s">
        <v>325</v>
      </c>
      <c r="CB211" t="s">
        <v>158</v>
      </c>
    </row>
    <row r="212" spans="1:81" ht="15" customHeight="1" x14ac:dyDescent="0.25">
      <c r="A212" s="274" t="s">
        <v>1222</v>
      </c>
      <c r="B212" s="277" t="s">
        <v>459</v>
      </c>
      <c r="C212" s="274" t="s">
        <v>293</v>
      </c>
      <c r="D212" s="275">
        <v>45145</v>
      </c>
      <c r="E212" s="275">
        <v>46241</v>
      </c>
      <c r="H212" s="274" t="s">
        <v>258</v>
      </c>
      <c r="I212" s="238" t="s">
        <v>303</v>
      </c>
      <c r="M212" s="277" t="s">
        <v>1223</v>
      </c>
      <c r="N212" s="277" t="s">
        <v>1224</v>
      </c>
      <c r="O212" s="276" t="s">
        <v>1225</v>
      </c>
      <c r="Y212" s="276">
        <f t="shared" si="58"/>
        <v>0</v>
      </c>
      <c r="AB212" s="276">
        <v>1</v>
      </c>
      <c r="AI212" s="276">
        <f t="shared" si="59"/>
        <v>1</v>
      </c>
      <c r="AJ212">
        <f t="shared" si="47"/>
        <v>0</v>
      </c>
      <c r="AK212">
        <f t="shared" si="48"/>
        <v>1</v>
      </c>
      <c r="AL212">
        <f t="shared" si="49"/>
        <v>0</v>
      </c>
      <c r="AM212">
        <f t="shared" si="50"/>
        <v>0</v>
      </c>
      <c r="AN212">
        <f t="shared" si="51"/>
        <v>0</v>
      </c>
      <c r="AO212">
        <f t="shared" si="52"/>
        <v>0</v>
      </c>
      <c r="AP212">
        <f t="shared" si="53"/>
        <v>0</v>
      </c>
      <c r="AQ212">
        <f t="shared" si="54"/>
        <v>0</v>
      </c>
      <c r="AR212" s="276">
        <f t="shared" si="55"/>
        <v>1</v>
      </c>
      <c r="AT212" s="278"/>
      <c r="AV212" s="274">
        <v>1</v>
      </c>
      <c r="AY212" s="279"/>
      <c r="BD212" s="279"/>
      <c r="BK212" s="280">
        <f t="shared" si="56"/>
        <v>1</v>
      </c>
      <c r="BL212" s="274">
        <f t="shared" si="57"/>
        <v>1</v>
      </c>
      <c r="BP212" s="281">
        <v>515085</v>
      </c>
      <c r="BQ212" s="281">
        <v>172681</v>
      </c>
      <c r="BR212" s="296" t="s">
        <v>145</v>
      </c>
      <c r="BS212" t="s">
        <v>172</v>
      </c>
      <c r="BT212"/>
      <c r="BU212"/>
      <c r="BV212" t="s">
        <v>498</v>
      </c>
      <c r="BW212" t="s">
        <v>325</v>
      </c>
      <c r="BX212"/>
      <c r="BY212"/>
      <c r="BZ212"/>
      <c r="CA212" t="s">
        <v>325</v>
      </c>
      <c r="CB212" t="s">
        <v>193</v>
      </c>
    </row>
    <row r="213" spans="1:81" ht="15" customHeight="1" x14ac:dyDescent="0.25">
      <c r="A213" s="274" t="s">
        <v>1226</v>
      </c>
      <c r="B213" s="277" t="s">
        <v>542</v>
      </c>
      <c r="D213" s="275">
        <v>45239</v>
      </c>
      <c r="E213" s="275">
        <v>46335</v>
      </c>
      <c r="H213" s="274" t="s">
        <v>258</v>
      </c>
      <c r="I213" s="238" t="s">
        <v>303</v>
      </c>
      <c r="M213" s="277" t="s">
        <v>1227</v>
      </c>
      <c r="N213" s="277" t="s">
        <v>1228</v>
      </c>
      <c r="O213" s="276" t="s">
        <v>1229</v>
      </c>
      <c r="Q213" s="276">
        <v>1</v>
      </c>
      <c r="Y213" s="276">
        <f t="shared" si="58"/>
        <v>1</v>
      </c>
      <c r="AA213" s="276">
        <v>7</v>
      </c>
      <c r="AC213" s="276">
        <v>1</v>
      </c>
      <c r="AI213" s="276">
        <f t="shared" si="59"/>
        <v>8</v>
      </c>
      <c r="AJ213">
        <f t="shared" si="47"/>
        <v>6</v>
      </c>
      <c r="AK213">
        <f t="shared" si="48"/>
        <v>0</v>
      </c>
      <c r="AL213">
        <f t="shared" si="49"/>
        <v>1</v>
      </c>
      <c r="AM213">
        <f t="shared" si="50"/>
        <v>0</v>
      </c>
      <c r="AN213">
        <f t="shared" si="51"/>
        <v>0</v>
      </c>
      <c r="AO213">
        <f t="shared" si="52"/>
        <v>0</v>
      </c>
      <c r="AP213">
        <f t="shared" si="53"/>
        <v>0</v>
      </c>
      <c r="AQ213">
        <f t="shared" si="54"/>
        <v>0</v>
      </c>
      <c r="AR213" s="276">
        <f t="shared" si="55"/>
        <v>7</v>
      </c>
      <c r="AT213" s="278"/>
      <c r="AU213" s="274">
        <v>1.75</v>
      </c>
      <c r="AV213" s="274">
        <v>1.75</v>
      </c>
      <c r="AW213" s="274">
        <v>1.75</v>
      </c>
      <c r="AX213" s="274">
        <v>1.75</v>
      </c>
      <c r="AY213" s="279"/>
      <c r="BD213" s="279"/>
      <c r="BK213" s="280">
        <f t="shared" si="56"/>
        <v>7</v>
      </c>
      <c r="BL213" s="274">
        <f t="shared" si="57"/>
        <v>7</v>
      </c>
      <c r="BP213" s="281">
        <v>517534</v>
      </c>
      <c r="BQ213" s="281">
        <v>169493</v>
      </c>
      <c r="BR213" s="296" t="s">
        <v>183</v>
      </c>
      <c r="BS213" t="s">
        <v>163</v>
      </c>
      <c r="BT213"/>
      <c r="BU213"/>
      <c r="BV213" t="s">
        <v>790</v>
      </c>
      <c r="BW213" t="s">
        <v>325</v>
      </c>
      <c r="BX213"/>
      <c r="BY213" t="s">
        <v>791</v>
      </c>
      <c r="BZ213" t="s">
        <v>325</v>
      </c>
      <c r="CA213" t="s">
        <v>325</v>
      </c>
      <c r="CB213" t="s">
        <v>192</v>
      </c>
    </row>
    <row r="214" spans="1:81" ht="15" customHeight="1" x14ac:dyDescent="0.25">
      <c r="A214" s="274" t="s">
        <v>1230</v>
      </c>
      <c r="B214" s="277" t="s">
        <v>459</v>
      </c>
      <c r="D214" s="275">
        <v>44998</v>
      </c>
      <c r="E214" s="275">
        <v>46094</v>
      </c>
      <c r="H214" s="274" t="s">
        <v>258</v>
      </c>
      <c r="I214" s="238" t="s">
        <v>303</v>
      </c>
      <c r="M214" s="277" t="s">
        <v>1231</v>
      </c>
      <c r="N214" s="277" t="s">
        <v>1232</v>
      </c>
      <c r="O214" s="276" t="s">
        <v>1233</v>
      </c>
      <c r="Y214" s="276">
        <f t="shared" si="58"/>
        <v>0</v>
      </c>
      <c r="AA214" s="276">
        <v>1</v>
      </c>
      <c r="AI214" s="276">
        <f t="shared" si="59"/>
        <v>1</v>
      </c>
      <c r="AJ214">
        <f t="shared" si="47"/>
        <v>1</v>
      </c>
      <c r="AK214">
        <f t="shared" si="48"/>
        <v>0</v>
      </c>
      <c r="AL214">
        <f t="shared" si="49"/>
        <v>0</v>
      </c>
      <c r="AM214">
        <f t="shared" si="50"/>
        <v>0</v>
      </c>
      <c r="AN214">
        <f t="shared" si="51"/>
        <v>0</v>
      </c>
      <c r="AO214">
        <f t="shared" si="52"/>
        <v>0</v>
      </c>
      <c r="AP214">
        <f t="shared" si="53"/>
        <v>0</v>
      </c>
      <c r="AQ214">
        <f t="shared" si="54"/>
        <v>0</v>
      </c>
      <c r="AR214" s="276">
        <f t="shared" si="55"/>
        <v>1</v>
      </c>
      <c r="AT214" s="278"/>
      <c r="AU214" s="274">
        <v>0.25</v>
      </c>
      <c r="AV214" s="274">
        <v>0.25</v>
      </c>
      <c r="AW214" s="274">
        <v>0.25</v>
      </c>
      <c r="AX214" s="274">
        <v>0.25</v>
      </c>
      <c r="AY214" s="279"/>
      <c r="BD214" s="279"/>
      <c r="BK214" s="280">
        <f t="shared" si="56"/>
        <v>1</v>
      </c>
      <c r="BL214" s="274">
        <f t="shared" si="57"/>
        <v>1</v>
      </c>
      <c r="BP214" s="281">
        <v>521585</v>
      </c>
      <c r="BQ214" s="281">
        <v>176415</v>
      </c>
      <c r="BR214" s="296" t="s">
        <v>181</v>
      </c>
      <c r="BS214" t="s">
        <v>158</v>
      </c>
      <c r="BT214"/>
      <c r="BU214" t="s">
        <v>142</v>
      </c>
      <c r="BV214" t="s">
        <v>1234</v>
      </c>
      <c r="BW214" t="s">
        <v>325</v>
      </c>
      <c r="BX214"/>
      <c r="BY214" t="s">
        <v>727</v>
      </c>
      <c r="BZ214" t="s">
        <v>325</v>
      </c>
      <c r="CA214" t="s">
        <v>325</v>
      </c>
      <c r="CB214" t="s">
        <v>158</v>
      </c>
    </row>
    <row r="215" spans="1:81" ht="15" customHeight="1" x14ac:dyDescent="0.25">
      <c r="A215" s="282" t="s">
        <v>1235</v>
      </c>
      <c r="B215" s="282" t="s">
        <v>532</v>
      </c>
      <c r="C215" s="282"/>
      <c r="D215" s="243">
        <v>45352</v>
      </c>
      <c r="E215" s="243">
        <v>46447</v>
      </c>
      <c r="F215" s="287"/>
      <c r="G215" s="287"/>
      <c r="H215" s="274" t="s">
        <v>258</v>
      </c>
      <c r="I215" s="238" t="s">
        <v>303</v>
      </c>
      <c r="J215" s="242"/>
      <c r="K215" s="242"/>
      <c r="L215" s="242"/>
      <c r="M215" s="242" t="s">
        <v>1236</v>
      </c>
      <c r="N215" s="242" t="s">
        <v>813</v>
      </c>
      <c r="O215" s="282" t="s">
        <v>814</v>
      </c>
      <c r="P215" s="282"/>
      <c r="Q215" s="242"/>
      <c r="R215" s="242"/>
      <c r="S215" s="242"/>
      <c r="T215" s="242"/>
      <c r="U215" s="242"/>
      <c r="V215" s="242"/>
      <c r="W215" s="242"/>
      <c r="X215" s="242"/>
      <c r="Y215" s="276">
        <f t="shared" si="58"/>
        <v>0</v>
      </c>
      <c r="Z215" s="282"/>
      <c r="AA215" s="283">
        <v>2</v>
      </c>
      <c r="AB215" s="242"/>
      <c r="AC215" s="242"/>
      <c r="AD215" s="242"/>
      <c r="AE215" s="242"/>
      <c r="AF215" s="242"/>
      <c r="AG215" s="242"/>
      <c r="AH215" s="242"/>
      <c r="AI215" s="276">
        <f t="shared" si="59"/>
        <v>2</v>
      </c>
      <c r="AJ215">
        <f t="shared" si="47"/>
        <v>2</v>
      </c>
      <c r="AK215">
        <f t="shared" si="48"/>
        <v>0</v>
      </c>
      <c r="AL215">
        <f t="shared" si="49"/>
        <v>0</v>
      </c>
      <c r="AM215">
        <f t="shared" si="50"/>
        <v>0</v>
      </c>
      <c r="AN215">
        <f t="shared" si="51"/>
        <v>0</v>
      </c>
      <c r="AO215">
        <f t="shared" si="52"/>
        <v>0</v>
      </c>
      <c r="AP215">
        <f t="shared" si="53"/>
        <v>0</v>
      </c>
      <c r="AQ215">
        <f t="shared" si="54"/>
        <v>0</v>
      </c>
      <c r="AR215" s="276">
        <f t="shared" si="55"/>
        <v>2</v>
      </c>
      <c r="AT215" s="278"/>
      <c r="AU215" s="274">
        <v>0.5</v>
      </c>
      <c r="AV215" s="274">
        <v>0.5</v>
      </c>
      <c r="AW215" s="274">
        <v>0.5</v>
      </c>
      <c r="AX215" s="274">
        <v>0.5</v>
      </c>
      <c r="AY215" s="279"/>
      <c r="BD215" s="279"/>
      <c r="BK215" s="280">
        <f t="shared" si="56"/>
        <v>2</v>
      </c>
      <c r="BL215" s="274">
        <f t="shared" si="57"/>
        <v>2</v>
      </c>
      <c r="BM215" s="282"/>
      <c r="BN215" s="282"/>
      <c r="BO215" s="294"/>
      <c r="BP215" s="284">
        <v>514515</v>
      </c>
      <c r="BQ215" s="284">
        <v>171261</v>
      </c>
      <c r="BR215" s="296" t="s">
        <v>183</v>
      </c>
      <c r="BS215" t="s">
        <v>159</v>
      </c>
      <c r="BT215"/>
      <c r="BU215"/>
      <c r="BV215" t="s">
        <v>739</v>
      </c>
      <c r="BW215" t="s">
        <v>325</v>
      </c>
      <c r="BX215"/>
      <c r="BY215"/>
      <c r="BZ215"/>
      <c r="CA215" t="s">
        <v>325</v>
      </c>
      <c r="CB215" t="s">
        <v>189</v>
      </c>
      <c r="CC215" s="282"/>
    </row>
    <row r="216" spans="1:81" ht="15" customHeight="1" x14ac:dyDescent="0.25">
      <c r="A216" s="274" t="s">
        <v>1237</v>
      </c>
      <c r="B216" s="277" t="s">
        <v>542</v>
      </c>
      <c r="D216" s="275">
        <v>45187</v>
      </c>
      <c r="E216" s="275">
        <v>46283</v>
      </c>
      <c r="H216" s="274" t="s">
        <v>258</v>
      </c>
      <c r="I216" s="238" t="s">
        <v>303</v>
      </c>
      <c r="M216" s="277" t="s">
        <v>1238</v>
      </c>
      <c r="N216" s="277" t="s">
        <v>1239</v>
      </c>
      <c r="O216" s="276" t="s">
        <v>1240</v>
      </c>
      <c r="S216" s="276">
        <v>1</v>
      </c>
      <c r="Y216" s="276">
        <f t="shared" si="58"/>
        <v>1</v>
      </c>
      <c r="AA216" s="276">
        <v>8</v>
      </c>
      <c r="AI216" s="276">
        <f t="shared" si="59"/>
        <v>8</v>
      </c>
      <c r="AJ216">
        <f t="shared" si="47"/>
        <v>8</v>
      </c>
      <c r="AK216">
        <f t="shared" si="48"/>
        <v>0</v>
      </c>
      <c r="AL216">
        <f t="shared" si="49"/>
        <v>-1</v>
      </c>
      <c r="AM216">
        <f t="shared" si="50"/>
        <v>0</v>
      </c>
      <c r="AN216">
        <f t="shared" si="51"/>
        <v>0</v>
      </c>
      <c r="AO216">
        <f t="shared" si="52"/>
        <v>0</v>
      </c>
      <c r="AP216">
        <f t="shared" si="53"/>
        <v>0</v>
      </c>
      <c r="AQ216">
        <f t="shared" si="54"/>
        <v>0</v>
      </c>
      <c r="AR216" s="276">
        <f t="shared" si="55"/>
        <v>7</v>
      </c>
      <c r="AT216" s="278"/>
      <c r="AU216" s="274">
        <v>1.75</v>
      </c>
      <c r="AV216" s="274">
        <v>1.75</v>
      </c>
      <c r="AW216" s="274">
        <v>1.75</v>
      </c>
      <c r="AX216" s="274">
        <v>1.75</v>
      </c>
      <c r="AY216" s="279"/>
      <c r="BD216" s="279"/>
      <c r="BK216" s="280">
        <f t="shared" si="56"/>
        <v>7</v>
      </c>
      <c r="BL216" s="274">
        <f t="shared" si="57"/>
        <v>7</v>
      </c>
      <c r="BP216" s="281">
        <v>514554</v>
      </c>
      <c r="BQ216" s="281">
        <v>171263</v>
      </c>
      <c r="BR216" s="296" t="s">
        <v>183</v>
      </c>
      <c r="BS216" t="s">
        <v>159</v>
      </c>
      <c r="BT216"/>
      <c r="BU216"/>
      <c r="BV216" t="s">
        <v>739</v>
      </c>
      <c r="BW216" t="s">
        <v>325</v>
      </c>
      <c r="BX216"/>
      <c r="BY216"/>
      <c r="BZ216"/>
      <c r="CA216" t="s">
        <v>325</v>
      </c>
      <c r="CB216" t="s">
        <v>189</v>
      </c>
    </row>
    <row r="217" spans="1:81" ht="15" customHeight="1" x14ac:dyDescent="0.25">
      <c r="A217" s="274" t="s">
        <v>1241</v>
      </c>
      <c r="B217" s="277" t="s">
        <v>459</v>
      </c>
      <c r="C217" s="274" t="s">
        <v>293</v>
      </c>
      <c r="D217" s="275">
        <v>45070</v>
      </c>
      <c r="E217" s="275">
        <v>46166</v>
      </c>
      <c r="H217" s="274" t="s">
        <v>258</v>
      </c>
      <c r="I217" s="238" t="s">
        <v>303</v>
      </c>
      <c r="M217" s="277" t="s">
        <v>1242</v>
      </c>
      <c r="N217" s="277" t="s">
        <v>1243</v>
      </c>
      <c r="O217" s="276" t="s">
        <v>508</v>
      </c>
      <c r="Y217" s="276">
        <f t="shared" si="58"/>
        <v>0</v>
      </c>
      <c r="AA217" s="276">
        <v>1</v>
      </c>
      <c r="AI217" s="276">
        <f t="shared" si="59"/>
        <v>1</v>
      </c>
      <c r="AJ217">
        <f t="shared" si="47"/>
        <v>1</v>
      </c>
      <c r="AK217">
        <f t="shared" si="48"/>
        <v>0</v>
      </c>
      <c r="AL217">
        <f t="shared" si="49"/>
        <v>0</v>
      </c>
      <c r="AM217">
        <f t="shared" si="50"/>
        <v>0</v>
      </c>
      <c r="AN217">
        <f t="shared" si="51"/>
        <v>0</v>
      </c>
      <c r="AO217">
        <f t="shared" si="52"/>
        <v>0</v>
      </c>
      <c r="AP217">
        <f t="shared" si="53"/>
        <v>0</v>
      </c>
      <c r="AQ217">
        <f t="shared" si="54"/>
        <v>0</v>
      </c>
      <c r="AR217" s="276">
        <f t="shared" si="55"/>
        <v>1</v>
      </c>
      <c r="AT217" s="278"/>
      <c r="AV217" s="274">
        <v>1</v>
      </c>
      <c r="AY217" s="279"/>
      <c r="BD217" s="279"/>
      <c r="BK217" s="280">
        <f t="shared" si="56"/>
        <v>1</v>
      </c>
      <c r="BL217" s="274">
        <f t="shared" si="57"/>
        <v>1</v>
      </c>
      <c r="BP217" s="281">
        <v>521457</v>
      </c>
      <c r="BQ217" s="281">
        <v>175623</v>
      </c>
      <c r="BR217" s="296" t="s">
        <v>181</v>
      </c>
      <c r="BS217" t="s">
        <v>166</v>
      </c>
      <c r="BT217"/>
      <c r="BU217"/>
      <c r="BV217" t="s">
        <v>509</v>
      </c>
      <c r="BW217" t="s">
        <v>325</v>
      </c>
      <c r="BX217"/>
      <c r="BY217"/>
      <c r="BZ217"/>
      <c r="CA217" t="s">
        <v>325</v>
      </c>
      <c r="CB217" t="s">
        <v>158</v>
      </c>
    </row>
    <row r="218" spans="1:81" ht="15" customHeight="1" x14ac:dyDescent="0.25">
      <c r="A218" s="274" t="s">
        <v>1244</v>
      </c>
      <c r="B218" s="277" t="s">
        <v>532</v>
      </c>
      <c r="D218" s="275">
        <v>44411</v>
      </c>
      <c r="E218" s="275">
        <v>45507</v>
      </c>
      <c r="H218" s="274" t="s">
        <v>258</v>
      </c>
      <c r="I218" s="238" t="s">
        <v>303</v>
      </c>
      <c r="M218" s="277" t="s">
        <v>1245</v>
      </c>
      <c r="N218" s="277" t="s">
        <v>1246</v>
      </c>
      <c r="O218" s="276" t="s">
        <v>1247</v>
      </c>
      <c r="Y218" s="276">
        <f t="shared" si="58"/>
        <v>0</v>
      </c>
      <c r="AB218" s="276">
        <v>1</v>
      </c>
      <c r="AI218" s="276">
        <f t="shared" si="59"/>
        <v>1</v>
      </c>
      <c r="AJ218">
        <f t="shared" si="47"/>
        <v>0</v>
      </c>
      <c r="AK218">
        <f t="shared" si="48"/>
        <v>1</v>
      </c>
      <c r="AL218">
        <f t="shared" si="49"/>
        <v>0</v>
      </c>
      <c r="AM218">
        <f t="shared" si="50"/>
        <v>0</v>
      </c>
      <c r="AN218">
        <f t="shared" si="51"/>
        <v>0</v>
      </c>
      <c r="AO218">
        <f t="shared" si="52"/>
        <v>0</v>
      </c>
      <c r="AP218">
        <f t="shared" si="53"/>
        <v>0</v>
      </c>
      <c r="AQ218">
        <f t="shared" si="54"/>
        <v>0</v>
      </c>
      <c r="AR218" s="276">
        <f t="shared" si="55"/>
        <v>1</v>
      </c>
      <c r="AT218" s="278"/>
      <c r="AU218" s="274">
        <v>0.25</v>
      </c>
      <c r="AV218" s="274">
        <v>0.25</v>
      </c>
      <c r="AW218" s="274">
        <v>0.25</v>
      </c>
      <c r="AX218" s="274">
        <v>0.25</v>
      </c>
      <c r="AY218" s="279"/>
      <c r="BD218" s="279"/>
      <c r="BK218" s="280">
        <f t="shared" si="56"/>
        <v>1</v>
      </c>
      <c r="BL218" s="274">
        <f t="shared" si="57"/>
        <v>1</v>
      </c>
      <c r="BP218" s="281">
        <v>516925</v>
      </c>
      <c r="BQ218" s="281">
        <v>174069</v>
      </c>
      <c r="BR218" s="296" t="s">
        <v>145</v>
      </c>
      <c r="BS218" t="s">
        <v>170</v>
      </c>
      <c r="BT218"/>
      <c r="BU218"/>
      <c r="BV218" t="s">
        <v>520</v>
      </c>
      <c r="BW218" t="s">
        <v>325</v>
      </c>
      <c r="BX218"/>
      <c r="BY218"/>
      <c r="BZ218"/>
      <c r="CA218" t="s">
        <v>325</v>
      </c>
      <c r="CB218" t="s">
        <v>193</v>
      </c>
    </row>
    <row r="219" spans="1:81" ht="15" customHeight="1" x14ac:dyDescent="0.25">
      <c r="A219" s="274" t="s">
        <v>1248</v>
      </c>
      <c r="B219" s="277" t="s">
        <v>459</v>
      </c>
      <c r="C219" s="274" t="s">
        <v>293</v>
      </c>
      <c r="D219" s="275">
        <v>44712</v>
      </c>
      <c r="E219" s="275">
        <v>45808</v>
      </c>
      <c r="H219" s="274" t="s">
        <v>258</v>
      </c>
      <c r="I219" s="238" t="s">
        <v>303</v>
      </c>
      <c r="M219" s="277" t="s">
        <v>1249</v>
      </c>
      <c r="N219" s="277" t="s">
        <v>1250</v>
      </c>
      <c r="O219" s="276" t="s">
        <v>1251</v>
      </c>
      <c r="Y219" s="276">
        <f t="shared" si="58"/>
        <v>0</v>
      </c>
      <c r="AB219" s="276">
        <v>1</v>
      </c>
      <c r="AI219" s="276">
        <f t="shared" si="59"/>
        <v>1</v>
      </c>
      <c r="AJ219">
        <f t="shared" si="47"/>
        <v>0</v>
      </c>
      <c r="AK219">
        <f t="shared" si="48"/>
        <v>1</v>
      </c>
      <c r="AL219">
        <f t="shared" si="49"/>
        <v>0</v>
      </c>
      <c r="AM219">
        <f t="shared" si="50"/>
        <v>0</v>
      </c>
      <c r="AN219">
        <f t="shared" si="51"/>
        <v>0</v>
      </c>
      <c r="AO219">
        <f t="shared" si="52"/>
        <v>0</v>
      </c>
      <c r="AP219">
        <f t="shared" si="53"/>
        <v>0</v>
      </c>
      <c r="AQ219">
        <f t="shared" si="54"/>
        <v>0</v>
      </c>
      <c r="AR219" s="276">
        <f t="shared" si="55"/>
        <v>1</v>
      </c>
      <c r="AT219" s="278"/>
      <c r="AV219" s="274">
        <v>1</v>
      </c>
      <c r="AY219" s="279"/>
      <c r="BD219" s="279"/>
      <c r="BK219" s="280">
        <f t="shared" si="56"/>
        <v>1</v>
      </c>
      <c r="BL219" s="274">
        <f t="shared" si="57"/>
        <v>1</v>
      </c>
      <c r="BP219" s="281">
        <v>516837</v>
      </c>
      <c r="BQ219" s="281">
        <v>174180</v>
      </c>
      <c r="BR219" s="296" t="s">
        <v>145</v>
      </c>
      <c r="BS219" t="s">
        <v>170</v>
      </c>
      <c r="BT219"/>
      <c r="BU219"/>
      <c r="BV219" t="s">
        <v>520</v>
      </c>
      <c r="BW219" t="s">
        <v>325</v>
      </c>
      <c r="BX219"/>
      <c r="BY219" t="s">
        <v>521</v>
      </c>
      <c r="BZ219" t="s">
        <v>325</v>
      </c>
      <c r="CA219" t="s">
        <v>325</v>
      </c>
      <c r="CB219" t="s">
        <v>193</v>
      </c>
    </row>
    <row r="220" spans="1:81" ht="15" customHeight="1" x14ac:dyDescent="0.25">
      <c r="A220" s="274" t="s">
        <v>1252</v>
      </c>
      <c r="B220" s="277" t="s">
        <v>459</v>
      </c>
      <c r="D220" s="275">
        <v>44701</v>
      </c>
      <c r="E220" s="275">
        <v>45797</v>
      </c>
      <c r="H220" s="274" t="s">
        <v>258</v>
      </c>
      <c r="I220" s="238" t="s">
        <v>303</v>
      </c>
      <c r="M220" s="277" t="s">
        <v>1253</v>
      </c>
      <c r="N220" s="277" t="s">
        <v>1254</v>
      </c>
      <c r="O220" s="276" t="s">
        <v>1255</v>
      </c>
      <c r="Y220" s="276">
        <f t="shared" si="58"/>
        <v>0</v>
      </c>
      <c r="AA220" s="276">
        <v>1</v>
      </c>
      <c r="AI220" s="276">
        <f t="shared" si="59"/>
        <v>1</v>
      </c>
      <c r="AJ220">
        <f t="shared" si="47"/>
        <v>1</v>
      </c>
      <c r="AK220">
        <f t="shared" si="48"/>
        <v>0</v>
      </c>
      <c r="AL220">
        <f t="shared" si="49"/>
        <v>0</v>
      </c>
      <c r="AM220">
        <f t="shared" si="50"/>
        <v>0</v>
      </c>
      <c r="AN220">
        <f t="shared" si="51"/>
        <v>0</v>
      </c>
      <c r="AO220">
        <f t="shared" si="52"/>
        <v>0</v>
      </c>
      <c r="AP220">
        <f t="shared" si="53"/>
        <v>0</v>
      </c>
      <c r="AQ220">
        <f t="shared" si="54"/>
        <v>0</v>
      </c>
      <c r="AR220" s="276">
        <f t="shared" si="55"/>
        <v>1</v>
      </c>
      <c r="AT220" s="278"/>
      <c r="AU220" s="274">
        <v>0.25</v>
      </c>
      <c r="AV220" s="274">
        <v>0.25</v>
      </c>
      <c r="AW220" s="274">
        <v>0.25</v>
      </c>
      <c r="AX220" s="274">
        <v>0.25</v>
      </c>
      <c r="AY220" s="279"/>
      <c r="BD220" s="279"/>
      <c r="BK220" s="280">
        <f t="shared" si="56"/>
        <v>1</v>
      </c>
      <c r="BL220" s="274">
        <f t="shared" si="57"/>
        <v>1</v>
      </c>
      <c r="BP220" s="281">
        <v>515093</v>
      </c>
      <c r="BQ220" s="281">
        <v>171528</v>
      </c>
      <c r="BR220" s="296" t="s">
        <v>183</v>
      </c>
      <c r="BS220" t="s">
        <v>159</v>
      </c>
      <c r="BT220"/>
      <c r="BU220"/>
      <c r="BV220" t="s">
        <v>1256</v>
      </c>
      <c r="BW220" t="s">
        <v>325</v>
      </c>
      <c r="BX220"/>
      <c r="BY220"/>
      <c r="BZ220"/>
      <c r="CA220" t="s">
        <v>325</v>
      </c>
      <c r="CB220" t="s">
        <v>192</v>
      </c>
    </row>
    <row r="221" spans="1:81" ht="15" customHeight="1" x14ac:dyDescent="0.25">
      <c r="A221" s="274" t="s">
        <v>1257</v>
      </c>
      <c r="B221" s="277" t="s">
        <v>459</v>
      </c>
      <c r="D221" s="275">
        <v>44134</v>
      </c>
      <c r="E221" s="275">
        <v>45558</v>
      </c>
      <c r="F221" s="275"/>
      <c r="H221" s="274" t="s">
        <v>258</v>
      </c>
      <c r="I221" s="238" t="s">
        <v>303</v>
      </c>
      <c r="M221" s="277" t="s">
        <v>1258</v>
      </c>
      <c r="N221" s="277" t="s">
        <v>1259</v>
      </c>
      <c r="O221" s="276" t="s">
        <v>826</v>
      </c>
      <c r="Q221" s="276">
        <v>1</v>
      </c>
      <c r="Y221" s="276">
        <f t="shared" si="58"/>
        <v>1</v>
      </c>
      <c r="AB221" s="276">
        <v>1</v>
      </c>
      <c r="AI221" s="276">
        <f t="shared" si="59"/>
        <v>1</v>
      </c>
      <c r="AJ221">
        <f t="shared" si="47"/>
        <v>-1</v>
      </c>
      <c r="AK221">
        <f t="shared" si="48"/>
        <v>1</v>
      </c>
      <c r="AL221">
        <f t="shared" si="49"/>
        <v>0</v>
      </c>
      <c r="AM221">
        <f t="shared" si="50"/>
        <v>0</v>
      </c>
      <c r="AN221">
        <f t="shared" si="51"/>
        <v>0</v>
      </c>
      <c r="AO221">
        <f t="shared" si="52"/>
        <v>0</v>
      </c>
      <c r="AP221">
        <f t="shared" si="53"/>
        <v>0</v>
      </c>
      <c r="AQ221">
        <f t="shared" si="54"/>
        <v>0</v>
      </c>
      <c r="AR221" s="276">
        <f t="shared" si="55"/>
        <v>0</v>
      </c>
      <c r="AT221" s="278"/>
      <c r="AU221" s="274">
        <v>0</v>
      </c>
      <c r="AY221" s="279"/>
      <c r="BD221" s="279"/>
      <c r="BK221" s="280">
        <f t="shared" si="56"/>
        <v>0</v>
      </c>
      <c r="BL221" s="274">
        <f t="shared" si="57"/>
        <v>0</v>
      </c>
      <c r="BP221" s="281">
        <v>513893</v>
      </c>
      <c r="BQ221" s="281">
        <v>169502</v>
      </c>
      <c r="BR221" s="296" t="s">
        <v>183</v>
      </c>
      <c r="BS221" t="s">
        <v>161</v>
      </c>
      <c r="BT221"/>
      <c r="BU221" t="s">
        <v>142</v>
      </c>
      <c r="BV221" t="s">
        <v>827</v>
      </c>
      <c r="BW221" t="s">
        <v>325</v>
      </c>
      <c r="BX221"/>
      <c r="BY221" t="s">
        <v>457</v>
      </c>
      <c r="BZ221" t="s">
        <v>325</v>
      </c>
      <c r="CA221" t="s">
        <v>325</v>
      </c>
      <c r="CB221" t="s">
        <v>189</v>
      </c>
    </row>
    <row r="222" spans="1:81" ht="15" customHeight="1" x14ac:dyDescent="0.25">
      <c r="A222" s="274" t="s">
        <v>1260</v>
      </c>
      <c r="B222" s="277" t="s">
        <v>459</v>
      </c>
      <c r="D222" s="275">
        <v>45121</v>
      </c>
      <c r="E222" s="275">
        <v>46217</v>
      </c>
      <c r="F222" s="275">
        <v>45428</v>
      </c>
      <c r="H222" s="274" t="s">
        <v>258</v>
      </c>
      <c r="I222" s="238" t="s">
        <v>303</v>
      </c>
      <c r="M222" s="277" t="s">
        <v>1261</v>
      </c>
      <c r="N222" s="277" t="s">
        <v>1262</v>
      </c>
      <c r="O222" s="276" t="s">
        <v>1263</v>
      </c>
      <c r="Y222" s="276">
        <f t="shared" si="58"/>
        <v>0</v>
      </c>
      <c r="AA222" s="276">
        <v>3</v>
      </c>
      <c r="AI222" s="276">
        <f t="shared" si="59"/>
        <v>3</v>
      </c>
      <c r="AJ222">
        <f t="shared" si="47"/>
        <v>3</v>
      </c>
      <c r="AK222">
        <f t="shared" si="48"/>
        <v>0</v>
      </c>
      <c r="AL222">
        <f t="shared" si="49"/>
        <v>0</v>
      </c>
      <c r="AM222">
        <f t="shared" si="50"/>
        <v>0</v>
      </c>
      <c r="AN222">
        <f t="shared" si="51"/>
        <v>0</v>
      </c>
      <c r="AO222">
        <f t="shared" si="52"/>
        <v>0</v>
      </c>
      <c r="AP222">
        <f t="shared" si="53"/>
        <v>0</v>
      </c>
      <c r="AQ222">
        <f t="shared" si="54"/>
        <v>0</v>
      </c>
      <c r="AR222" s="276">
        <f t="shared" si="55"/>
        <v>3</v>
      </c>
      <c r="AT222" s="278"/>
      <c r="AU222" s="274">
        <v>1.5</v>
      </c>
      <c r="AV222" s="274">
        <v>1.5</v>
      </c>
      <c r="AY222" s="279"/>
      <c r="BD222" s="279"/>
      <c r="BK222" s="280">
        <f t="shared" si="56"/>
        <v>3</v>
      </c>
      <c r="BL222" s="274">
        <f t="shared" si="57"/>
        <v>3</v>
      </c>
      <c r="BP222" s="281">
        <v>513450</v>
      </c>
      <c r="BQ222" s="281">
        <v>169957</v>
      </c>
      <c r="BR222" s="296" t="s">
        <v>183</v>
      </c>
      <c r="BS222" t="s">
        <v>161</v>
      </c>
      <c r="BT222"/>
      <c r="BU222"/>
      <c r="BV222" t="s">
        <v>1264</v>
      </c>
      <c r="BW222" t="s">
        <v>325</v>
      </c>
      <c r="BX222"/>
      <c r="BY222"/>
      <c r="BZ222"/>
      <c r="CA222" t="s">
        <v>325</v>
      </c>
      <c r="CB222" t="s">
        <v>189</v>
      </c>
    </row>
    <row r="223" spans="1:81" ht="15" customHeight="1" x14ac:dyDescent="0.25">
      <c r="A223" s="274" t="s">
        <v>1265</v>
      </c>
      <c r="B223" s="277" t="s">
        <v>481</v>
      </c>
      <c r="D223" s="275">
        <v>45072</v>
      </c>
      <c r="E223" s="275">
        <v>46168</v>
      </c>
      <c r="H223" s="274" t="s">
        <v>258</v>
      </c>
      <c r="I223" s="238" t="s">
        <v>303</v>
      </c>
      <c r="M223" s="277" t="s">
        <v>1266</v>
      </c>
      <c r="N223" s="277" t="s">
        <v>1267</v>
      </c>
      <c r="O223" s="276" t="s">
        <v>1268</v>
      </c>
      <c r="R223" s="276">
        <v>1</v>
      </c>
      <c r="S223" s="276">
        <v>1</v>
      </c>
      <c r="Y223" s="276">
        <f t="shared" si="58"/>
        <v>2</v>
      </c>
      <c r="AB223" s="276">
        <v>3</v>
      </c>
      <c r="AI223" s="276">
        <f t="shared" si="59"/>
        <v>3</v>
      </c>
      <c r="AJ223">
        <f t="shared" si="47"/>
        <v>0</v>
      </c>
      <c r="AK223">
        <f t="shared" si="48"/>
        <v>2</v>
      </c>
      <c r="AL223">
        <f t="shared" si="49"/>
        <v>-1</v>
      </c>
      <c r="AM223">
        <f t="shared" si="50"/>
        <v>0</v>
      </c>
      <c r="AN223">
        <f t="shared" si="51"/>
        <v>0</v>
      </c>
      <c r="AO223">
        <f t="shared" si="52"/>
        <v>0</v>
      </c>
      <c r="AP223">
        <f t="shared" si="53"/>
        <v>0</v>
      </c>
      <c r="AQ223">
        <f t="shared" si="54"/>
        <v>0</v>
      </c>
      <c r="AR223" s="276">
        <f t="shared" si="55"/>
        <v>1</v>
      </c>
      <c r="AT223" s="278"/>
      <c r="AU223" s="274">
        <v>0.25</v>
      </c>
      <c r="AV223" s="274">
        <v>0.25</v>
      </c>
      <c r="AW223" s="274">
        <v>0.25</v>
      </c>
      <c r="AX223" s="274">
        <v>0.25</v>
      </c>
      <c r="AY223" s="279"/>
      <c r="BD223" s="279"/>
      <c r="BK223" s="280">
        <f t="shared" si="56"/>
        <v>1</v>
      </c>
      <c r="BL223" s="274">
        <f t="shared" si="57"/>
        <v>1</v>
      </c>
      <c r="BP223" s="281">
        <v>521299</v>
      </c>
      <c r="BQ223" s="281">
        <v>176041</v>
      </c>
      <c r="BR223" s="296" t="s">
        <v>181</v>
      </c>
      <c r="BS223" t="s">
        <v>166</v>
      </c>
      <c r="BT223"/>
      <c r="BU223"/>
      <c r="BV223" t="s">
        <v>838</v>
      </c>
      <c r="BW223" t="s">
        <v>325</v>
      </c>
      <c r="BX223"/>
      <c r="BY223" t="s">
        <v>967</v>
      </c>
      <c r="BZ223" t="s">
        <v>325</v>
      </c>
      <c r="CA223" t="s">
        <v>325</v>
      </c>
      <c r="CB223" t="s">
        <v>158</v>
      </c>
    </row>
    <row r="224" spans="1:81" ht="15" customHeight="1" x14ac:dyDescent="0.25">
      <c r="A224" s="274" t="s">
        <v>1269</v>
      </c>
      <c r="B224" s="277" t="s">
        <v>444</v>
      </c>
      <c r="D224" s="275">
        <v>45169</v>
      </c>
      <c r="E224" s="275">
        <v>46265</v>
      </c>
      <c r="H224" s="274" t="s">
        <v>258</v>
      </c>
      <c r="I224" s="238" t="s">
        <v>303</v>
      </c>
      <c r="M224" s="277" t="s">
        <v>1270</v>
      </c>
      <c r="N224" s="277" t="s">
        <v>1271</v>
      </c>
      <c r="O224" s="276" t="s">
        <v>674</v>
      </c>
      <c r="Y224" s="276">
        <f t="shared" si="58"/>
        <v>0</v>
      </c>
      <c r="AE224" s="276">
        <v>2</v>
      </c>
      <c r="AI224" s="276">
        <f t="shared" si="59"/>
        <v>2</v>
      </c>
      <c r="AJ224">
        <f t="shared" si="47"/>
        <v>0</v>
      </c>
      <c r="AK224">
        <f t="shared" si="48"/>
        <v>0</v>
      </c>
      <c r="AL224">
        <f t="shared" si="49"/>
        <v>0</v>
      </c>
      <c r="AM224">
        <f t="shared" si="50"/>
        <v>0</v>
      </c>
      <c r="AN224">
        <f t="shared" si="51"/>
        <v>2</v>
      </c>
      <c r="AO224">
        <f t="shared" si="52"/>
        <v>0</v>
      </c>
      <c r="AP224">
        <f t="shared" si="53"/>
        <v>0</v>
      </c>
      <c r="AQ224">
        <f t="shared" si="54"/>
        <v>0</v>
      </c>
      <c r="AR224" s="276">
        <f t="shared" si="55"/>
        <v>2</v>
      </c>
      <c r="AT224" s="278"/>
      <c r="AU224" s="274">
        <v>0.5</v>
      </c>
      <c r="AV224" s="274">
        <v>0.5</v>
      </c>
      <c r="AW224" s="274">
        <v>0.5</v>
      </c>
      <c r="AX224" s="274">
        <v>0.5</v>
      </c>
      <c r="AY224" s="279"/>
      <c r="BD224" s="279"/>
      <c r="BK224" s="280">
        <f t="shared" si="56"/>
        <v>2</v>
      </c>
      <c r="BL224" s="274">
        <f t="shared" si="57"/>
        <v>2</v>
      </c>
      <c r="BP224" s="281">
        <v>516609</v>
      </c>
      <c r="BQ224" s="281">
        <v>174980</v>
      </c>
      <c r="BR224" s="296" t="s">
        <v>145</v>
      </c>
      <c r="BS224" t="s">
        <v>170</v>
      </c>
      <c r="BT224"/>
      <c r="BU224"/>
      <c r="BV224"/>
      <c r="BW224"/>
      <c r="BX224"/>
      <c r="BY224" t="s">
        <v>475</v>
      </c>
      <c r="BZ224" t="s">
        <v>325</v>
      </c>
      <c r="CA224" t="s">
        <v>325</v>
      </c>
      <c r="CB224" t="s">
        <v>193</v>
      </c>
      <c r="CC224" s="276" t="s">
        <v>325</v>
      </c>
    </row>
    <row r="225" spans="1:81" ht="15" customHeight="1" x14ac:dyDescent="0.25">
      <c r="A225" s="274" t="s">
        <v>1272</v>
      </c>
      <c r="B225" s="274" t="s">
        <v>444</v>
      </c>
      <c r="C225" s="274"/>
      <c r="D225" s="275">
        <v>44742</v>
      </c>
      <c r="E225" s="275">
        <v>45838</v>
      </c>
      <c r="H225" s="274" t="s">
        <v>258</v>
      </c>
      <c r="I225" s="238" t="s">
        <v>303</v>
      </c>
      <c r="M225" s="277" t="s">
        <v>1273</v>
      </c>
      <c r="N225" s="277" t="s">
        <v>1274</v>
      </c>
      <c r="O225" s="276" t="s">
        <v>1275</v>
      </c>
      <c r="Y225" s="276">
        <f t="shared" si="58"/>
        <v>0</v>
      </c>
      <c r="AB225" s="276">
        <v>1</v>
      </c>
      <c r="AI225" s="276">
        <f t="shared" si="59"/>
        <v>1</v>
      </c>
      <c r="AJ225">
        <f t="shared" si="47"/>
        <v>0</v>
      </c>
      <c r="AK225">
        <f t="shared" si="48"/>
        <v>1</v>
      </c>
      <c r="AL225">
        <f t="shared" si="49"/>
        <v>0</v>
      </c>
      <c r="AM225">
        <f t="shared" si="50"/>
        <v>0</v>
      </c>
      <c r="AN225">
        <f t="shared" si="51"/>
        <v>0</v>
      </c>
      <c r="AO225">
        <f t="shared" si="52"/>
        <v>0</v>
      </c>
      <c r="AP225">
        <f t="shared" si="53"/>
        <v>0</v>
      </c>
      <c r="AQ225">
        <f t="shared" si="54"/>
        <v>0</v>
      </c>
      <c r="AR225" s="276">
        <f t="shared" si="55"/>
        <v>1</v>
      </c>
      <c r="AT225" s="278"/>
      <c r="AU225" s="274">
        <v>0.25</v>
      </c>
      <c r="AV225" s="274">
        <v>0.25</v>
      </c>
      <c r="AW225" s="274">
        <v>0.25</v>
      </c>
      <c r="AX225" s="274">
        <v>0.25</v>
      </c>
      <c r="AY225" s="279"/>
      <c r="BD225" s="279"/>
      <c r="BK225" s="280">
        <f t="shared" si="56"/>
        <v>1</v>
      </c>
      <c r="BL225" s="274">
        <f t="shared" si="57"/>
        <v>1</v>
      </c>
      <c r="BP225" s="281">
        <v>518195</v>
      </c>
      <c r="BQ225" s="281">
        <v>175741</v>
      </c>
      <c r="BR225" s="296" t="s">
        <v>141</v>
      </c>
      <c r="BS225" t="s">
        <v>167</v>
      </c>
      <c r="BT225"/>
      <c r="BU225"/>
      <c r="BV225"/>
      <c r="BW225"/>
      <c r="BX225"/>
      <c r="BY225"/>
      <c r="BZ225"/>
      <c r="CA225" t="s">
        <v>325</v>
      </c>
      <c r="CB225" t="s">
        <v>191</v>
      </c>
    </row>
    <row r="226" spans="1:81" ht="15" customHeight="1" x14ac:dyDescent="0.25">
      <c r="A226" s="274" t="s">
        <v>1276</v>
      </c>
      <c r="B226" s="277" t="s">
        <v>481</v>
      </c>
      <c r="D226" s="275">
        <v>44435</v>
      </c>
      <c r="E226" s="275">
        <v>45531</v>
      </c>
      <c r="H226" s="274" t="s">
        <v>258</v>
      </c>
      <c r="I226" s="238" t="s">
        <v>303</v>
      </c>
      <c r="M226" s="277" t="s">
        <v>1277</v>
      </c>
      <c r="N226" s="277" t="s">
        <v>1278</v>
      </c>
      <c r="O226" s="276" t="s">
        <v>1279</v>
      </c>
      <c r="S226" s="276">
        <v>2</v>
      </c>
      <c r="Y226" s="276">
        <f t="shared" si="58"/>
        <v>2</v>
      </c>
      <c r="AA226" s="276">
        <v>4</v>
      </c>
      <c r="AB226" s="276">
        <v>1</v>
      </c>
      <c r="AI226" s="276">
        <f t="shared" si="59"/>
        <v>5</v>
      </c>
      <c r="AJ226">
        <f t="shared" si="47"/>
        <v>4</v>
      </c>
      <c r="AK226">
        <f t="shared" si="48"/>
        <v>1</v>
      </c>
      <c r="AL226">
        <f t="shared" si="49"/>
        <v>-2</v>
      </c>
      <c r="AM226">
        <f t="shared" si="50"/>
        <v>0</v>
      </c>
      <c r="AN226">
        <f t="shared" si="51"/>
        <v>0</v>
      </c>
      <c r="AO226">
        <f t="shared" si="52"/>
        <v>0</v>
      </c>
      <c r="AP226">
        <f t="shared" si="53"/>
        <v>0</v>
      </c>
      <c r="AQ226">
        <f t="shared" si="54"/>
        <v>0</v>
      </c>
      <c r="AR226" s="276">
        <f t="shared" si="55"/>
        <v>3</v>
      </c>
      <c r="AT226" s="278"/>
      <c r="AU226" s="274">
        <v>0.75</v>
      </c>
      <c r="AV226" s="274">
        <v>0.75</v>
      </c>
      <c r="AW226" s="274">
        <v>0.75</v>
      </c>
      <c r="AX226" s="274">
        <v>0.75</v>
      </c>
      <c r="AY226" s="279"/>
      <c r="BD226" s="279"/>
      <c r="BK226" s="280">
        <f t="shared" si="56"/>
        <v>3</v>
      </c>
      <c r="BL226" s="274">
        <f t="shared" si="57"/>
        <v>3</v>
      </c>
      <c r="BP226" s="281">
        <v>515988</v>
      </c>
      <c r="BQ226" s="281">
        <v>171089</v>
      </c>
      <c r="BR226" s="296" t="s">
        <v>183</v>
      </c>
      <c r="BS226" t="s">
        <v>143</v>
      </c>
      <c r="BT226" t="s">
        <v>143</v>
      </c>
      <c r="BU226"/>
      <c r="BV226"/>
      <c r="BW226"/>
      <c r="BX226"/>
      <c r="BY226" t="s">
        <v>662</v>
      </c>
      <c r="BZ226" t="s">
        <v>325</v>
      </c>
      <c r="CA226" t="s">
        <v>325</v>
      </c>
      <c r="CB226" t="s">
        <v>192</v>
      </c>
    </row>
    <row r="227" spans="1:81" ht="15" customHeight="1" x14ac:dyDescent="0.25">
      <c r="A227" s="274" t="s">
        <v>1280</v>
      </c>
      <c r="B227" s="277" t="s">
        <v>444</v>
      </c>
      <c r="D227" s="275">
        <v>44405</v>
      </c>
      <c r="E227" s="275">
        <v>45501</v>
      </c>
      <c r="H227" s="274" t="s">
        <v>258</v>
      </c>
      <c r="I227" s="238" t="s">
        <v>303</v>
      </c>
      <c r="M227" s="277" t="s">
        <v>1281</v>
      </c>
      <c r="N227" s="277" t="s">
        <v>1282</v>
      </c>
      <c r="O227" s="276" t="s">
        <v>1283</v>
      </c>
      <c r="Y227" s="276">
        <f t="shared" si="58"/>
        <v>0</v>
      </c>
      <c r="AB227" s="276">
        <v>4</v>
      </c>
      <c r="AC227" s="276">
        <v>2</v>
      </c>
      <c r="AI227" s="276">
        <f t="shared" si="59"/>
        <v>6</v>
      </c>
      <c r="AJ227">
        <f t="shared" si="47"/>
        <v>0</v>
      </c>
      <c r="AK227">
        <f t="shared" si="48"/>
        <v>4</v>
      </c>
      <c r="AL227">
        <f t="shared" si="49"/>
        <v>2</v>
      </c>
      <c r="AM227">
        <f t="shared" si="50"/>
        <v>0</v>
      </c>
      <c r="AN227">
        <f t="shared" si="51"/>
        <v>0</v>
      </c>
      <c r="AO227">
        <f t="shared" si="52"/>
        <v>0</v>
      </c>
      <c r="AP227">
        <f t="shared" si="53"/>
        <v>0</v>
      </c>
      <c r="AQ227">
        <f t="shared" si="54"/>
        <v>0</v>
      </c>
      <c r="AR227" s="276">
        <f t="shared" si="55"/>
        <v>6</v>
      </c>
      <c r="AT227" s="278"/>
      <c r="AU227" s="274">
        <v>1.5</v>
      </c>
      <c r="AV227" s="274">
        <v>1.5</v>
      </c>
      <c r="AW227" s="274">
        <v>1.5</v>
      </c>
      <c r="AX227" s="274">
        <v>1.5</v>
      </c>
      <c r="AY227" s="279"/>
      <c r="BD227" s="279"/>
      <c r="BK227" s="280">
        <f t="shared" si="56"/>
        <v>6</v>
      </c>
      <c r="BL227" s="274">
        <f t="shared" si="57"/>
        <v>6</v>
      </c>
      <c r="BP227" s="281">
        <v>519806</v>
      </c>
      <c r="BQ227" s="281">
        <v>175640</v>
      </c>
      <c r="BR227" s="296" t="s">
        <v>181</v>
      </c>
      <c r="BS227" t="s">
        <v>166</v>
      </c>
      <c r="BT227"/>
      <c r="BU227"/>
      <c r="BV227"/>
      <c r="BW227"/>
      <c r="BX227"/>
      <c r="BY227"/>
      <c r="BZ227"/>
      <c r="CA227" t="s">
        <v>325</v>
      </c>
      <c r="CB227" t="s">
        <v>190</v>
      </c>
    </row>
    <row r="228" spans="1:81" ht="15" customHeight="1" x14ac:dyDescent="0.25">
      <c r="A228" s="274" t="s">
        <v>1284</v>
      </c>
      <c r="B228" s="277" t="s">
        <v>444</v>
      </c>
      <c r="D228" s="275">
        <v>44607</v>
      </c>
      <c r="E228" s="275">
        <v>45703</v>
      </c>
      <c r="H228" s="274" t="s">
        <v>258</v>
      </c>
      <c r="I228" s="238" t="s">
        <v>303</v>
      </c>
      <c r="M228" s="277" t="s">
        <v>1285</v>
      </c>
      <c r="N228" s="277" t="s">
        <v>1286</v>
      </c>
      <c r="O228" s="276" t="s">
        <v>1287</v>
      </c>
      <c r="Y228" s="276">
        <f t="shared" si="58"/>
        <v>0</v>
      </c>
      <c r="AA228" s="276">
        <v>2</v>
      </c>
      <c r="AI228" s="276">
        <f t="shared" si="59"/>
        <v>2</v>
      </c>
      <c r="AJ228">
        <f t="shared" si="47"/>
        <v>2</v>
      </c>
      <c r="AK228">
        <f t="shared" si="48"/>
        <v>0</v>
      </c>
      <c r="AL228">
        <f t="shared" si="49"/>
        <v>0</v>
      </c>
      <c r="AM228">
        <f t="shared" si="50"/>
        <v>0</v>
      </c>
      <c r="AN228">
        <f t="shared" si="51"/>
        <v>0</v>
      </c>
      <c r="AO228">
        <f t="shared" si="52"/>
        <v>0</v>
      </c>
      <c r="AP228">
        <f t="shared" si="53"/>
        <v>0</v>
      </c>
      <c r="AQ228">
        <f t="shared" si="54"/>
        <v>0</v>
      </c>
      <c r="AR228" s="276">
        <f t="shared" si="55"/>
        <v>2</v>
      </c>
      <c r="AT228" s="278"/>
      <c r="AU228" s="274">
        <v>0.5</v>
      </c>
      <c r="AV228" s="274">
        <v>0.5</v>
      </c>
      <c r="AW228" s="274">
        <v>0.5</v>
      </c>
      <c r="AX228" s="274">
        <v>0.5</v>
      </c>
      <c r="AY228" s="279"/>
      <c r="BD228" s="279"/>
      <c r="BK228" s="280">
        <f t="shared" si="56"/>
        <v>2</v>
      </c>
      <c r="BL228" s="274">
        <f t="shared" si="57"/>
        <v>2</v>
      </c>
      <c r="BP228" s="281">
        <v>513346</v>
      </c>
      <c r="BQ228" s="281">
        <v>169821</v>
      </c>
      <c r="BR228" s="296" t="s">
        <v>183</v>
      </c>
      <c r="BS228" t="s">
        <v>161</v>
      </c>
      <c r="BT228"/>
      <c r="BU228"/>
      <c r="BV228"/>
      <c r="BW228"/>
      <c r="BX228"/>
      <c r="BY228"/>
      <c r="BZ228"/>
      <c r="CA228" t="s">
        <v>325</v>
      </c>
      <c r="CB228" t="s">
        <v>189</v>
      </c>
    </row>
    <row r="229" spans="1:81" ht="15" customHeight="1" x14ac:dyDescent="0.25">
      <c r="A229" s="274" t="s">
        <v>1288</v>
      </c>
      <c r="B229" s="277" t="s">
        <v>444</v>
      </c>
      <c r="D229" s="275">
        <v>45117</v>
      </c>
      <c r="E229" s="275">
        <v>46213</v>
      </c>
      <c r="H229" s="274" t="s">
        <v>258</v>
      </c>
      <c r="I229" s="244" t="s">
        <v>303</v>
      </c>
      <c r="J229" s="244"/>
      <c r="K229" s="244"/>
      <c r="L229" s="244"/>
      <c r="M229" s="277" t="s">
        <v>1289</v>
      </c>
      <c r="N229" s="277" t="s">
        <v>1290</v>
      </c>
      <c r="O229" s="276" t="s">
        <v>1291</v>
      </c>
      <c r="U229" s="276">
        <v>1</v>
      </c>
      <c r="Y229" s="276">
        <f t="shared" si="58"/>
        <v>1</v>
      </c>
      <c r="AA229" s="276">
        <v>3</v>
      </c>
      <c r="AB229" s="276">
        <v>5</v>
      </c>
      <c r="AI229" s="276">
        <f t="shared" si="59"/>
        <v>8</v>
      </c>
      <c r="AJ229">
        <f t="shared" si="47"/>
        <v>3</v>
      </c>
      <c r="AK229">
        <f t="shared" si="48"/>
        <v>5</v>
      </c>
      <c r="AL229">
        <f t="shared" si="49"/>
        <v>0</v>
      </c>
      <c r="AM229">
        <f t="shared" si="50"/>
        <v>0</v>
      </c>
      <c r="AN229">
        <f t="shared" si="51"/>
        <v>-1</v>
      </c>
      <c r="AO229">
        <f t="shared" si="52"/>
        <v>0</v>
      </c>
      <c r="AP229">
        <f t="shared" si="53"/>
        <v>0</v>
      </c>
      <c r="AQ229">
        <f t="shared" si="54"/>
        <v>0</v>
      </c>
      <c r="AR229" s="276">
        <f t="shared" si="55"/>
        <v>7</v>
      </c>
      <c r="AT229" s="278"/>
      <c r="AV229" s="274">
        <v>3.5</v>
      </c>
      <c r="AW229" s="274">
        <v>3.5</v>
      </c>
      <c r="AY229" s="279"/>
      <c r="BD229" s="279"/>
      <c r="BK229" s="280">
        <f t="shared" si="56"/>
        <v>7</v>
      </c>
      <c r="BL229" s="274">
        <f t="shared" si="57"/>
        <v>7</v>
      </c>
      <c r="BP229" s="281">
        <v>516986</v>
      </c>
      <c r="BQ229" s="281">
        <v>170503</v>
      </c>
      <c r="BR229" s="296" t="s">
        <v>183</v>
      </c>
      <c r="BS229" t="s">
        <v>163</v>
      </c>
      <c r="BT229"/>
      <c r="BU229"/>
      <c r="BV229"/>
      <c r="BW229"/>
      <c r="BX229"/>
      <c r="BY229"/>
      <c r="BZ229"/>
      <c r="CA229" t="s">
        <v>325</v>
      </c>
      <c r="CB229" t="s">
        <v>192</v>
      </c>
      <c r="CC229" s="276" t="s">
        <v>325</v>
      </c>
    </row>
    <row r="230" spans="1:81" ht="15" customHeight="1" x14ac:dyDescent="0.25">
      <c r="A230" s="274" t="s">
        <v>1292</v>
      </c>
      <c r="B230" s="277" t="s">
        <v>444</v>
      </c>
      <c r="D230" s="275">
        <v>44875</v>
      </c>
      <c r="E230" s="275">
        <v>45971</v>
      </c>
      <c r="H230" s="274" t="s">
        <v>258</v>
      </c>
      <c r="I230" s="238" t="s">
        <v>303</v>
      </c>
      <c r="M230" s="277" t="s">
        <v>1293</v>
      </c>
      <c r="N230" s="277" t="s">
        <v>1294</v>
      </c>
      <c r="O230" s="276" t="s">
        <v>863</v>
      </c>
      <c r="Y230" s="276">
        <f t="shared" si="58"/>
        <v>0</v>
      </c>
      <c r="AB230" s="276">
        <v>2</v>
      </c>
      <c r="AI230" s="276">
        <f t="shared" si="59"/>
        <v>2</v>
      </c>
      <c r="AJ230">
        <f t="shared" si="47"/>
        <v>0</v>
      </c>
      <c r="AK230">
        <f t="shared" si="48"/>
        <v>2</v>
      </c>
      <c r="AL230">
        <f t="shared" si="49"/>
        <v>0</v>
      </c>
      <c r="AM230">
        <f t="shared" si="50"/>
        <v>0</v>
      </c>
      <c r="AN230">
        <f t="shared" si="51"/>
        <v>0</v>
      </c>
      <c r="AO230">
        <f t="shared" si="52"/>
        <v>0</v>
      </c>
      <c r="AP230">
        <f t="shared" si="53"/>
        <v>0</v>
      </c>
      <c r="AQ230">
        <f t="shared" si="54"/>
        <v>0</v>
      </c>
      <c r="AR230" s="276">
        <f t="shared" si="55"/>
        <v>2</v>
      </c>
      <c r="AT230" s="278"/>
      <c r="AU230" s="274">
        <v>0.5</v>
      </c>
      <c r="AV230" s="274">
        <v>0.5</v>
      </c>
      <c r="AW230" s="274">
        <v>0.5</v>
      </c>
      <c r="AX230" s="274">
        <v>0.5</v>
      </c>
      <c r="AY230" s="279"/>
      <c r="BD230" s="279"/>
      <c r="BK230" s="280">
        <f t="shared" si="56"/>
        <v>2</v>
      </c>
      <c r="BL230" s="274">
        <f t="shared" si="57"/>
        <v>2</v>
      </c>
      <c r="BP230" s="281">
        <v>517060</v>
      </c>
      <c r="BQ230" s="281">
        <v>170217</v>
      </c>
      <c r="BR230" s="296" t="s">
        <v>183</v>
      </c>
      <c r="BS230" t="s">
        <v>163</v>
      </c>
      <c r="BT230"/>
      <c r="BU230"/>
      <c r="BV230"/>
      <c r="BW230"/>
      <c r="BX230"/>
      <c r="BY230" t="s">
        <v>1295</v>
      </c>
      <c r="BZ230" t="s">
        <v>325</v>
      </c>
      <c r="CA230" t="s">
        <v>325</v>
      </c>
      <c r="CB230" t="s">
        <v>192</v>
      </c>
      <c r="CC230" s="276" t="s">
        <v>325</v>
      </c>
    </row>
    <row r="231" spans="1:81" ht="15" customHeight="1" x14ac:dyDescent="0.25">
      <c r="A231" s="274" t="s">
        <v>1296</v>
      </c>
      <c r="B231" s="277" t="s">
        <v>532</v>
      </c>
      <c r="D231" s="275">
        <v>44355</v>
      </c>
      <c r="E231" s="275">
        <v>45451</v>
      </c>
      <c r="H231" s="274" t="s">
        <v>258</v>
      </c>
      <c r="I231" s="238" t="s">
        <v>303</v>
      </c>
      <c r="M231" s="277" t="s">
        <v>1297</v>
      </c>
      <c r="N231" s="274" t="s">
        <v>994</v>
      </c>
      <c r="O231" s="276" t="s">
        <v>995</v>
      </c>
      <c r="Y231" s="276">
        <f t="shared" si="58"/>
        <v>0</v>
      </c>
      <c r="AA231" s="276">
        <v>4</v>
      </c>
      <c r="AI231" s="276">
        <f t="shared" si="59"/>
        <v>4</v>
      </c>
      <c r="AJ231">
        <f t="shared" si="47"/>
        <v>4</v>
      </c>
      <c r="AK231">
        <f t="shared" si="48"/>
        <v>0</v>
      </c>
      <c r="AL231">
        <f t="shared" si="49"/>
        <v>0</v>
      </c>
      <c r="AM231">
        <f t="shared" si="50"/>
        <v>0</v>
      </c>
      <c r="AN231">
        <f t="shared" si="51"/>
        <v>0</v>
      </c>
      <c r="AO231">
        <f t="shared" si="52"/>
        <v>0</v>
      </c>
      <c r="AP231">
        <f t="shared" si="53"/>
        <v>0</v>
      </c>
      <c r="AQ231">
        <f t="shared" si="54"/>
        <v>0</v>
      </c>
      <c r="AR231" s="276">
        <f t="shared" si="55"/>
        <v>4</v>
      </c>
      <c r="AT231" s="278"/>
      <c r="AU231" s="274">
        <v>1</v>
      </c>
      <c r="AV231" s="274">
        <v>1</v>
      </c>
      <c r="AW231" s="274">
        <v>1</v>
      </c>
      <c r="AX231" s="274">
        <v>1</v>
      </c>
      <c r="AY231" s="279"/>
      <c r="BD231" s="279"/>
      <c r="BK231" s="280">
        <f t="shared" si="56"/>
        <v>4</v>
      </c>
      <c r="BL231" s="274">
        <f t="shared" si="57"/>
        <v>4</v>
      </c>
      <c r="BP231" s="281">
        <v>515975</v>
      </c>
      <c r="BQ231" s="281">
        <v>173091</v>
      </c>
      <c r="BR231" s="296" t="s">
        <v>145</v>
      </c>
      <c r="BS231" t="s">
        <v>169</v>
      </c>
      <c r="BT231" t="s">
        <v>145</v>
      </c>
      <c r="BU231"/>
      <c r="BV231"/>
      <c r="BW231"/>
      <c r="BX231"/>
      <c r="BY231"/>
      <c r="BZ231"/>
      <c r="CA231" t="s">
        <v>325</v>
      </c>
      <c r="CB231" t="s">
        <v>193</v>
      </c>
    </row>
    <row r="232" spans="1:81" ht="15" customHeight="1" x14ac:dyDescent="0.25">
      <c r="A232" s="274" t="s">
        <v>1298</v>
      </c>
      <c r="B232" s="277" t="s">
        <v>444</v>
      </c>
      <c r="D232" s="275">
        <v>44587</v>
      </c>
      <c r="E232" s="275">
        <v>45683</v>
      </c>
      <c r="H232" s="274" t="s">
        <v>258</v>
      </c>
      <c r="I232" s="238" t="s">
        <v>303</v>
      </c>
      <c r="M232" s="277" t="s">
        <v>1299</v>
      </c>
      <c r="N232" s="277" t="s">
        <v>1300</v>
      </c>
      <c r="O232" s="276" t="s">
        <v>1301</v>
      </c>
      <c r="Y232" s="276">
        <f t="shared" si="58"/>
        <v>0</v>
      </c>
      <c r="AA232" s="276">
        <v>4</v>
      </c>
      <c r="AB232" s="276">
        <v>4</v>
      </c>
      <c r="AC232" s="276">
        <v>1</v>
      </c>
      <c r="AI232" s="276">
        <f t="shared" si="59"/>
        <v>9</v>
      </c>
      <c r="AJ232">
        <f t="shared" si="47"/>
        <v>4</v>
      </c>
      <c r="AK232">
        <f t="shared" si="48"/>
        <v>4</v>
      </c>
      <c r="AL232">
        <f t="shared" si="49"/>
        <v>1</v>
      </c>
      <c r="AM232">
        <f t="shared" si="50"/>
        <v>0</v>
      </c>
      <c r="AN232">
        <f t="shared" si="51"/>
        <v>0</v>
      </c>
      <c r="AO232">
        <f t="shared" si="52"/>
        <v>0</v>
      </c>
      <c r="AP232">
        <f t="shared" si="53"/>
        <v>0</v>
      </c>
      <c r="AQ232">
        <f t="shared" si="54"/>
        <v>0</v>
      </c>
      <c r="AR232" s="276">
        <f t="shared" si="55"/>
        <v>9</v>
      </c>
      <c r="AT232" s="278"/>
      <c r="AU232" s="274">
        <v>2.25</v>
      </c>
      <c r="AV232" s="274">
        <v>2.25</v>
      </c>
      <c r="AW232" s="274">
        <v>2.25</v>
      </c>
      <c r="AX232" s="274">
        <v>2.25</v>
      </c>
      <c r="AY232" s="279"/>
      <c r="BD232" s="279"/>
      <c r="BK232" s="280">
        <f t="shared" si="56"/>
        <v>9</v>
      </c>
      <c r="BL232" s="274">
        <f t="shared" si="57"/>
        <v>9</v>
      </c>
      <c r="BP232" s="281">
        <v>516182</v>
      </c>
      <c r="BQ232" s="281">
        <v>173653</v>
      </c>
      <c r="BR232" s="296" t="s">
        <v>145</v>
      </c>
      <c r="BS232" t="s">
        <v>171</v>
      </c>
      <c r="BT232" t="s">
        <v>145</v>
      </c>
      <c r="BU232"/>
      <c r="BV232"/>
      <c r="BW232"/>
      <c r="BX232"/>
      <c r="BY232"/>
      <c r="BZ232"/>
      <c r="CA232" t="s">
        <v>325</v>
      </c>
      <c r="CB232" t="s">
        <v>193</v>
      </c>
    </row>
    <row r="233" spans="1:81" ht="15" customHeight="1" x14ac:dyDescent="0.25">
      <c r="A233" s="274" t="s">
        <v>1302</v>
      </c>
      <c r="B233" s="277" t="s">
        <v>459</v>
      </c>
      <c r="D233" s="275">
        <v>44336</v>
      </c>
      <c r="E233" s="275">
        <v>45432</v>
      </c>
      <c r="H233" s="274" t="s">
        <v>258</v>
      </c>
      <c r="I233" s="238" t="s">
        <v>303</v>
      </c>
      <c r="M233" s="277" t="s">
        <v>1303</v>
      </c>
      <c r="N233" s="277" t="s">
        <v>1304</v>
      </c>
      <c r="O233" s="276" t="s">
        <v>1305</v>
      </c>
      <c r="Y233" s="276">
        <f t="shared" si="58"/>
        <v>0</v>
      </c>
      <c r="AA233" s="276">
        <v>4</v>
      </c>
      <c r="AI233" s="276">
        <f t="shared" si="59"/>
        <v>4</v>
      </c>
      <c r="AJ233">
        <f t="shared" si="47"/>
        <v>4</v>
      </c>
      <c r="AK233">
        <f t="shared" si="48"/>
        <v>0</v>
      </c>
      <c r="AL233">
        <f t="shared" si="49"/>
        <v>0</v>
      </c>
      <c r="AM233">
        <f t="shared" si="50"/>
        <v>0</v>
      </c>
      <c r="AN233">
        <f t="shared" si="51"/>
        <v>0</v>
      </c>
      <c r="AO233">
        <f t="shared" si="52"/>
        <v>0</v>
      </c>
      <c r="AP233">
        <f t="shared" si="53"/>
        <v>0</v>
      </c>
      <c r="AQ233">
        <f t="shared" si="54"/>
        <v>0</v>
      </c>
      <c r="AR233" s="276">
        <f t="shared" si="55"/>
        <v>4</v>
      </c>
      <c r="AT233" s="278"/>
      <c r="AU233" s="274">
        <v>1</v>
      </c>
      <c r="AV233" s="274">
        <v>1</v>
      </c>
      <c r="AW233" s="274">
        <v>1</v>
      </c>
      <c r="AX233" s="274">
        <v>1</v>
      </c>
      <c r="AY233" s="279"/>
      <c r="BD233" s="279"/>
      <c r="BK233" s="280">
        <f t="shared" si="56"/>
        <v>4</v>
      </c>
      <c r="BL233" s="274">
        <f t="shared" si="57"/>
        <v>4</v>
      </c>
      <c r="BP233" s="281">
        <v>515605</v>
      </c>
      <c r="BQ233" s="281">
        <v>173100</v>
      </c>
      <c r="BR233" s="296" t="s">
        <v>145</v>
      </c>
      <c r="BS233" t="s">
        <v>169</v>
      </c>
      <c r="BT233" t="s">
        <v>145</v>
      </c>
      <c r="BU233"/>
      <c r="BV233"/>
      <c r="BW233"/>
      <c r="BX233"/>
      <c r="BY233"/>
      <c r="BZ233"/>
      <c r="CA233" t="s">
        <v>325</v>
      </c>
      <c r="CB233" t="s">
        <v>193</v>
      </c>
    </row>
    <row r="234" spans="1:81" ht="15" customHeight="1" x14ac:dyDescent="0.25">
      <c r="A234" s="274" t="s">
        <v>1306</v>
      </c>
      <c r="B234" s="277" t="s">
        <v>444</v>
      </c>
      <c r="D234" s="275">
        <v>44854</v>
      </c>
      <c r="E234" s="275">
        <v>45950</v>
      </c>
      <c r="H234" s="274" t="s">
        <v>258</v>
      </c>
      <c r="I234" s="238" t="s">
        <v>303</v>
      </c>
      <c r="M234" s="277" t="s">
        <v>1307</v>
      </c>
      <c r="N234" s="277" t="s">
        <v>1308</v>
      </c>
      <c r="O234" s="276" t="s">
        <v>863</v>
      </c>
      <c r="Y234" s="276">
        <f t="shared" si="58"/>
        <v>0</v>
      </c>
      <c r="AB234" s="276">
        <v>3</v>
      </c>
      <c r="AI234" s="276">
        <f t="shared" si="59"/>
        <v>3</v>
      </c>
      <c r="AJ234">
        <f t="shared" si="47"/>
        <v>0</v>
      </c>
      <c r="AK234">
        <f t="shared" si="48"/>
        <v>3</v>
      </c>
      <c r="AL234">
        <f t="shared" si="49"/>
        <v>0</v>
      </c>
      <c r="AM234">
        <f t="shared" si="50"/>
        <v>0</v>
      </c>
      <c r="AN234">
        <f t="shared" si="51"/>
        <v>0</v>
      </c>
      <c r="AO234">
        <f t="shared" si="52"/>
        <v>0</v>
      </c>
      <c r="AP234">
        <f t="shared" si="53"/>
        <v>0</v>
      </c>
      <c r="AQ234">
        <f t="shared" si="54"/>
        <v>0</v>
      </c>
      <c r="AR234" s="276">
        <f t="shared" si="55"/>
        <v>3</v>
      </c>
      <c r="AT234" s="278"/>
      <c r="AU234" s="274">
        <v>0.75</v>
      </c>
      <c r="AV234" s="274">
        <v>0.75</v>
      </c>
      <c r="AW234" s="274">
        <v>0.75</v>
      </c>
      <c r="AX234" s="274">
        <v>0.75</v>
      </c>
      <c r="AY234" s="279"/>
      <c r="BD234" s="279"/>
      <c r="BK234" s="280">
        <f t="shared" si="56"/>
        <v>3</v>
      </c>
      <c r="BL234" s="274">
        <f t="shared" si="57"/>
        <v>3</v>
      </c>
      <c r="BP234" s="281">
        <v>516900</v>
      </c>
      <c r="BQ234" s="281">
        <v>170739</v>
      </c>
      <c r="BR234" s="296" t="s">
        <v>183</v>
      </c>
      <c r="BS234" t="s">
        <v>163</v>
      </c>
      <c r="BT234"/>
      <c r="BU234"/>
      <c r="BV234"/>
      <c r="BW234"/>
      <c r="BX234"/>
      <c r="BY234"/>
      <c r="BZ234"/>
      <c r="CA234" t="s">
        <v>325</v>
      </c>
      <c r="CB234" t="s">
        <v>192</v>
      </c>
    </row>
    <row r="235" spans="1:81" ht="15" customHeight="1" x14ac:dyDescent="0.25">
      <c r="A235" s="274" t="s">
        <v>1309</v>
      </c>
      <c r="B235" s="277" t="s">
        <v>542</v>
      </c>
      <c r="D235" s="275">
        <v>44579</v>
      </c>
      <c r="E235" s="275">
        <v>45675</v>
      </c>
      <c r="H235" s="274" t="s">
        <v>258</v>
      </c>
      <c r="I235" s="238" t="s">
        <v>303</v>
      </c>
      <c r="M235" s="277" t="s">
        <v>1310</v>
      </c>
      <c r="N235" s="277" t="s">
        <v>1311</v>
      </c>
      <c r="O235" s="276" t="s">
        <v>1312</v>
      </c>
      <c r="Y235" s="276">
        <f t="shared" si="58"/>
        <v>0</v>
      </c>
      <c r="AB235" s="276">
        <v>1</v>
      </c>
      <c r="AI235" s="276">
        <f t="shared" si="59"/>
        <v>1</v>
      </c>
      <c r="AJ235">
        <f t="shared" si="47"/>
        <v>0</v>
      </c>
      <c r="AK235">
        <f t="shared" si="48"/>
        <v>1</v>
      </c>
      <c r="AL235">
        <f t="shared" si="49"/>
        <v>0</v>
      </c>
      <c r="AM235">
        <f t="shared" si="50"/>
        <v>0</v>
      </c>
      <c r="AN235">
        <f t="shared" si="51"/>
        <v>0</v>
      </c>
      <c r="AO235">
        <f t="shared" si="52"/>
        <v>0</v>
      </c>
      <c r="AP235">
        <f t="shared" si="53"/>
        <v>0</v>
      </c>
      <c r="AQ235">
        <f t="shared" si="54"/>
        <v>0</v>
      </c>
      <c r="AR235" s="276">
        <f t="shared" si="55"/>
        <v>1</v>
      </c>
      <c r="AT235" s="278"/>
      <c r="AU235" s="274">
        <v>0.25</v>
      </c>
      <c r="AV235" s="274">
        <v>0.25</v>
      </c>
      <c r="AW235" s="274">
        <v>0.25</v>
      </c>
      <c r="AX235" s="274">
        <v>0.25</v>
      </c>
      <c r="AY235" s="279"/>
      <c r="BD235" s="279"/>
      <c r="BK235" s="280">
        <f t="shared" si="56"/>
        <v>1</v>
      </c>
      <c r="BL235" s="274">
        <f t="shared" si="57"/>
        <v>1</v>
      </c>
      <c r="BP235" s="281">
        <v>517804</v>
      </c>
      <c r="BQ235" s="281">
        <v>174681</v>
      </c>
      <c r="BR235" s="296" t="s">
        <v>141</v>
      </c>
      <c r="BS235" t="s">
        <v>168</v>
      </c>
      <c r="BT235" t="s">
        <v>141</v>
      </c>
      <c r="BU235"/>
      <c r="BV235"/>
      <c r="BW235"/>
      <c r="BX235"/>
      <c r="BY235" t="s">
        <v>546</v>
      </c>
      <c r="BZ235" t="s">
        <v>325</v>
      </c>
      <c r="CA235" t="s">
        <v>325</v>
      </c>
      <c r="CB235" t="s">
        <v>191</v>
      </c>
    </row>
    <row r="236" spans="1:81" ht="15" customHeight="1" x14ac:dyDescent="0.25">
      <c r="A236" s="274" t="s">
        <v>1313</v>
      </c>
      <c r="B236" s="277" t="s">
        <v>542</v>
      </c>
      <c r="D236" s="275">
        <v>44624</v>
      </c>
      <c r="E236" s="275">
        <v>45720</v>
      </c>
      <c r="H236" s="274" t="s">
        <v>258</v>
      </c>
      <c r="I236" s="238" t="s">
        <v>303</v>
      </c>
      <c r="M236" s="277" t="s">
        <v>1314</v>
      </c>
      <c r="N236" s="277" t="s">
        <v>1315</v>
      </c>
      <c r="O236" s="276" t="s">
        <v>1316</v>
      </c>
      <c r="T236" s="276">
        <v>1</v>
      </c>
      <c r="Y236" s="276">
        <f t="shared" si="58"/>
        <v>1</v>
      </c>
      <c r="AB236" s="276">
        <v>1</v>
      </c>
      <c r="AC236" s="276">
        <v>1</v>
      </c>
      <c r="AI236" s="276">
        <f t="shared" si="59"/>
        <v>2</v>
      </c>
      <c r="AJ236">
        <f t="shared" si="47"/>
        <v>0</v>
      </c>
      <c r="AK236">
        <f t="shared" si="48"/>
        <v>1</v>
      </c>
      <c r="AL236">
        <f t="shared" si="49"/>
        <v>1</v>
      </c>
      <c r="AM236">
        <f t="shared" si="50"/>
        <v>-1</v>
      </c>
      <c r="AN236">
        <f t="shared" si="51"/>
        <v>0</v>
      </c>
      <c r="AO236">
        <f t="shared" si="52"/>
        <v>0</v>
      </c>
      <c r="AP236">
        <f t="shared" si="53"/>
        <v>0</v>
      </c>
      <c r="AQ236">
        <f t="shared" si="54"/>
        <v>0</v>
      </c>
      <c r="AR236" s="276">
        <f t="shared" si="55"/>
        <v>1</v>
      </c>
      <c r="AT236" s="278"/>
      <c r="AU236" s="274">
        <v>0.25</v>
      </c>
      <c r="AV236" s="274">
        <v>0.25</v>
      </c>
      <c r="AW236" s="274">
        <v>0.25</v>
      </c>
      <c r="AX236" s="274">
        <v>0.25</v>
      </c>
      <c r="AY236" s="279"/>
      <c r="BD236" s="279"/>
      <c r="BK236" s="280">
        <f t="shared" si="56"/>
        <v>1</v>
      </c>
      <c r="BL236" s="274">
        <f t="shared" si="57"/>
        <v>1</v>
      </c>
      <c r="BP236" s="281">
        <v>514528</v>
      </c>
      <c r="BQ236" s="281">
        <v>173249</v>
      </c>
      <c r="BR236" s="296" t="s">
        <v>145</v>
      </c>
      <c r="BS236" t="s">
        <v>172</v>
      </c>
      <c r="BT236"/>
      <c r="BU236"/>
      <c r="BV236"/>
      <c r="BW236"/>
      <c r="BX236"/>
      <c r="BY236"/>
      <c r="BZ236"/>
      <c r="CA236" t="s">
        <v>325</v>
      </c>
      <c r="CB236" t="s">
        <v>193</v>
      </c>
    </row>
    <row r="237" spans="1:81" ht="15" customHeight="1" x14ac:dyDescent="0.25">
      <c r="A237" s="274" t="s">
        <v>1317</v>
      </c>
      <c r="B237" s="277" t="s">
        <v>459</v>
      </c>
      <c r="C237" s="274" t="s">
        <v>293</v>
      </c>
      <c r="D237" s="275">
        <v>44316</v>
      </c>
      <c r="E237" s="275">
        <v>45412</v>
      </c>
      <c r="H237" s="274" t="s">
        <v>258</v>
      </c>
      <c r="I237" s="238" t="s">
        <v>303</v>
      </c>
      <c r="J237" s="276" t="s">
        <v>327</v>
      </c>
      <c r="M237" s="277" t="s">
        <v>1318</v>
      </c>
      <c r="N237" s="277" t="s">
        <v>1319</v>
      </c>
      <c r="O237" s="276" t="s">
        <v>1320</v>
      </c>
      <c r="Y237" s="276">
        <f t="shared" si="58"/>
        <v>0</v>
      </c>
      <c r="AA237" s="276">
        <v>10</v>
      </c>
      <c r="AI237" s="276">
        <f t="shared" si="59"/>
        <v>10</v>
      </c>
      <c r="AJ237">
        <f t="shared" si="47"/>
        <v>10</v>
      </c>
      <c r="AK237">
        <f t="shared" si="48"/>
        <v>0</v>
      </c>
      <c r="AL237">
        <f t="shared" si="49"/>
        <v>0</v>
      </c>
      <c r="AM237">
        <f t="shared" si="50"/>
        <v>0</v>
      </c>
      <c r="AN237">
        <f t="shared" si="51"/>
        <v>0</v>
      </c>
      <c r="AO237">
        <f t="shared" si="52"/>
        <v>0</v>
      </c>
      <c r="AP237">
        <f t="shared" si="53"/>
        <v>0</v>
      </c>
      <c r="AQ237">
        <f t="shared" si="54"/>
        <v>0</v>
      </c>
      <c r="AR237" s="276">
        <f t="shared" si="55"/>
        <v>10</v>
      </c>
      <c r="AT237" s="278"/>
      <c r="AU237" s="234">
        <v>10</v>
      </c>
      <c r="AY237" s="279"/>
      <c r="BD237" s="279"/>
      <c r="BK237" s="280">
        <f t="shared" si="56"/>
        <v>10</v>
      </c>
      <c r="BL237" s="274">
        <f t="shared" si="57"/>
        <v>10</v>
      </c>
      <c r="BP237" s="281">
        <v>515777</v>
      </c>
      <c r="BQ237" s="281">
        <v>171474</v>
      </c>
      <c r="BR237" s="296" t="s">
        <v>183</v>
      </c>
      <c r="BS237" t="s">
        <v>143</v>
      </c>
      <c r="BT237"/>
      <c r="BU237"/>
      <c r="BV237"/>
      <c r="BW237"/>
      <c r="BX237"/>
      <c r="BY237"/>
      <c r="BZ237"/>
      <c r="CA237" t="s">
        <v>325</v>
      </c>
      <c r="CB237" t="s">
        <v>192</v>
      </c>
    </row>
    <row r="238" spans="1:81" ht="15" customHeight="1" x14ac:dyDescent="0.25">
      <c r="A238" s="274" t="s">
        <v>1321</v>
      </c>
      <c r="B238" s="277" t="s">
        <v>459</v>
      </c>
      <c r="C238" s="274" t="s">
        <v>293</v>
      </c>
      <c r="D238" s="275">
        <v>44386</v>
      </c>
      <c r="E238" s="275">
        <v>45482</v>
      </c>
      <c r="H238" s="274" t="s">
        <v>258</v>
      </c>
      <c r="I238" s="238" t="s">
        <v>303</v>
      </c>
      <c r="M238" s="277" t="s">
        <v>1322</v>
      </c>
      <c r="N238" s="277" t="s">
        <v>1323</v>
      </c>
      <c r="O238" s="276" t="s">
        <v>1324</v>
      </c>
      <c r="Y238" s="276">
        <f t="shared" si="58"/>
        <v>0</v>
      </c>
      <c r="AA238" s="276">
        <v>3</v>
      </c>
      <c r="AB238" s="276">
        <v>2</v>
      </c>
      <c r="AI238" s="276">
        <f t="shared" si="59"/>
        <v>5</v>
      </c>
      <c r="AJ238">
        <f t="shared" si="47"/>
        <v>3</v>
      </c>
      <c r="AK238">
        <f t="shared" si="48"/>
        <v>2</v>
      </c>
      <c r="AL238">
        <f t="shared" si="49"/>
        <v>0</v>
      </c>
      <c r="AM238">
        <f t="shared" si="50"/>
        <v>0</v>
      </c>
      <c r="AN238">
        <f t="shared" si="51"/>
        <v>0</v>
      </c>
      <c r="AO238">
        <f t="shared" si="52"/>
        <v>0</v>
      </c>
      <c r="AP238">
        <f t="shared" si="53"/>
        <v>0</v>
      </c>
      <c r="AQ238">
        <f t="shared" si="54"/>
        <v>0</v>
      </c>
      <c r="AR238" s="276">
        <f t="shared" si="55"/>
        <v>5</v>
      </c>
      <c r="AT238" s="278"/>
      <c r="AU238" s="274">
        <v>5</v>
      </c>
      <c r="AY238" s="279"/>
      <c r="BD238" s="279"/>
      <c r="BK238" s="280">
        <f t="shared" si="56"/>
        <v>5</v>
      </c>
      <c r="BL238" s="274">
        <f t="shared" si="57"/>
        <v>5</v>
      </c>
      <c r="BP238" s="281">
        <v>516134</v>
      </c>
      <c r="BQ238" s="281">
        <v>171142</v>
      </c>
      <c r="BR238" s="296" t="s">
        <v>183</v>
      </c>
      <c r="BS238" t="s">
        <v>143</v>
      </c>
      <c r="BT238" t="s">
        <v>143</v>
      </c>
      <c r="BU238"/>
      <c r="BV238"/>
      <c r="BW238"/>
      <c r="BX238"/>
      <c r="BY238" t="s">
        <v>662</v>
      </c>
      <c r="BZ238" t="s">
        <v>325</v>
      </c>
      <c r="CA238" t="s">
        <v>325</v>
      </c>
      <c r="CB238" t="s">
        <v>192</v>
      </c>
    </row>
    <row r="239" spans="1:81" ht="15" customHeight="1" x14ac:dyDescent="0.25">
      <c r="A239" s="274" t="s">
        <v>1325</v>
      </c>
      <c r="B239" s="277" t="s">
        <v>532</v>
      </c>
      <c r="D239" s="275">
        <v>44939</v>
      </c>
      <c r="E239" s="275">
        <v>46035</v>
      </c>
      <c r="H239" s="274" t="s">
        <v>258</v>
      </c>
      <c r="I239" s="238" t="s">
        <v>303</v>
      </c>
      <c r="M239" s="277" t="s">
        <v>1326</v>
      </c>
      <c r="N239" s="277" t="s">
        <v>1327</v>
      </c>
      <c r="O239" s="276" t="s">
        <v>1328</v>
      </c>
      <c r="Y239" s="276">
        <f t="shared" si="58"/>
        <v>0</v>
      </c>
      <c r="AA239" s="276">
        <v>1</v>
      </c>
      <c r="AI239" s="276">
        <f t="shared" si="59"/>
        <v>1</v>
      </c>
      <c r="AJ239">
        <f t="shared" si="47"/>
        <v>1</v>
      </c>
      <c r="AK239">
        <f t="shared" si="48"/>
        <v>0</v>
      </c>
      <c r="AL239">
        <f t="shared" si="49"/>
        <v>0</v>
      </c>
      <c r="AM239">
        <f t="shared" si="50"/>
        <v>0</v>
      </c>
      <c r="AN239">
        <f t="shared" si="51"/>
        <v>0</v>
      </c>
      <c r="AO239">
        <f t="shared" si="52"/>
        <v>0</v>
      </c>
      <c r="AP239">
        <f t="shared" si="53"/>
        <v>0</v>
      </c>
      <c r="AQ239">
        <f t="shared" si="54"/>
        <v>0</v>
      </c>
      <c r="AR239" s="276">
        <f t="shared" si="55"/>
        <v>1</v>
      </c>
      <c r="AT239" s="278"/>
      <c r="AU239" s="274">
        <v>0.25</v>
      </c>
      <c r="AV239" s="274">
        <v>0.25</v>
      </c>
      <c r="AW239" s="274">
        <v>0.25</v>
      </c>
      <c r="AX239" s="274">
        <v>0.25</v>
      </c>
      <c r="AY239" s="279"/>
      <c r="BD239" s="279"/>
      <c r="BK239" s="280">
        <f t="shared" si="56"/>
        <v>1</v>
      </c>
      <c r="BL239" s="274">
        <f t="shared" si="57"/>
        <v>1</v>
      </c>
      <c r="BP239" s="281">
        <v>513359</v>
      </c>
      <c r="BQ239" s="281">
        <v>169765</v>
      </c>
      <c r="BR239" s="296" t="s">
        <v>183</v>
      </c>
      <c r="BS239" t="s">
        <v>161</v>
      </c>
      <c r="BT239"/>
      <c r="BU239"/>
      <c r="BV239"/>
      <c r="BW239"/>
      <c r="BX239"/>
      <c r="BY239"/>
      <c r="BZ239"/>
      <c r="CA239" t="s">
        <v>325</v>
      </c>
      <c r="CB239" t="s">
        <v>189</v>
      </c>
    </row>
    <row r="240" spans="1:81" ht="15" customHeight="1" x14ac:dyDescent="0.25">
      <c r="A240" s="274" t="s">
        <v>1329</v>
      </c>
      <c r="B240" s="277" t="s">
        <v>532</v>
      </c>
      <c r="D240" s="275">
        <v>45302</v>
      </c>
      <c r="E240" s="275">
        <v>46398</v>
      </c>
      <c r="H240" s="274" t="s">
        <v>258</v>
      </c>
      <c r="I240" s="238" t="s">
        <v>303</v>
      </c>
      <c r="M240" s="277" t="s">
        <v>1330</v>
      </c>
      <c r="N240" s="277" t="s">
        <v>1331</v>
      </c>
      <c r="O240" s="276" t="s">
        <v>1332</v>
      </c>
      <c r="Y240" s="276">
        <f t="shared" si="58"/>
        <v>0</v>
      </c>
      <c r="AA240" s="276">
        <v>3</v>
      </c>
      <c r="AB240" s="276">
        <v>1</v>
      </c>
      <c r="AI240" s="276">
        <f t="shared" si="59"/>
        <v>4</v>
      </c>
      <c r="AJ240">
        <f t="shared" si="47"/>
        <v>3</v>
      </c>
      <c r="AK240">
        <f t="shared" si="48"/>
        <v>1</v>
      </c>
      <c r="AL240">
        <f t="shared" si="49"/>
        <v>0</v>
      </c>
      <c r="AM240">
        <f t="shared" si="50"/>
        <v>0</v>
      </c>
      <c r="AN240">
        <f t="shared" si="51"/>
        <v>0</v>
      </c>
      <c r="AO240">
        <f t="shared" si="52"/>
        <v>0</v>
      </c>
      <c r="AP240">
        <f t="shared" si="53"/>
        <v>0</v>
      </c>
      <c r="AQ240">
        <f t="shared" si="54"/>
        <v>0</v>
      </c>
      <c r="AR240" s="276">
        <f t="shared" si="55"/>
        <v>4</v>
      </c>
      <c r="AT240" s="278"/>
      <c r="AU240" s="274">
        <v>1</v>
      </c>
      <c r="AV240" s="274">
        <v>1</v>
      </c>
      <c r="AW240" s="274">
        <v>1</v>
      </c>
      <c r="AX240" s="274">
        <v>1</v>
      </c>
      <c r="AY240" s="279"/>
      <c r="BD240" s="279"/>
      <c r="BK240" s="280">
        <f t="shared" si="56"/>
        <v>4</v>
      </c>
      <c r="BL240" s="274">
        <f t="shared" si="57"/>
        <v>4</v>
      </c>
      <c r="BP240" s="281">
        <v>515974</v>
      </c>
      <c r="BQ240" s="281">
        <v>173142</v>
      </c>
      <c r="BR240" s="296" t="s">
        <v>145</v>
      </c>
      <c r="BS240" t="s">
        <v>171</v>
      </c>
      <c r="BT240" t="s">
        <v>145</v>
      </c>
      <c r="BU240"/>
      <c r="BV240"/>
      <c r="BW240"/>
      <c r="BX240"/>
      <c r="BY240"/>
      <c r="BZ240"/>
      <c r="CA240" t="s">
        <v>325</v>
      </c>
      <c r="CB240" t="s">
        <v>193</v>
      </c>
    </row>
    <row r="241" spans="1:81" ht="15" customHeight="1" x14ac:dyDescent="0.25">
      <c r="A241" s="274" t="s">
        <v>1333</v>
      </c>
      <c r="B241" s="277" t="s">
        <v>459</v>
      </c>
      <c r="C241" s="274" t="s">
        <v>293</v>
      </c>
      <c r="D241" s="275">
        <v>44384</v>
      </c>
      <c r="E241" s="275">
        <v>45480</v>
      </c>
      <c r="H241" s="274" t="s">
        <v>258</v>
      </c>
      <c r="I241" s="238" t="s">
        <v>303</v>
      </c>
      <c r="M241" s="277" t="s">
        <v>1334</v>
      </c>
      <c r="N241" s="277" t="s">
        <v>1335</v>
      </c>
      <c r="O241" s="276" t="s">
        <v>1336</v>
      </c>
      <c r="Y241" s="276">
        <f t="shared" si="58"/>
        <v>0</v>
      </c>
      <c r="AB241" s="276">
        <v>4</v>
      </c>
      <c r="AC241" s="276">
        <v>2</v>
      </c>
      <c r="AI241" s="276">
        <f t="shared" si="59"/>
        <v>6</v>
      </c>
      <c r="AJ241">
        <f t="shared" si="47"/>
        <v>0</v>
      </c>
      <c r="AK241">
        <f t="shared" si="48"/>
        <v>4</v>
      </c>
      <c r="AL241">
        <f t="shared" si="49"/>
        <v>2</v>
      </c>
      <c r="AM241">
        <f t="shared" si="50"/>
        <v>0</v>
      </c>
      <c r="AN241">
        <f t="shared" si="51"/>
        <v>0</v>
      </c>
      <c r="AO241">
        <f t="shared" si="52"/>
        <v>0</v>
      </c>
      <c r="AP241">
        <f t="shared" si="53"/>
        <v>0</v>
      </c>
      <c r="AQ241">
        <f t="shared" si="54"/>
        <v>0</v>
      </c>
      <c r="AR241" s="276">
        <f t="shared" si="55"/>
        <v>6</v>
      </c>
      <c r="AT241" s="278"/>
      <c r="AU241" s="274">
        <v>6</v>
      </c>
      <c r="AY241" s="279"/>
      <c r="BD241" s="279"/>
      <c r="BK241" s="280">
        <f t="shared" si="56"/>
        <v>6</v>
      </c>
      <c r="BL241" s="274">
        <f t="shared" si="57"/>
        <v>6</v>
      </c>
      <c r="BP241" s="281">
        <v>518272</v>
      </c>
      <c r="BQ241" s="281">
        <v>174943</v>
      </c>
      <c r="BR241" s="296" t="s">
        <v>141</v>
      </c>
      <c r="BS241" t="s">
        <v>168</v>
      </c>
      <c r="BT241"/>
      <c r="BU241"/>
      <c r="BV241"/>
      <c r="BW241"/>
      <c r="BX241"/>
      <c r="BY241" t="s">
        <v>515</v>
      </c>
      <c r="BZ241" t="s">
        <v>325</v>
      </c>
      <c r="CA241" t="s">
        <v>325</v>
      </c>
      <c r="CB241" t="s">
        <v>191</v>
      </c>
    </row>
    <row r="242" spans="1:81" ht="15" customHeight="1" x14ac:dyDescent="0.25">
      <c r="A242" s="274" t="s">
        <v>1337</v>
      </c>
      <c r="B242" s="277" t="s">
        <v>444</v>
      </c>
      <c r="D242" s="275">
        <v>44817</v>
      </c>
      <c r="E242" s="275">
        <v>45913</v>
      </c>
      <c r="H242" s="274" t="s">
        <v>258</v>
      </c>
      <c r="I242" s="238" t="s">
        <v>303</v>
      </c>
      <c r="M242" s="277" t="s">
        <v>1338</v>
      </c>
      <c r="N242" s="277" t="s">
        <v>1339</v>
      </c>
      <c r="O242" s="276" t="s">
        <v>1340</v>
      </c>
      <c r="S242" s="276">
        <v>1</v>
      </c>
      <c r="Y242" s="276">
        <f t="shared" si="58"/>
        <v>1</v>
      </c>
      <c r="AE242" s="276">
        <v>1</v>
      </c>
      <c r="AI242" s="276">
        <f t="shared" si="59"/>
        <v>1</v>
      </c>
      <c r="AJ242">
        <f t="shared" si="47"/>
        <v>0</v>
      </c>
      <c r="AK242">
        <f t="shared" si="48"/>
        <v>0</v>
      </c>
      <c r="AL242">
        <f t="shared" si="49"/>
        <v>-1</v>
      </c>
      <c r="AM242">
        <f t="shared" si="50"/>
        <v>0</v>
      </c>
      <c r="AN242">
        <f t="shared" si="51"/>
        <v>1</v>
      </c>
      <c r="AO242">
        <f t="shared" si="52"/>
        <v>0</v>
      </c>
      <c r="AP242">
        <f t="shared" si="53"/>
        <v>0</v>
      </c>
      <c r="AQ242">
        <f t="shared" si="54"/>
        <v>0</v>
      </c>
      <c r="AR242" s="276">
        <f t="shared" si="55"/>
        <v>0</v>
      </c>
      <c r="AT242" s="278"/>
      <c r="AU242" s="274">
        <v>0</v>
      </c>
      <c r="AY242" s="279"/>
      <c r="BD242" s="279"/>
      <c r="BK242" s="280">
        <f t="shared" si="56"/>
        <v>0</v>
      </c>
      <c r="BL242" s="274">
        <f t="shared" si="57"/>
        <v>0</v>
      </c>
      <c r="BP242" s="281">
        <v>513869</v>
      </c>
      <c r="BQ242" s="281">
        <v>169984</v>
      </c>
      <c r="BR242" s="296" t="s">
        <v>183</v>
      </c>
      <c r="BS242" t="s">
        <v>161</v>
      </c>
      <c r="BT242"/>
      <c r="BU242"/>
      <c r="BV242"/>
      <c r="BW242"/>
      <c r="BX242"/>
      <c r="BY242"/>
      <c r="BZ242"/>
      <c r="CA242" t="s">
        <v>325</v>
      </c>
      <c r="CB242" t="s">
        <v>189</v>
      </c>
    </row>
    <row r="243" spans="1:81" ht="15" customHeight="1" x14ac:dyDescent="0.25">
      <c r="A243" s="274" t="s">
        <v>1341</v>
      </c>
      <c r="B243" s="277" t="s">
        <v>542</v>
      </c>
      <c r="D243" s="275">
        <v>44816</v>
      </c>
      <c r="E243" s="275">
        <v>45912</v>
      </c>
      <c r="H243" s="274" t="s">
        <v>258</v>
      </c>
      <c r="I243" s="238" t="s">
        <v>303</v>
      </c>
      <c r="M243" s="277" t="s">
        <v>1342</v>
      </c>
      <c r="N243" s="277" t="s">
        <v>1343</v>
      </c>
      <c r="O243" s="276" t="s">
        <v>1344</v>
      </c>
      <c r="S243" s="276">
        <v>1</v>
      </c>
      <c r="Y243" s="276">
        <f t="shared" si="58"/>
        <v>1</v>
      </c>
      <c r="AB243" s="276">
        <v>1</v>
      </c>
      <c r="AC243" s="276">
        <v>1</v>
      </c>
      <c r="AI243" s="276">
        <f t="shared" ref="AI243:AI274" si="60">SUM(AA243:AH243)</f>
        <v>2</v>
      </c>
      <c r="AJ243">
        <f t="shared" si="47"/>
        <v>0</v>
      </c>
      <c r="AK243">
        <f t="shared" si="48"/>
        <v>1</v>
      </c>
      <c r="AL243">
        <f t="shared" si="49"/>
        <v>0</v>
      </c>
      <c r="AM243">
        <f t="shared" si="50"/>
        <v>0</v>
      </c>
      <c r="AN243">
        <f t="shared" si="51"/>
        <v>0</v>
      </c>
      <c r="AO243">
        <f t="shared" si="52"/>
        <v>0</v>
      </c>
      <c r="AP243">
        <f t="shared" si="53"/>
        <v>0</v>
      </c>
      <c r="AQ243">
        <f t="shared" si="54"/>
        <v>0</v>
      </c>
      <c r="AR243" s="276">
        <f t="shared" si="55"/>
        <v>1</v>
      </c>
      <c r="AT243" s="278"/>
      <c r="AU243" s="274">
        <v>0.25</v>
      </c>
      <c r="AV243" s="274">
        <v>0.25</v>
      </c>
      <c r="AW243" s="274">
        <v>0.25</v>
      </c>
      <c r="AX243" s="274">
        <v>0.25</v>
      </c>
      <c r="AY243" s="279"/>
      <c r="BD243" s="279"/>
      <c r="BK243" s="280">
        <f t="shared" si="56"/>
        <v>1</v>
      </c>
      <c r="BL243" s="274">
        <f t="shared" si="57"/>
        <v>1</v>
      </c>
      <c r="BP243" s="281">
        <v>512618</v>
      </c>
      <c r="BQ243" s="281">
        <v>170021</v>
      </c>
      <c r="BR243" s="296" t="s">
        <v>183</v>
      </c>
      <c r="BS243" t="s">
        <v>161</v>
      </c>
      <c r="BT243"/>
      <c r="BU243"/>
      <c r="BV243"/>
      <c r="BW243"/>
      <c r="BX243"/>
      <c r="BY243"/>
      <c r="BZ243"/>
      <c r="CA243" t="s">
        <v>325</v>
      </c>
      <c r="CB243" t="s">
        <v>189</v>
      </c>
      <c r="CC243" s="276" t="s">
        <v>325</v>
      </c>
    </row>
    <row r="244" spans="1:81" ht="15" customHeight="1" x14ac:dyDescent="0.25">
      <c r="A244" s="274" t="s">
        <v>1345</v>
      </c>
      <c r="B244" s="274" t="s">
        <v>459</v>
      </c>
      <c r="C244" s="274"/>
      <c r="D244" s="275">
        <v>44594</v>
      </c>
      <c r="E244" s="275">
        <v>45690</v>
      </c>
      <c r="H244" s="274" t="s">
        <v>258</v>
      </c>
      <c r="I244" s="238" t="s">
        <v>303</v>
      </c>
      <c r="M244" s="277" t="s">
        <v>1346</v>
      </c>
      <c r="N244" s="277" t="s">
        <v>1347</v>
      </c>
      <c r="O244" s="276" t="s">
        <v>912</v>
      </c>
      <c r="Y244" s="276">
        <f t="shared" si="58"/>
        <v>0</v>
      </c>
      <c r="AC244" s="276">
        <v>1</v>
      </c>
      <c r="AI244" s="276">
        <f t="shared" si="60"/>
        <v>1</v>
      </c>
      <c r="AJ244">
        <f t="shared" si="47"/>
        <v>0</v>
      </c>
      <c r="AK244">
        <f t="shared" si="48"/>
        <v>0</v>
      </c>
      <c r="AL244">
        <f t="shared" si="49"/>
        <v>1</v>
      </c>
      <c r="AM244">
        <f t="shared" si="50"/>
        <v>0</v>
      </c>
      <c r="AN244">
        <f t="shared" si="51"/>
        <v>0</v>
      </c>
      <c r="AO244">
        <f t="shared" si="52"/>
        <v>0</v>
      </c>
      <c r="AP244">
        <f t="shared" si="53"/>
        <v>0</v>
      </c>
      <c r="AQ244">
        <f t="shared" si="54"/>
        <v>0</v>
      </c>
      <c r="AR244" s="276">
        <f t="shared" si="55"/>
        <v>1</v>
      </c>
      <c r="AT244" s="278"/>
      <c r="AU244" s="274">
        <v>0.25</v>
      </c>
      <c r="AV244" s="274">
        <v>0.25</v>
      </c>
      <c r="AW244" s="274">
        <v>0.25</v>
      </c>
      <c r="AX244" s="274">
        <v>0.25</v>
      </c>
      <c r="AY244" s="279"/>
      <c r="BD244" s="279"/>
      <c r="BK244" s="280">
        <f t="shared" si="56"/>
        <v>1</v>
      </c>
      <c r="BL244" s="274">
        <f t="shared" si="57"/>
        <v>1</v>
      </c>
      <c r="BP244" s="281">
        <v>518173</v>
      </c>
      <c r="BQ244" s="281">
        <v>174602</v>
      </c>
      <c r="BR244" s="296" t="s">
        <v>141</v>
      </c>
      <c r="BS244" t="s">
        <v>168</v>
      </c>
      <c r="BT244"/>
      <c r="BU244"/>
      <c r="BV244"/>
      <c r="BW244"/>
      <c r="BX244"/>
      <c r="BY244" t="s">
        <v>913</v>
      </c>
      <c r="BZ244" t="s">
        <v>325</v>
      </c>
      <c r="CA244" t="s">
        <v>325</v>
      </c>
      <c r="CB244" t="s">
        <v>191</v>
      </c>
    </row>
    <row r="245" spans="1:81" ht="15" customHeight="1" x14ac:dyDescent="0.25">
      <c r="A245" s="274" t="s">
        <v>1348</v>
      </c>
      <c r="B245" s="277" t="s">
        <v>459</v>
      </c>
      <c r="C245" s="274" t="s">
        <v>293</v>
      </c>
      <c r="D245" s="275">
        <v>44440</v>
      </c>
      <c r="E245" s="239">
        <v>45536</v>
      </c>
      <c r="H245" s="274" t="s">
        <v>258</v>
      </c>
      <c r="I245" s="238" t="s">
        <v>303</v>
      </c>
      <c r="M245" s="277" t="s">
        <v>1349</v>
      </c>
      <c r="N245" s="277" t="s">
        <v>1350</v>
      </c>
      <c r="O245" s="276" t="s">
        <v>1351</v>
      </c>
      <c r="Y245" s="276">
        <f t="shared" si="58"/>
        <v>0</v>
      </c>
      <c r="AA245" s="276">
        <v>1</v>
      </c>
      <c r="AI245" s="276">
        <f t="shared" si="60"/>
        <v>1</v>
      </c>
      <c r="AJ245">
        <f t="shared" si="47"/>
        <v>1</v>
      </c>
      <c r="AK245">
        <f t="shared" si="48"/>
        <v>0</v>
      </c>
      <c r="AL245">
        <f t="shared" si="49"/>
        <v>0</v>
      </c>
      <c r="AM245">
        <f t="shared" si="50"/>
        <v>0</v>
      </c>
      <c r="AN245">
        <f t="shared" si="51"/>
        <v>0</v>
      </c>
      <c r="AO245">
        <f t="shared" si="52"/>
        <v>0</v>
      </c>
      <c r="AP245">
        <f t="shared" si="53"/>
        <v>0</v>
      </c>
      <c r="AQ245">
        <f t="shared" si="54"/>
        <v>0</v>
      </c>
      <c r="AR245" s="276">
        <f t="shared" si="55"/>
        <v>1</v>
      </c>
      <c r="AT245" s="278"/>
      <c r="AU245" s="274">
        <v>1</v>
      </c>
      <c r="AY245" s="279"/>
      <c r="BD245" s="279"/>
      <c r="BK245" s="280">
        <f t="shared" si="56"/>
        <v>1</v>
      </c>
      <c r="BL245" s="274">
        <f t="shared" si="57"/>
        <v>1</v>
      </c>
      <c r="BP245" s="281">
        <v>520553</v>
      </c>
      <c r="BQ245" s="281">
        <v>175393</v>
      </c>
      <c r="BR245" s="296" t="s">
        <v>181</v>
      </c>
      <c r="BS245" t="s">
        <v>140</v>
      </c>
      <c r="BT245" t="s">
        <v>140</v>
      </c>
      <c r="BU245"/>
      <c r="BV245"/>
      <c r="BW245"/>
      <c r="BX245"/>
      <c r="BY245"/>
      <c r="BZ245"/>
      <c r="CA245" t="s">
        <v>325</v>
      </c>
      <c r="CB245" t="s">
        <v>190</v>
      </c>
    </row>
    <row r="246" spans="1:81" ht="15" customHeight="1" x14ac:dyDescent="0.25">
      <c r="A246" s="274" t="s">
        <v>1352</v>
      </c>
      <c r="B246" s="277" t="s">
        <v>444</v>
      </c>
      <c r="D246" s="275">
        <v>44735</v>
      </c>
      <c r="E246" s="275">
        <v>45831</v>
      </c>
      <c r="H246" s="274" t="s">
        <v>258</v>
      </c>
      <c r="I246" s="276" t="s">
        <v>208</v>
      </c>
      <c r="M246" s="277" t="s">
        <v>1353</v>
      </c>
      <c r="N246" s="277" t="s">
        <v>1354</v>
      </c>
      <c r="O246" s="276" t="s">
        <v>1355</v>
      </c>
      <c r="Y246" s="276">
        <f t="shared" si="58"/>
        <v>0</v>
      </c>
      <c r="Z246" s="276" t="s">
        <v>325</v>
      </c>
      <c r="AA246" s="276">
        <v>14</v>
      </c>
      <c r="AB246" s="276">
        <v>2</v>
      </c>
      <c r="AI246" s="276">
        <f t="shared" si="60"/>
        <v>16</v>
      </c>
      <c r="AJ246">
        <f t="shared" si="47"/>
        <v>14</v>
      </c>
      <c r="AK246">
        <f t="shared" si="48"/>
        <v>2</v>
      </c>
      <c r="AL246">
        <f t="shared" si="49"/>
        <v>0</v>
      </c>
      <c r="AM246">
        <f t="shared" si="50"/>
        <v>0</v>
      </c>
      <c r="AN246">
        <f t="shared" si="51"/>
        <v>0</v>
      </c>
      <c r="AO246">
        <f t="shared" si="52"/>
        <v>0</v>
      </c>
      <c r="AP246">
        <f t="shared" si="53"/>
        <v>0</v>
      </c>
      <c r="AQ246">
        <f t="shared" si="54"/>
        <v>0</v>
      </c>
      <c r="AR246" s="276">
        <f t="shared" si="55"/>
        <v>16</v>
      </c>
      <c r="AT246" s="278"/>
      <c r="AW246" s="274">
        <v>8</v>
      </c>
      <c r="AX246" s="274">
        <v>8</v>
      </c>
      <c r="AY246" s="279"/>
      <c r="BD246" s="279"/>
      <c r="BK246" s="280">
        <f t="shared" si="56"/>
        <v>16</v>
      </c>
      <c r="BL246" s="274">
        <f t="shared" si="57"/>
        <v>16</v>
      </c>
      <c r="BP246" s="281">
        <v>515712</v>
      </c>
      <c r="BQ246" s="281">
        <v>170847</v>
      </c>
      <c r="BR246" s="296" t="s">
        <v>183</v>
      </c>
      <c r="BS246" t="s">
        <v>143</v>
      </c>
      <c r="BT246"/>
      <c r="BU246"/>
      <c r="BV246"/>
      <c r="BW246"/>
      <c r="BX246"/>
      <c r="BY246"/>
      <c r="BZ246"/>
      <c r="CA246" t="s">
        <v>325</v>
      </c>
      <c r="CB246" t="s">
        <v>192</v>
      </c>
    </row>
    <row r="247" spans="1:81" ht="15" customHeight="1" x14ac:dyDescent="0.25">
      <c r="A247" s="274" t="s">
        <v>1356</v>
      </c>
      <c r="B247" s="277" t="s">
        <v>481</v>
      </c>
      <c r="D247" s="275">
        <v>44489</v>
      </c>
      <c r="E247" s="275">
        <v>45776</v>
      </c>
      <c r="H247" s="274" t="s">
        <v>258</v>
      </c>
      <c r="I247" s="238" t="s">
        <v>303</v>
      </c>
      <c r="M247" s="277" t="s">
        <v>1357</v>
      </c>
      <c r="N247" s="277" t="s">
        <v>1358</v>
      </c>
      <c r="O247" s="276" t="s">
        <v>1359</v>
      </c>
      <c r="R247" s="276">
        <v>1</v>
      </c>
      <c r="S247" s="276">
        <v>1</v>
      </c>
      <c r="Y247" s="276">
        <f t="shared" si="58"/>
        <v>2</v>
      </c>
      <c r="AA247" s="276">
        <v>4</v>
      </c>
      <c r="AB247" s="276">
        <v>2</v>
      </c>
      <c r="AI247" s="276">
        <f t="shared" si="60"/>
        <v>6</v>
      </c>
      <c r="AJ247">
        <f t="shared" si="47"/>
        <v>4</v>
      </c>
      <c r="AK247">
        <f t="shared" si="48"/>
        <v>1</v>
      </c>
      <c r="AL247">
        <f t="shared" si="49"/>
        <v>-1</v>
      </c>
      <c r="AM247">
        <f t="shared" si="50"/>
        <v>0</v>
      </c>
      <c r="AN247">
        <f t="shared" si="51"/>
        <v>0</v>
      </c>
      <c r="AO247">
        <f t="shared" si="52"/>
        <v>0</v>
      </c>
      <c r="AP247">
        <f t="shared" si="53"/>
        <v>0</v>
      </c>
      <c r="AQ247">
        <f t="shared" si="54"/>
        <v>0</v>
      </c>
      <c r="AR247" s="276">
        <f t="shared" si="55"/>
        <v>4</v>
      </c>
      <c r="AT247" s="278"/>
      <c r="AU247" s="274">
        <v>1</v>
      </c>
      <c r="AV247" s="274">
        <v>1</v>
      </c>
      <c r="AW247" s="274">
        <v>1</v>
      </c>
      <c r="AX247" s="274">
        <v>1</v>
      </c>
      <c r="AY247" s="279"/>
      <c r="BD247" s="279"/>
      <c r="BK247" s="280">
        <f t="shared" si="56"/>
        <v>4</v>
      </c>
      <c r="BL247" s="274">
        <f t="shared" si="57"/>
        <v>4</v>
      </c>
      <c r="BP247" s="281">
        <v>514632</v>
      </c>
      <c r="BQ247" s="281">
        <v>171370</v>
      </c>
      <c r="BR247" s="296" t="s">
        <v>183</v>
      </c>
      <c r="BS247" t="s">
        <v>159</v>
      </c>
      <c r="BT247"/>
      <c r="BU247"/>
      <c r="BV247"/>
      <c r="BW247"/>
      <c r="BX247"/>
      <c r="BY247"/>
      <c r="BZ247"/>
      <c r="CA247" t="s">
        <v>325</v>
      </c>
      <c r="CB247" t="s">
        <v>192</v>
      </c>
    </row>
    <row r="248" spans="1:81" ht="15" customHeight="1" x14ac:dyDescent="0.25">
      <c r="A248" s="274" t="s">
        <v>1360</v>
      </c>
      <c r="B248" s="274" t="s">
        <v>444</v>
      </c>
      <c r="C248" s="274"/>
      <c r="D248" s="275">
        <v>44916</v>
      </c>
      <c r="E248" s="275">
        <v>46012</v>
      </c>
      <c r="H248" s="237" t="s">
        <v>258</v>
      </c>
      <c r="I248" s="276" t="s">
        <v>312</v>
      </c>
      <c r="M248" s="277" t="s">
        <v>1361</v>
      </c>
      <c r="N248" s="277" t="s">
        <v>1362</v>
      </c>
      <c r="O248" s="276" t="s">
        <v>674</v>
      </c>
      <c r="P248" s="276" t="s">
        <v>1363</v>
      </c>
      <c r="Y248" s="276">
        <f>SUM(U248:X248)</f>
        <v>0</v>
      </c>
      <c r="Z248" s="276" t="s">
        <v>325</v>
      </c>
      <c r="AA248" s="276">
        <v>9</v>
      </c>
      <c r="AB248" s="276">
        <v>7</v>
      </c>
      <c r="AC248" s="276">
        <v>1</v>
      </c>
      <c r="AI248" s="276">
        <f t="shared" si="60"/>
        <v>17</v>
      </c>
      <c r="AJ248">
        <f t="shared" si="47"/>
        <v>9</v>
      </c>
      <c r="AK248">
        <f t="shared" si="48"/>
        <v>7</v>
      </c>
      <c r="AL248">
        <f t="shared" si="49"/>
        <v>1</v>
      </c>
      <c r="AM248">
        <f t="shared" si="50"/>
        <v>0</v>
      </c>
      <c r="AN248">
        <f t="shared" si="51"/>
        <v>0</v>
      </c>
      <c r="AO248">
        <f t="shared" si="52"/>
        <v>0</v>
      </c>
      <c r="AP248">
        <f t="shared" si="53"/>
        <v>0</v>
      </c>
      <c r="AQ248">
        <f t="shared" si="54"/>
        <v>0</v>
      </c>
      <c r="AR248" s="276">
        <f t="shared" si="55"/>
        <v>17</v>
      </c>
      <c r="AT248" s="278"/>
      <c r="AV248" s="274">
        <v>4.25</v>
      </c>
      <c r="AW248" s="274">
        <v>4.25</v>
      </c>
      <c r="AX248" s="274">
        <v>4.25</v>
      </c>
      <c r="AY248" s="279">
        <v>4.25</v>
      </c>
      <c r="BD248" s="279"/>
      <c r="BK248" s="280">
        <f t="shared" si="56"/>
        <v>17</v>
      </c>
      <c r="BL248" s="274">
        <f t="shared" si="57"/>
        <v>17</v>
      </c>
      <c r="BP248" s="281">
        <v>516311</v>
      </c>
      <c r="BQ248" s="281">
        <v>173216</v>
      </c>
      <c r="BR248" s="296" t="s">
        <v>145</v>
      </c>
      <c r="BS248" t="s">
        <v>171</v>
      </c>
      <c r="BT248" t="s">
        <v>145</v>
      </c>
      <c r="BU248"/>
      <c r="BV248"/>
      <c r="BW248"/>
      <c r="BX248"/>
      <c r="BY248" t="s">
        <v>679</v>
      </c>
      <c r="BZ248" t="s">
        <v>325</v>
      </c>
      <c r="CA248" t="s">
        <v>325</v>
      </c>
      <c r="CB248" t="s">
        <v>193</v>
      </c>
    </row>
    <row r="249" spans="1:81" ht="15" customHeight="1" x14ac:dyDescent="0.25">
      <c r="A249" s="274" t="s">
        <v>1360</v>
      </c>
      <c r="B249" s="274" t="s">
        <v>444</v>
      </c>
      <c r="C249" s="274"/>
      <c r="D249" s="275">
        <v>44916</v>
      </c>
      <c r="E249" s="275">
        <v>46012</v>
      </c>
      <c r="H249" s="237" t="s">
        <v>258</v>
      </c>
      <c r="I249" s="276" t="s">
        <v>208</v>
      </c>
      <c r="M249" s="277" t="s">
        <v>1361</v>
      </c>
      <c r="N249" s="277" t="s">
        <v>1362</v>
      </c>
      <c r="O249" s="276" t="s">
        <v>674</v>
      </c>
      <c r="P249" s="276" t="s">
        <v>1363</v>
      </c>
      <c r="Y249" s="276">
        <f>SUM(U249:X249)</f>
        <v>0</v>
      </c>
      <c r="Z249" s="276" t="s">
        <v>325</v>
      </c>
      <c r="AA249" s="276">
        <v>2</v>
      </c>
      <c r="AB249" s="276">
        <v>2</v>
      </c>
      <c r="AI249" s="276">
        <f t="shared" si="60"/>
        <v>4</v>
      </c>
      <c r="AJ249">
        <f t="shared" si="47"/>
        <v>2</v>
      </c>
      <c r="AK249">
        <f t="shared" si="48"/>
        <v>2</v>
      </c>
      <c r="AL249">
        <f t="shared" si="49"/>
        <v>0</v>
      </c>
      <c r="AM249">
        <f t="shared" si="50"/>
        <v>0</v>
      </c>
      <c r="AN249">
        <f t="shared" si="51"/>
        <v>0</v>
      </c>
      <c r="AO249">
        <f t="shared" si="52"/>
        <v>0</v>
      </c>
      <c r="AP249">
        <f t="shared" si="53"/>
        <v>0</v>
      </c>
      <c r="AQ249">
        <f t="shared" si="54"/>
        <v>0</v>
      </c>
      <c r="AR249" s="276">
        <f t="shared" si="55"/>
        <v>4</v>
      </c>
      <c r="AT249" s="278"/>
      <c r="AV249" s="274">
        <v>1</v>
      </c>
      <c r="AW249" s="274">
        <v>1</v>
      </c>
      <c r="AX249" s="274">
        <v>1</v>
      </c>
      <c r="AY249" s="279">
        <v>1</v>
      </c>
      <c r="BD249" s="279"/>
      <c r="BK249" s="280">
        <f t="shared" si="56"/>
        <v>4</v>
      </c>
      <c r="BL249" s="274">
        <f t="shared" si="57"/>
        <v>4</v>
      </c>
      <c r="BP249" s="281">
        <v>516311</v>
      </c>
      <c r="BQ249" s="281">
        <v>173216</v>
      </c>
      <c r="BR249" s="296" t="s">
        <v>145</v>
      </c>
      <c r="BS249" t="s">
        <v>171</v>
      </c>
      <c r="BT249" t="s">
        <v>145</v>
      </c>
      <c r="BU249"/>
      <c r="BV249"/>
      <c r="BW249"/>
      <c r="BX249"/>
      <c r="BY249" t="s">
        <v>679</v>
      </c>
      <c r="BZ249" t="s">
        <v>325</v>
      </c>
      <c r="CA249" t="s">
        <v>325</v>
      </c>
      <c r="CB249" t="s">
        <v>193</v>
      </c>
    </row>
    <row r="250" spans="1:81" ht="15" customHeight="1" x14ac:dyDescent="0.25">
      <c r="A250" s="274" t="s">
        <v>1360</v>
      </c>
      <c r="B250" s="274" t="s">
        <v>444</v>
      </c>
      <c r="C250" s="274"/>
      <c r="D250" s="275">
        <v>44916</v>
      </c>
      <c r="E250" s="275">
        <v>46012</v>
      </c>
      <c r="H250" s="237" t="s">
        <v>258</v>
      </c>
      <c r="I250" s="244" t="s">
        <v>303</v>
      </c>
      <c r="J250" s="244"/>
      <c r="K250" s="244"/>
      <c r="L250" s="244"/>
      <c r="M250" s="277" t="s">
        <v>1361</v>
      </c>
      <c r="N250" s="277" t="s">
        <v>1362</v>
      </c>
      <c r="O250" s="276" t="s">
        <v>674</v>
      </c>
      <c r="P250" s="276" t="s">
        <v>1364</v>
      </c>
      <c r="Y250" s="276">
        <f>SUM(U250:X250)</f>
        <v>0</v>
      </c>
      <c r="AA250" s="276">
        <v>14</v>
      </c>
      <c r="AB250" s="276">
        <v>10</v>
      </c>
      <c r="AI250" s="276">
        <f t="shared" si="60"/>
        <v>24</v>
      </c>
      <c r="AJ250">
        <f t="shared" si="47"/>
        <v>14</v>
      </c>
      <c r="AK250">
        <f t="shared" si="48"/>
        <v>10</v>
      </c>
      <c r="AL250">
        <f t="shared" si="49"/>
        <v>0</v>
      </c>
      <c r="AM250">
        <f t="shared" si="50"/>
        <v>0</v>
      </c>
      <c r="AN250">
        <f t="shared" si="51"/>
        <v>0</v>
      </c>
      <c r="AO250">
        <f t="shared" si="52"/>
        <v>0</v>
      </c>
      <c r="AP250">
        <f t="shared" si="53"/>
        <v>0</v>
      </c>
      <c r="AQ250">
        <f t="shared" si="54"/>
        <v>0</v>
      </c>
      <c r="AR250" s="276">
        <f t="shared" si="55"/>
        <v>24</v>
      </c>
      <c r="AT250" s="278"/>
      <c r="AV250" s="274">
        <v>6</v>
      </c>
      <c r="AW250" s="274">
        <v>6</v>
      </c>
      <c r="AX250" s="274">
        <v>6</v>
      </c>
      <c r="AY250" s="279">
        <v>6</v>
      </c>
      <c r="BD250" s="279"/>
      <c r="BK250" s="280">
        <f t="shared" si="56"/>
        <v>24</v>
      </c>
      <c r="BL250" s="274">
        <f t="shared" si="57"/>
        <v>24</v>
      </c>
      <c r="BP250" s="281">
        <v>516311</v>
      </c>
      <c r="BQ250" s="281">
        <v>173216</v>
      </c>
      <c r="BR250" s="296" t="s">
        <v>145</v>
      </c>
      <c r="BS250" t="s">
        <v>171</v>
      </c>
      <c r="BT250" t="s">
        <v>145</v>
      </c>
      <c r="BU250"/>
      <c r="BV250"/>
      <c r="BW250"/>
      <c r="BX250"/>
      <c r="BY250" t="s">
        <v>679</v>
      </c>
      <c r="BZ250" t="s">
        <v>325</v>
      </c>
      <c r="CA250" t="s">
        <v>325</v>
      </c>
      <c r="CB250" t="s">
        <v>193</v>
      </c>
    </row>
    <row r="251" spans="1:81" ht="15" customHeight="1" x14ac:dyDescent="0.25">
      <c r="A251" s="274" t="s">
        <v>1365</v>
      </c>
      <c r="B251" s="277" t="s">
        <v>459</v>
      </c>
      <c r="D251" s="275">
        <v>44740</v>
      </c>
      <c r="E251" s="275">
        <v>45836</v>
      </c>
      <c r="H251" s="274" t="s">
        <v>258</v>
      </c>
      <c r="I251" s="238" t="s">
        <v>303</v>
      </c>
      <c r="M251" s="277" t="s">
        <v>1366</v>
      </c>
      <c r="N251" s="277" t="s">
        <v>1367</v>
      </c>
      <c r="O251" s="276" t="s">
        <v>1368</v>
      </c>
      <c r="Y251" s="276">
        <f t="shared" ref="Y251:Y282" si="61">SUM(Q251:X251)</f>
        <v>0</v>
      </c>
      <c r="AA251" s="276">
        <v>1</v>
      </c>
      <c r="AB251" s="276">
        <v>1</v>
      </c>
      <c r="AI251" s="276">
        <f t="shared" si="60"/>
        <v>2</v>
      </c>
      <c r="AJ251">
        <f t="shared" si="47"/>
        <v>1</v>
      </c>
      <c r="AK251">
        <f t="shared" si="48"/>
        <v>1</v>
      </c>
      <c r="AL251">
        <f t="shared" si="49"/>
        <v>0</v>
      </c>
      <c r="AM251">
        <f t="shared" si="50"/>
        <v>0</v>
      </c>
      <c r="AN251">
        <f t="shared" si="51"/>
        <v>0</v>
      </c>
      <c r="AO251">
        <f t="shared" si="52"/>
        <v>0</v>
      </c>
      <c r="AP251">
        <f t="shared" si="53"/>
        <v>0</v>
      </c>
      <c r="AQ251">
        <f t="shared" si="54"/>
        <v>0</v>
      </c>
      <c r="AR251" s="276">
        <f t="shared" si="55"/>
        <v>2</v>
      </c>
      <c r="AT251" s="278"/>
      <c r="AU251" s="274">
        <v>0.5</v>
      </c>
      <c r="AV251" s="274">
        <v>0.5</v>
      </c>
      <c r="AW251" s="274">
        <v>0.5</v>
      </c>
      <c r="AX251" s="274">
        <v>0.5</v>
      </c>
      <c r="AY251" s="279"/>
      <c r="BD251" s="279"/>
      <c r="BK251" s="280">
        <f t="shared" si="56"/>
        <v>2</v>
      </c>
      <c r="BL251" s="274">
        <f t="shared" si="57"/>
        <v>2</v>
      </c>
      <c r="BP251" s="281">
        <v>520700</v>
      </c>
      <c r="BQ251" s="281">
        <v>175411</v>
      </c>
      <c r="BR251" s="296" t="s">
        <v>181</v>
      </c>
      <c r="BS251" t="s">
        <v>140</v>
      </c>
      <c r="BT251" t="s">
        <v>140</v>
      </c>
      <c r="BU251"/>
      <c r="BV251"/>
      <c r="BW251"/>
      <c r="BX251"/>
      <c r="BY251"/>
      <c r="BZ251"/>
      <c r="CA251" t="s">
        <v>325</v>
      </c>
      <c r="CB251" t="s">
        <v>190</v>
      </c>
    </row>
    <row r="252" spans="1:81" ht="15" customHeight="1" x14ac:dyDescent="0.25">
      <c r="A252" s="274" t="s">
        <v>1369</v>
      </c>
      <c r="B252" s="277" t="s">
        <v>481</v>
      </c>
      <c r="D252" s="275">
        <v>44911</v>
      </c>
      <c r="E252" s="275">
        <v>46007</v>
      </c>
      <c r="H252" s="274" t="s">
        <v>258</v>
      </c>
      <c r="I252" s="238" t="s">
        <v>303</v>
      </c>
      <c r="M252" s="277" t="s">
        <v>1370</v>
      </c>
      <c r="N252" s="277" t="s">
        <v>1371</v>
      </c>
      <c r="O252" s="276" t="s">
        <v>1372</v>
      </c>
      <c r="Q252" s="276">
        <v>9</v>
      </c>
      <c r="Y252" s="276">
        <f t="shared" si="61"/>
        <v>9</v>
      </c>
      <c r="AA252" s="276">
        <v>1</v>
      </c>
      <c r="AB252" s="276">
        <v>3</v>
      </c>
      <c r="AI252" s="276">
        <f t="shared" si="60"/>
        <v>4</v>
      </c>
      <c r="AJ252">
        <f t="shared" si="47"/>
        <v>-8</v>
      </c>
      <c r="AK252">
        <f t="shared" si="48"/>
        <v>3</v>
      </c>
      <c r="AL252">
        <f t="shared" si="49"/>
        <v>0</v>
      </c>
      <c r="AM252">
        <f t="shared" si="50"/>
        <v>0</v>
      </c>
      <c r="AN252">
        <f t="shared" si="51"/>
        <v>0</v>
      </c>
      <c r="AO252">
        <f t="shared" si="52"/>
        <v>0</v>
      </c>
      <c r="AP252">
        <f t="shared" si="53"/>
        <v>0</v>
      </c>
      <c r="AQ252">
        <f t="shared" si="54"/>
        <v>0</v>
      </c>
      <c r="AR252" s="276">
        <f t="shared" si="55"/>
        <v>-5</v>
      </c>
      <c r="AT252" s="278"/>
      <c r="AU252" s="274">
        <v>-1.25</v>
      </c>
      <c r="AV252" s="274">
        <v>-1.25</v>
      </c>
      <c r="AW252" s="274">
        <v>-1.25</v>
      </c>
      <c r="AX252" s="274">
        <v>-1.25</v>
      </c>
      <c r="AY252" s="279"/>
      <c r="BD252" s="279"/>
      <c r="BK252" s="280">
        <f t="shared" si="56"/>
        <v>-5</v>
      </c>
      <c r="BL252" s="274">
        <f t="shared" si="57"/>
        <v>-5</v>
      </c>
      <c r="BP252" s="281">
        <v>514541</v>
      </c>
      <c r="BQ252" s="281">
        <v>172794</v>
      </c>
      <c r="BR252" s="296" t="s">
        <v>145</v>
      </c>
      <c r="BS252" t="s">
        <v>172</v>
      </c>
      <c r="BT252"/>
      <c r="BU252"/>
      <c r="BV252"/>
      <c r="BW252"/>
      <c r="BX252"/>
      <c r="BY252"/>
      <c r="BZ252"/>
      <c r="CA252" t="s">
        <v>325</v>
      </c>
      <c r="CB252" t="s">
        <v>193</v>
      </c>
    </row>
    <row r="253" spans="1:81" ht="15" customHeight="1" x14ac:dyDescent="0.25">
      <c r="A253" s="274" t="s">
        <v>1373</v>
      </c>
      <c r="B253" s="277" t="s">
        <v>459</v>
      </c>
      <c r="D253" s="275">
        <v>44622</v>
      </c>
      <c r="E253" s="275">
        <v>45718</v>
      </c>
      <c r="H253" s="274" t="s">
        <v>258</v>
      </c>
      <c r="I253" s="238" t="s">
        <v>303</v>
      </c>
      <c r="M253" s="277" t="s">
        <v>1374</v>
      </c>
      <c r="N253" s="277" t="s">
        <v>1375</v>
      </c>
      <c r="O253" s="276" t="s">
        <v>1376</v>
      </c>
      <c r="Y253" s="276">
        <f t="shared" si="61"/>
        <v>0</v>
      </c>
      <c r="AB253" s="276">
        <v>1</v>
      </c>
      <c r="AI253" s="276">
        <f t="shared" si="60"/>
        <v>1</v>
      </c>
      <c r="AJ253">
        <f t="shared" si="47"/>
        <v>0</v>
      </c>
      <c r="AK253">
        <f t="shared" si="48"/>
        <v>1</v>
      </c>
      <c r="AL253">
        <f t="shared" si="49"/>
        <v>0</v>
      </c>
      <c r="AM253">
        <f t="shared" si="50"/>
        <v>0</v>
      </c>
      <c r="AN253">
        <f t="shared" si="51"/>
        <v>0</v>
      </c>
      <c r="AO253">
        <f t="shared" si="52"/>
        <v>0</v>
      </c>
      <c r="AP253">
        <f t="shared" si="53"/>
        <v>0</v>
      </c>
      <c r="AQ253">
        <f t="shared" si="54"/>
        <v>0</v>
      </c>
      <c r="AR253" s="276">
        <f t="shared" si="55"/>
        <v>1</v>
      </c>
      <c r="AT253" s="278"/>
      <c r="AU253" s="274">
        <v>0.25</v>
      </c>
      <c r="AV253" s="274">
        <v>0.25</v>
      </c>
      <c r="AW253" s="274">
        <v>0.25</v>
      </c>
      <c r="AX253" s="274">
        <v>0.25</v>
      </c>
      <c r="AY253" s="279"/>
      <c r="BD253" s="279"/>
      <c r="BK253" s="280">
        <f t="shared" si="56"/>
        <v>1</v>
      </c>
      <c r="BL253" s="274">
        <f t="shared" si="57"/>
        <v>1</v>
      </c>
      <c r="BP253" s="281">
        <v>514165</v>
      </c>
      <c r="BQ253" s="281">
        <v>173531</v>
      </c>
      <c r="BR253" t="s">
        <v>147</v>
      </c>
      <c r="BS253" t="s">
        <v>164</v>
      </c>
      <c r="BT253"/>
      <c r="BU253"/>
      <c r="BV253"/>
      <c r="BW253"/>
      <c r="BX253"/>
      <c r="BY253"/>
      <c r="BZ253"/>
      <c r="CA253" t="s">
        <v>325</v>
      </c>
      <c r="CB253" t="s">
        <v>194</v>
      </c>
    </row>
    <row r="254" spans="1:81" ht="15" customHeight="1" x14ac:dyDescent="0.25">
      <c r="A254" s="274" t="s">
        <v>1377</v>
      </c>
      <c r="B254" s="277" t="s">
        <v>542</v>
      </c>
      <c r="D254" s="275">
        <v>44671</v>
      </c>
      <c r="E254" s="275">
        <v>45767</v>
      </c>
      <c r="H254" s="274" t="s">
        <v>258</v>
      </c>
      <c r="I254" s="238" t="s">
        <v>303</v>
      </c>
      <c r="M254" s="277" t="s">
        <v>1378</v>
      </c>
      <c r="N254" s="277" t="s">
        <v>1379</v>
      </c>
      <c r="O254" s="276" t="s">
        <v>1380</v>
      </c>
      <c r="Y254" s="276">
        <f t="shared" si="61"/>
        <v>0</v>
      </c>
      <c r="AA254" s="276">
        <v>1</v>
      </c>
      <c r="AC254" s="276">
        <v>1</v>
      </c>
      <c r="AI254" s="276">
        <f t="shared" si="60"/>
        <v>2</v>
      </c>
      <c r="AJ254">
        <f t="shared" si="47"/>
        <v>1</v>
      </c>
      <c r="AK254">
        <f t="shared" si="48"/>
        <v>0</v>
      </c>
      <c r="AL254">
        <f t="shared" si="49"/>
        <v>1</v>
      </c>
      <c r="AM254">
        <f t="shared" si="50"/>
        <v>0</v>
      </c>
      <c r="AN254">
        <f t="shared" si="51"/>
        <v>0</v>
      </c>
      <c r="AO254">
        <f t="shared" si="52"/>
        <v>0</v>
      </c>
      <c r="AP254">
        <f t="shared" si="53"/>
        <v>0</v>
      </c>
      <c r="AQ254">
        <f t="shared" si="54"/>
        <v>0</v>
      </c>
      <c r="AR254" s="276">
        <f t="shared" si="55"/>
        <v>2</v>
      </c>
      <c r="AT254" s="278"/>
      <c r="AU254" s="274">
        <v>0.5</v>
      </c>
      <c r="AV254" s="274">
        <v>0.5</v>
      </c>
      <c r="AW254" s="274">
        <v>0.5</v>
      </c>
      <c r="AX254" s="274">
        <v>0.5</v>
      </c>
      <c r="AY254" s="279"/>
      <c r="BD254" s="279"/>
      <c r="BK254" s="280">
        <f t="shared" si="56"/>
        <v>2</v>
      </c>
      <c r="BL254" s="274">
        <f t="shared" si="57"/>
        <v>2</v>
      </c>
      <c r="BP254" s="281">
        <v>517711</v>
      </c>
      <c r="BQ254" s="281">
        <v>174824</v>
      </c>
      <c r="BR254" s="296" t="s">
        <v>141</v>
      </c>
      <c r="BS254" t="s">
        <v>168</v>
      </c>
      <c r="BT254" t="s">
        <v>141</v>
      </c>
      <c r="BU254"/>
      <c r="BV254"/>
      <c r="BW254"/>
      <c r="BX254"/>
      <c r="BY254" t="s">
        <v>684</v>
      </c>
      <c r="BZ254" t="s">
        <v>325</v>
      </c>
      <c r="CA254" t="s">
        <v>325</v>
      </c>
      <c r="CB254" t="s">
        <v>191</v>
      </c>
    </row>
    <row r="255" spans="1:81" ht="15" customHeight="1" x14ac:dyDescent="0.25">
      <c r="A255" s="274" t="s">
        <v>1381</v>
      </c>
      <c r="B255" s="277" t="s">
        <v>444</v>
      </c>
      <c r="D255" s="275">
        <v>44855</v>
      </c>
      <c r="E255" s="275">
        <v>45951</v>
      </c>
      <c r="H255" s="274" t="s">
        <v>258</v>
      </c>
      <c r="I255" s="238" t="s">
        <v>303</v>
      </c>
      <c r="M255" s="277" t="s">
        <v>1382</v>
      </c>
      <c r="N255" s="277" t="s">
        <v>1383</v>
      </c>
      <c r="O255" s="276" t="s">
        <v>1384</v>
      </c>
      <c r="S255" s="276">
        <v>1</v>
      </c>
      <c r="Y255" s="276">
        <f t="shared" si="61"/>
        <v>1</v>
      </c>
      <c r="AD255" s="276">
        <v>1</v>
      </c>
      <c r="AI255" s="276">
        <f t="shared" si="60"/>
        <v>1</v>
      </c>
      <c r="AJ255">
        <f t="shared" si="47"/>
        <v>0</v>
      </c>
      <c r="AK255">
        <f t="shared" si="48"/>
        <v>0</v>
      </c>
      <c r="AL255">
        <f t="shared" si="49"/>
        <v>-1</v>
      </c>
      <c r="AM255">
        <f t="shared" si="50"/>
        <v>1</v>
      </c>
      <c r="AN255">
        <f t="shared" si="51"/>
        <v>0</v>
      </c>
      <c r="AO255">
        <f t="shared" si="52"/>
        <v>0</v>
      </c>
      <c r="AP255">
        <f t="shared" si="53"/>
        <v>0</v>
      </c>
      <c r="AQ255">
        <f t="shared" si="54"/>
        <v>0</v>
      </c>
      <c r="AR255" s="276">
        <f t="shared" si="55"/>
        <v>0</v>
      </c>
      <c r="AT255" s="278"/>
      <c r="AU255" s="274">
        <v>0</v>
      </c>
      <c r="AY255" s="279"/>
      <c r="BD255" s="279"/>
      <c r="BK255" s="280">
        <f t="shared" si="56"/>
        <v>0</v>
      </c>
      <c r="BL255" s="274">
        <f t="shared" si="57"/>
        <v>0</v>
      </c>
      <c r="BP255" s="281">
        <v>517493</v>
      </c>
      <c r="BQ255" s="281">
        <v>170091</v>
      </c>
      <c r="BR255" s="296" t="s">
        <v>183</v>
      </c>
      <c r="BS255" t="s">
        <v>163</v>
      </c>
      <c r="BT255"/>
      <c r="BU255"/>
      <c r="BV255"/>
      <c r="BW255"/>
      <c r="BX255"/>
      <c r="BY255"/>
      <c r="BZ255"/>
      <c r="CA255" t="s">
        <v>325</v>
      </c>
      <c r="CB255" t="s">
        <v>192</v>
      </c>
    </row>
    <row r="256" spans="1:81" ht="15" customHeight="1" x14ac:dyDescent="0.25">
      <c r="A256" s="274" t="s">
        <v>1385</v>
      </c>
      <c r="B256" s="274" t="s">
        <v>444</v>
      </c>
      <c r="C256" s="274"/>
      <c r="D256" s="275">
        <v>44809</v>
      </c>
      <c r="E256" s="275">
        <v>45905</v>
      </c>
      <c r="H256" s="274" t="s">
        <v>258</v>
      </c>
      <c r="I256" s="238" t="s">
        <v>303</v>
      </c>
      <c r="M256" s="277" t="s">
        <v>1386</v>
      </c>
      <c r="N256" s="277" t="s">
        <v>1387</v>
      </c>
      <c r="O256" s="276" t="s">
        <v>1388</v>
      </c>
      <c r="U256" s="276">
        <v>1</v>
      </c>
      <c r="Y256" s="276">
        <f t="shared" si="61"/>
        <v>1</v>
      </c>
      <c r="AE256" s="276">
        <v>1</v>
      </c>
      <c r="AI256" s="276">
        <f t="shared" si="60"/>
        <v>1</v>
      </c>
      <c r="AJ256">
        <f t="shared" si="47"/>
        <v>0</v>
      </c>
      <c r="AK256">
        <f t="shared" si="48"/>
        <v>0</v>
      </c>
      <c r="AL256">
        <f t="shared" si="49"/>
        <v>0</v>
      </c>
      <c r="AM256">
        <f t="shared" si="50"/>
        <v>0</v>
      </c>
      <c r="AN256">
        <f t="shared" si="51"/>
        <v>0</v>
      </c>
      <c r="AO256">
        <f t="shared" si="52"/>
        <v>0</v>
      </c>
      <c r="AP256">
        <f t="shared" si="53"/>
        <v>0</v>
      </c>
      <c r="AQ256">
        <f t="shared" si="54"/>
        <v>0</v>
      </c>
      <c r="AR256" s="276">
        <f t="shared" si="55"/>
        <v>0</v>
      </c>
      <c r="AT256" s="278"/>
      <c r="AU256" s="274">
        <v>0</v>
      </c>
      <c r="AY256" s="279"/>
      <c r="BD256" s="279"/>
      <c r="BK256" s="280">
        <f t="shared" si="56"/>
        <v>0</v>
      </c>
      <c r="BL256" s="274">
        <f t="shared" si="57"/>
        <v>0</v>
      </c>
      <c r="BP256" s="281">
        <v>517672</v>
      </c>
      <c r="BQ256" s="281">
        <v>170048</v>
      </c>
      <c r="BR256" s="296" t="s">
        <v>183</v>
      </c>
      <c r="BS256" t="s">
        <v>163</v>
      </c>
      <c r="BT256"/>
      <c r="BU256" t="s">
        <v>142</v>
      </c>
      <c r="BV256"/>
      <c r="BW256"/>
      <c r="BX256"/>
      <c r="BY256" t="s">
        <v>791</v>
      </c>
      <c r="BZ256" t="s">
        <v>325</v>
      </c>
      <c r="CA256" t="s">
        <v>325</v>
      </c>
      <c r="CB256" t="s">
        <v>192</v>
      </c>
    </row>
    <row r="257" spans="1:81" ht="15" customHeight="1" x14ac:dyDescent="0.25">
      <c r="A257" s="274" t="s">
        <v>1389</v>
      </c>
      <c r="B257" s="277" t="s">
        <v>459</v>
      </c>
      <c r="C257" s="274" t="s">
        <v>293</v>
      </c>
      <c r="D257" s="275">
        <v>44642</v>
      </c>
      <c r="E257" s="275">
        <v>45738</v>
      </c>
      <c r="H257" s="274" t="s">
        <v>258</v>
      </c>
      <c r="I257" s="238" t="s">
        <v>303</v>
      </c>
      <c r="M257" s="277" t="s">
        <v>1390</v>
      </c>
      <c r="N257" s="277" t="s">
        <v>1391</v>
      </c>
      <c r="O257" s="276" t="s">
        <v>545</v>
      </c>
      <c r="Y257" s="276">
        <f t="shared" si="61"/>
        <v>0</v>
      </c>
      <c r="AA257" s="276">
        <v>1</v>
      </c>
      <c r="AI257" s="276">
        <f t="shared" si="60"/>
        <v>1</v>
      </c>
      <c r="AJ257">
        <f t="shared" si="47"/>
        <v>1</v>
      </c>
      <c r="AK257">
        <f t="shared" si="48"/>
        <v>0</v>
      </c>
      <c r="AL257">
        <f t="shared" si="49"/>
        <v>0</v>
      </c>
      <c r="AM257">
        <f t="shared" si="50"/>
        <v>0</v>
      </c>
      <c r="AN257">
        <f t="shared" si="51"/>
        <v>0</v>
      </c>
      <c r="AO257">
        <f t="shared" si="52"/>
        <v>0</v>
      </c>
      <c r="AP257">
        <f t="shared" si="53"/>
        <v>0</v>
      </c>
      <c r="AQ257">
        <f t="shared" si="54"/>
        <v>0</v>
      </c>
      <c r="AR257" s="276">
        <f t="shared" si="55"/>
        <v>1</v>
      </c>
      <c r="AT257" s="278"/>
      <c r="AU257" s="274">
        <v>1</v>
      </c>
      <c r="AY257" s="279"/>
      <c r="BD257" s="279"/>
      <c r="BK257" s="280">
        <f t="shared" si="56"/>
        <v>1</v>
      </c>
      <c r="BL257" s="274">
        <f t="shared" si="57"/>
        <v>1</v>
      </c>
      <c r="BP257" s="281">
        <v>518059</v>
      </c>
      <c r="BQ257" s="281">
        <v>175250</v>
      </c>
      <c r="BR257" s="296" t="s">
        <v>141</v>
      </c>
      <c r="BS257" t="s">
        <v>168</v>
      </c>
      <c r="BT257" t="s">
        <v>141</v>
      </c>
      <c r="BU257"/>
      <c r="BV257"/>
      <c r="BW257"/>
      <c r="BX257"/>
      <c r="BY257" t="s">
        <v>546</v>
      </c>
      <c r="BZ257" t="s">
        <v>325</v>
      </c>
      <c r="CA257" t="s">
        <v>325</v>
      </c>
      <c r="CB257" t="s">
        <v>191</v>
      </c>
    </row>
    <row r="258" spans="1:81" ht="15" customHeight="1" x14ac:dyDescent="0.25">
      <c r="A258" s="274" t="s">
        <v>1392</v>
      </c>
      <c r="B258" s="277" t="s">
        <v>444</v>
      </c>
      <c r="D258" s="275">
        <v>44806</v>
      </c>
      <c r="E258" s="275">
        <v>45902</v>
      </c>
      <c r="H258" s="274" t="s">
        <v>258</v>
      </c>
      <c r="I258" s="238" t="s">
        <v>303</v>
      </c>
      <c r="M258" s="277" t="s">
        <v>1393</v>
      </c>
      <c r="N258" s="277" t="s">
        <v>1394</v>
      </c>
      <c r="O258" s="276" t="s">
        <v>1251</v>
      </c>
      <c r="Y258" s="276">
        <f t="shared" si="61"/>
        <v>0</v>
      </c>
      <c r="AB258" s="276">
        <v>1</v>
      </c>
      <c r="AI258" s="276">
        <f t="shared" si="60"/>
        <v>1</v>
      </c>
      <c r="AJ258">
        <f t="shared" ref="AJ258:AJ306" si="62">AA258-Q258</f>
        <v>0</v>
      </c>
      <c r="AK258">
        <f t="shared" ref="AK258:AK306" si="63">AB258-R258</f>
        <v>1</v>
      </c>
      <c r="AL258">
        <f t="shared" ref="AL258:AL306" si="64">AC258-S258</f>
        <v>0</v>
      </c>
      <c r="AM258">
        <f t="shared" ref="AM258:AM306" si="65">AD258-T258</f>
        <v>0</v>
      </c>
      <c r="AN258">
        <f t="shared" ref="AN258:AN306" si="66">AE258-U258</f>
        <v>0</v>
      </c>
      <c r="AO258">
        <f t="shared" ref="AO258:AO306" si="67">AF258-V258</f>
        <v>0</v>
      </c>
      <c r="AP258">
        <f t="shared" ref="AP258:AP306" si="68">AG258-W258</f>
        <v>0</v>
      </c>
      <c r="AQ258">
        <f t="shared" ref="AQ258:AQ306" si="69">AH258-X258</f>
        <v>0</v>
      </c>
      <c r="AR258" s="276">
        <f t="shared" ref="AR258:AR306" si="70">AI258-Y258</f>
        <v>1</v>
      </c>
      <c r="AT258" s="278"/>
      <c r="AU258" s="274">
        <v>0.25</v>
      </c>
      <c r="AV258" s="274">
        <v>0.25</v>
      </c>
      <c r="AW258" s="274">
        <v>0.25</v>
      </c>
      <c r="AX258" s="274">
        <v>0.25</v>
      </c>
      <c r="AY258" s="279"/>
      <c r="BD258" s="279"/>
      <c r="BK258" s="280">
        <f t="shared" ref="BK258:BK319" si="71">SUM(AU258:AY258)</f>
        <v>1</v>
      </c>
      <c r="BL258" s="274">
        <f t="shared" ref="BL258:BL319" si="72">SUM(AU258:BD258)</f>
        <v>1</v>
      </c>
      <c r="BP258" s="281">
        <v>516814</v>
      </c>
      <c r="BQ258" s="281">
        <v>174186</v>
      </c>
      <c r="BR258" s="296" t="s">
        <v>145</v>
      </c>
      <c r="BS258" t="s">
        <v>170</v>
      </c>
      <c r="BT258"/>
      <c r="BU258"/>
      <c r="BV258"/>
      <c r="BW258"/>
      <c r="BX258"/>
      <c r="BY258"/>
      <c r="BZ258"/>
      <c r="CA258" t="s">
        <v>325</v>
      </c>
      <c r="CB258" t="s">
        <v>193</v>
      </c>
    </row>
    <row r="259" spans="1:81" ht="15" customHeight="1" x14ac:dyDescent="0.25">
      <c r="A259" s="274" t="s">
        <v>1395</v>
      </c>
      <c r="B259" s="277" t="s">
        <v>444</v>
      </c>
      <c r="D259" s="275">
        <v>44818</v>
      </c>
      <c r="E259" s="275">
        <v>46293</v>
      </c>
      <c r="H259" s="274" t="s">
        <v>258</v>
      </c>
      <c r="I259" s="238" t="s">
        <v>303</v>
      </c>
      <c r="M259" s="277" t="s">
        <v>1396</v>
      </c>
      <c r="N259" s="274" t="s">
        <v>1397</v>
      </c>
      <c r="O259" s="276" t="s">
        <v>1398</v>
      </c>
      <c r="Y259" s="276">
        <f t="shared" si="61"/>
        <v>0</v>
      </c>
      <c r="AB259" s="276">
        <v>1</v>
      </c>
      <c r="AI259" s="276">
        <f t="shared" si="60"/>
        <v>1</v>
      </c>
      <c r="AJ259">
        <f t="shared" si="62"/>
        <v>0</v>
      </c>
      <c r="AK259">
        <f t="shared" si="63"/>
        <v>1</v>
      </c>
      <c r="AL259">
        <f t="shared" si="64"/>
        <v>0</v>
      </c>
      <c r="AM259">
        <f t="shared" si="65"/>
        <v>0</v>
      </c>
      <c r="AN259">
        <f t="shared" si="66"/>
        <v>0</v>
      </c>
      <c r="AO259">
        <f t="shared" si="67"/>
        <v>0</v>
      </c>
      <c r="AP259">
        <f t="shared" si="68"/>
        <v>0</v>
      </c>
      <c r="AQ259">
        <f t="shared" si="69"/>
        <v>0</v>
      </c>
      <c r="AR259" s="276">
        <f t="shared" si="70"/>
        <v>1</v>
      </c>
      <c r="AT259" s="278"/>
      <c r="AU259" s="274">
        <v>0.25</v>
      </c>
      <c r="AV259" s="274">
        <v>0.25</v>
      </c>
      <c r="AW259" s="274">
        <v>0.25</v>
      </c>
      <c r="AX259" s="274">
        <v>0.25</v>
      </c>
      <c r="AY259" s="279"/>
      <c r="BD259" s="279"/>
      <c r="BK259" s="280">
        <f t="shared" si="71"/>
        <v>1</v>
      </c>
      <c r="BL259" s="274">
        <f t="shared" si="72"/>
        <v>1</v>
      </c>
      <c r="BP259" s="281">
        <v>515083</v>
      </c>
      <c r="BQ259" s="281">
        <v>172833</v>
      </c>
      <c r="BR259" s="296" t="s">
        <v>145</v>
      </c>
      <c r="BS259" t="s">
        <v>172</v>
      </c>
      <c r="BT259"/>
      <c r="BU259"/>
      <c r="BV259"/>
      <c r="BW259"/>
      <c r="BX259"/>
      <c r="BY259" t="s">
        <v>1399</v>
      </c>
      <c r="BZ259" t="s">
        <v>325</v>
      </c>
      <c r="CA259" t="s">
        <v>325</v>
      </c>
      <c r="CB259" t="s">
        <v>193</v>
      </c>
      <c r="CC259" s="276" t="s">
        <v>325</v>
      </c>
    </row>
    <row r="260" spans="1:81" ht="15" customHeight="1" x14ac:dyDescent="0.25">
      <c r="A260" s="274" t="s">
        <v>1400</v>
      </c>
      <c r="B260" s="277" t="s">
        <v>459</v>
      </c>
      <c r="C260" s="274" t="s">
        <v>293</v>
      </c>
      <c r="D260" s="275">
        <v>44664</v>
      </c>
      <c r="E260" s="275">
        <v>45760</v>
      </c>
      <c r="H260" s="274" t="s">
        <v>258</v>
      </c>
      <c r="I260" s="238" t="s">
        <v>303</v>
      </c>
      <c r="M260" s="277" t="s">
        <v>1401</v>
      </c>
      <c r="N260" s="277" t="s">
        <v>1402</v>
      </c>
      <c r="O260" s="276" t="s">
        <v>1403</v>
      </c>
      <c r="Y260" s="276">
        <f t="shared" si="61"/>
        <v>0</v>
      </c>
      <c r="AB260" s="276">
        <v>1</v>
      </c>
      <c r="AI260" s="276">
        <f t="shared" si="60"/>
        <v>1</v>
      </c>
      <c r="AJ260">
        <f t="shared" si="62"/>
        <v>0</v>
      </c>
      <c r="AK260">
        <f t="shared" si="63"/>
        <v>1</v>
      </c>
      <c r="AL260">
        <f t="shared" si="64"/>
        <v>0</v>
      </c>
      <c r="AM260">
        <f t="shared" si="65"/>
        <v>0</v>
      </c>
      <c r="AN260">
        <f t="shared" si="66"/>
        <v>0</v>
      </c>
      <c r="AO260">
        <f t="shared" si="67"/>
        <v>0</v>
      </c>
      <c r="AP260">
        <f t="shared" si="68"/>
        <v>0</v>
      </c>
      <c r="AQ260">
        <f t="shared" si="69"/>
        <v>0</v>
      </c>
      <c r="AR260" s="276">
        <f t="shared" si="70"/>
        <v>1</v>
      </c>
      <c r="AT260" s="278"/>
      <c r="AV260" s="274">
        <v>1</v>
      </c>
      <c r="AY260" s="279"/>
      <c r="BD260" s="279"/>
      <c r="BK260" s="280">
        <f t="shared" si="71"/>
        <v>1</v>
      </c>
      <c r="BL260" s="274">
        <f t="shared" si="72"/>
        <v>1</v>
      </c>
      <c r="BP260" s="281">
        <v>513028</v>
      </c>
      <c r="BQ260" s="281">
        <v>170485</v>
      </c>
      <c r="BR260" s="296" t="s">
        <v>183</v>
      </c>
      <c r="BS260" t="s">
        <v>161</v>
      </c>
      <c r="BT260"/>
      <c r="BU260"/>
      <c r="BV260"/>
      <c r="BW260"/>
      <c r="BX260"/>
      <c r="BY260"/>
      <c r="BZ260"/>
      <c r="CA260" t="s">
        <v>325</v>
      </c>
      <c r="CB260" t="s">
        <v>189</v>
      </c>
    </row>
    <row r="261" spans="1:81" ht="15" customHeight="1" x14ac:dyDescent="0.25">
      <c r="A261" s="274" t="s">
        <v>1404</v>
      </c>
      <c r="B261" s="274" t="s">
        <v>444</v>
      </c>
      <c r="C261" s="274"/>
      <c r="D261" s="275">
        <v>44760</v>
      </c>
      <c r="E261" s="275">
        <v>46264</v>
      </c>
      <c r="H261" s="274" t="s">
        <v>258</v>
      </c>
      <c r="I261" s="238" t="s">
        <v>303</v>
      </c>
      <c r="M261" s="277" t="s">
        <v>1405</v>
      </c>
      <c r="N261" s="277" t="s">
        <v>1406</v>
      </c>
      <c r="O261" s="276" t="s">
        <v>1407</v>
      </c>
      <c r="Y261" s="276">
        <f t="shared" si="61"/>
        <v>0</v>
      </c>
      <c r="AC261" s="276">
        <v>1</v>
      </c>
      <c r="AI261" s="276">
        <f t="shared" si="60"/>
        <v>1</v>
      </c>
      <c r="AJ261">
        <f t="shared" si="62"/>
        <v>0</v>
      </c>
      <c r="AK261">
        <f t="shared" si="63"/>
        <v>0</v>
      </c>
      <c r="AL261">
        <f t="shared" si="64"/>
        <v>1</v>
      </c>
      <c r="AM261">
        <f t="shared" si="65"/>
        <v>0</v>
      </c>
      <c r="AN261">
        <f t="shared" si="66"/>
        <v>0</v>
      </c>
      <c r="AO261">
        <f t="shared" si="67"/>
        <v>0</v>
      </c>
      <c r="AP261">
        <f t="shared" si="68"/>
        <v>0</v>
      </c>
      <c r="AQ261">
        <f t="shared" si="69"/>
        <v>0</v>
      </c>
      <c r="AR261" s="276">
        <f t="shared" si="70"/>
        <v>1</v>
      </c>
      <c r="AT261" s="278"/>
      <c r="AU261" s="274">
        <v>0.25</v>
      </c>
      <c r="AV261" s="274">
        <v>0.25</v>
      </c>
      <c r="AW261" s="274">
        <v>0.25</v>
      </c>
      <c r="AX261" s="274">
        <v>0.25</v>
      </c>
      <c r="AY261" s="279"/>
      <c r="BD261" s="279"/>
      <c r="BK261" s="280">
        <f t="shared" si="71"/>
        <v>1</v>
      </c>
      <c r="BL261" s="274">
        <f t="shared" si="72"/>
        <v>1</v>
      </c>
      <c r="BP261" s="281">
        <v>516377</v>
      </c>
      <c r="BQ261" s="281">
        <v>174907</v>
      </c>
      <c r="BR261" s="296" t="s">
        <v>145</v>
      </c>
      <c r="BS261" t="s">
        <v>170</v>
      </c>
      <c r="BT261"/>
      <c r="BU261"/>
      <c r="BV261"/>
      <c r="BW261"/>
      <c r="BX261"/>
      <c r="BY261"/>
      <c r="BZ261"/>
      <c r="CA261" t="s">
        <v>325</v>
      </c>
      <c r="CB261" t="s">
        <v>193</v>
      </c>
    </row>
    <row r="262" spans="1:81" ht="15" customHeight="1" x14ac:dyDescent="0.25">
      <c r="A262" s="274" t="s">
        <v>1408</v>
      </c>
      <c r="B262" s="274" t="s">
        <v>459</v>
      </c>
      <c r="C262" s="274"/>
      <c r="D262" s="275">
        <v>44729</v>
      </c>
      <c r="E262" s="275">
        <v>45825</v>
      </c>
      <c r="H262" s="274" t="s">
        <v>258</v>
      </c>
      <c r="I262" s="238" t="s">
        <v>303</v>
      </c>
      <c r="M262" s="277" t="s">
        <v>1409</v>
      </c>
      <c r="N262" s="277" t="s">
        <v>1410</v>
      </c>
      <c r="O262" s="276" t="s">
        <v>1411</v>
      </c>
      <c r="S262" s="276">
        <v>1</v>
      </c>
      <c r="Y262" s="276">
        <f t="shared" si="61"/>
        <v>1</v>
      </c>
      <c r="AI262" s="276">
        <f t="shared" si="60"/>
        <v>0</v>
      </c>
      <c r="AJ262">
        <f t="shared" si="62"/>
        <v>0</v>
      </c>
      <c r="AK262">
        <f t="shared" si="63"/>
        <v>0</v>
      </c>
      <c r="AL262">
        <f t="shared" si="64"/>
        <v>-1</v>
      </c>
      <c r="AM262">
        <f t="shared" si="65"/>
        <v>0</v>
      </c>
      <c r="AN262">
        <f t="shared" si="66"/>
        <v>0</v>
      </c>
      <c r="AO262">
        <f t="shared" si="67"/>
        <v>0</v>
      </c>
      <c r="AP262">
        <f t="shared" si="68"/>
        <v>0</v>
      </c>
      <c r="AQ262">
        <f t="shared" si="69"/>
        <v>0</v>
      </c>
      <c r="AR262" s="244">
        <f t="shared" si="70"/>
        <v>-1</v>
      </c>
      <c r="AT262" s="278"/>
      <c r="AY262" s="279"/>
      <c r="BD262" s="279"/>
      <c r="BK262" s="280">
        <f t="shared" si="71"/>
        <v>0</v>
      </c>
      <c r="BL262" s="274">
        <f t="shared" si="72"/>
        <v>0</v>
      </c>
      <c r="BP262" s="281">
        <v>518327</v>
      </c>
      <c r="BQ262" s="281">
        <v>174138</v>
      </c>
      <c r="BR262" s="296" t="s">
        <v>141</v>
      </c>
      <c r="BS262" t="s">
        <v>168</v>
      </c>
      <c r="BT262"/>
      <c r="BU262"/>
      <c r="BV262"/>
      <c r="BW262"/>
      <c r="BX262"/>
      <c r="BY262" t="s">
        <v>913</v>
      </c>
      <c r="BZ262" t="s">
        <v>325</v>
      </c>
      <c r="CA262" t="s">
        <v>325</v>
      </c>
      <c r="CB262" t="s">
        <v>191</v>
      </c>
    </row>
    <row r="263" spans="1:81" ht="15" customHeight="1" x14ac:dyDescent="0.25">
      <c r="A263" s="274" t="s">
        <v>1412</v>
      </c>
      <c r="B263" s="277" t="s">
        <v>444</v>
      </c>
      <c r="D263" s="275">
        <v>45048</v>
      </c>
      <c r="E263" s="275">
        <v>46144</v>
      </c>
      <c r="H263" s="274" t="s">
        <v>258</v>
      </c>
      <c r="I263" s="238" t="s">
        <v>303</v>
      </c>
      <c r="M263" s="277" t="s">
        <v>1413</v>
      </c>
      <c r="N263" s="277" t="s">
        <v>1414</v>
      </c>
      <c r="O263" s="276" t="s">
        <v>1415</v>
      </c>
      <c r="Y263" s="276">
        <f t="shared" si="61"/>
        <v>0</v>
      </c>
      <c r="AD263" s="276">
        <v>1</v>
      </c>
      <c r="AI263" s="276">
        <f t="shared" si="60"/>
        <v>1</v>
      </c>
      <c r="AJ263">
        <f t="shared" si="62"/>
        <v>0</v>
      </c>
      <c r="AK263">
        <f t="shared" si="63"/>
        <v>0</v>
      </c>
      <c r="AL263">
        <f t="shared" si="64"/>
        <v>0</v>
      </c>
      <c r="AM263">
        <f t="shared" si="65"/>
        <v>1</v>
      </c>
      <c r="AN263">
        <f t="shared" si="66"/>
        <v>0</v>
      </c>
      <c r="AO263">
        <f t="shared" si="67"/>
        <v>0</v>
      </c>
      <c r="AP263">
        <f t="shared" si="68"/>
        <v>0</v>
      </c>
      <c r="AQ263">
        <f t="shared" si="69"/>
        <v>0</v>
      </c>
      <c r="AR263" s="276">
        <f t="shared" si="70"/>
        <v>1</v>
      </c>
      <c r="AT263" s="278"/>
      <c r="AU263" s="274">
        <v>0.25</v>
      </c>
      <c r="AV263" s="274">
        <v>0.25</v>
      </c>
      <c r="AW263" s="274">
        <v>0.25</v>
      </c>
      <c r="AX263" s="274">
        <v>0.25</v>
      </c>
      <c r="AY263" s="279"/>
      <c r="BD263" s="279"/>
      <c r="BK263" s="280">
        <f t="shared" si="71"/>
        <v>1</v>
      </c>
      <c r="BL263" s="274">
        <f t="shared" si="72"/>
        <v>1</v>
      </c>
      <c r="BP263" s="281">
        <v>522676</v>
      </c>
      <c r="BQ263" s="281">
        <v>177493</v>
      </c>
      <c r="BR263" s="296" t="s">
        <v>181</v>
      </c>
      <c r="BS263" t="s">
        <v>158</v>
      </c>
      <c r="BT263"/>
      <c r="BU263"/>
      <c r="BV263"/>
      <c r="BW263"/>
      <c r="BX263"/>
      <c r="BY263" t="s">
        <v>1221</v>
      </c>
      <c r="BZ263" t="s">
        <v>325</v>
      </c>
      <c r="CA263" t="s">
        <v>325</v>
      </c>
      <c r="CB263" t="s">
        <v>158</v>
      </c>
      <c r="CC263" s="276" t="s">
        <v>325</v>
      </c>
    </row>
    <row r="264" spans="1:81" ht="15" customHeight="1" x14ac:dyDescent="0.25">
      <c r="A264" s="274" t="s">
        <v>1416</v>
      </c>
      <c r="B264" s="277" t="s">
        <v>444</v>
      </c>
      <c r="D264" s="275">
        <v>45146</v>
      </c>
      <c r="E264" s="275">
        <v>46242</v>
      </c>
      <c r="H264" s="274" t="s">
        <v>258</v>
      </c>
      <c r="I264" s="238" t="s">
        <v>303</v>
      </c>
      <c r="M264" s="277" t="s">
        <v>1417</v>
      </c>
      <c r="N264" s="277" t="s">
        <v>1418</v>
      </c>
      <c r="O264" s="276" t="s">
        <v>1263</v>
      </c>
      <c r="Y264" s="276">
        <f t="shared" si="61"/>
        <v>0</v>
      </c>
      <c r="AC264" s="276">
        <v>1</v>
      </c>
      <c r="AI264" s="276">
        <f t="shared" si="60"/>
        <v>1</v>
      </c>
      <c r="AJ264">
        <f t="shared" si="62"/>
        <v>0</v>
      </c>
      <c r="AK264">
        <f t="shared" si="63"/>
        <v>0</v>
      </c>
      <c r="AL264">
        <f t="shared" si="64"/>
        <v>1</v>
      </c>
      <c r="AM264">
        <f t="shared" si="65"/>
        <v>0</v>
      </c>
      <c r="AN264">
        <f t="shared" si="66"/>
        <v>0</v>
      </c>
      <c r="AO264">
        <f t="shared" si="67"/>
        <v>0</v>
      </c>
      <c r="AP264">
        <f t="shared" si="68"/>
        <v>0</v>
      </c>
      <c r="AQ264">
        <f t="shared" si="69"/>
        <v>0</v>
      </c>
      <c r="AR264" s="276">
        <f t="shared" si="70"/>
        <v>1</v>
      </c>
      <c r="AT264" s="278"/>
      <c r="AU264" s="274">
        <v>0.25</v>
      </c>
      <c r="AV264" s="274">
        <v>0.25</v>
      </c>
      <c r="AW264" s="274">
        <v>0.25</v>
      </c>
      <c r="AX264" s="274">
        <v>0.25</v>
      </c>
      <c r="AY264" s="279"/>
      <c r="BD264" s="279"/>
      <c r="BK264" s="280">
        <f t="shared" si="71"/>
        <v>1</v>
      </c>
      <c r="BL264" s="274">
        <f t="shared" si="72"/>
        <v>1</v>
      </c>
      <c r="BP264" s="281">
        <v>513537</v>
      </c>
      <c r="BQ264" s="281">
        <v>170046</v>
      </c>
      <c r="BR264" s="296" t="s">
        <v>183</v>
      </c>
      <c r="BS264" t="s">
        <v>161</v>
      </c>
      <c r="BT264"/>
      <c r="BU264"/>
      <c r="BV264"/>
      <c r="BW264"/>
      <c r="BX264"/>
      <c r="BY264"/>
      <c r="BZ264"/>
      <c r="CA264" t="s">
        <v>325</v>
      </c>
      <c r="CB264" t="s">
        <v>189</v>
      </c>
      <c r="CC264" s="276" t="s">
        <v>325</v>
      </c>
    </row>
    <row r="265" spans="1:81" ht="15" customHeight="1" x14ac:dyDescent="0.25">
      <c r="A265" s="274" t="s">
        <v>1419</v>
      </c>
      <c r="B265" s="274" t="s">
        <v>459</v>
      </c>
      <c r="C265" s="274"/>
      <c r="D265" s="275">
        <v>44964</v>
      </c>
      <c r="E265" s="275">
        <v>46060</v>
      </c>
      <c r="H265" s="274" t="s">
        <v>258</v>
      </c>
      <c r="I265" s="238" t="s">
        <v>303</v>
      </c>
      <c r="M265" s="277" t="s">
        <v>1420</v>
      </c>
      <c r="N265" s="277" t="s">
        <v>1421</v>
      </c>
      <c r="O265" s="276" t="s">
        <v>1422</v>
      </c>
      <c r="R265" s="276">
        <v>1</v>
      </c>
      <c r="Y265" s="276">
        <f t="shared" si="61"/>
        <v>1</v>
      </c>
      <c r="AI265" s="276">
        <f t="shared" si="60"/>
        <v>0</v>
      </c>
      <c r="AJ265">
        <f t="shared" si="62"/>
        <v>0</v>
      </c>
      <c r="AK265">
        <f t="shared" si="63"/>
        <v>-1</v>
      </c>
      <c r="AL265">
        <f t="shared" si="64"/>
        <v>0</v>
      </c>
      <c r="AM265">
        <f t="shared" si="65"/>
        <v>0</v>
      </c>
      <c r="AN265">
        <f t="shared" si="66"/>
        <v>0</v>
      </c>
      <c r="AO265">
        <f t="shared" si="67"/>
        <v>0</v>
      </c>
      <c r="AP265">
        <f t="shared" si="68"/>
        <v>0</v>
      </c>
      <c r="AQ265">
        <f t="shared" si="69"/>
        <v>0</v>
      </c>
      <c r="AR265" s="276">
        <f t="shared" si="70"/>
        <v>-1</v>
      </c>
      <c r="AT265" s="278"/>
      <c r="AU265" s="274">
        <v>-0.25</v>
      </c>
      <c r="AV265" s="274">
        <v>-0.25</v>
      </c>
      <c r="AW265" s="274">
        <v>-0.25</v>
      </c>
      <c r="AX265" s="274">
        <v>-0.25</v>
      </c>
      <c r="AY265" s="279"/>
      <c r="BD265" s="279"/>
      <c r="BK265" s="280">
        <f t="shared" si="71"/>
        <v>-1</v>
      </c>
      <c r="BL265" s="274">
        <f t="shared" si="72"/>
        <v>-1</v>
      </c>
      <c r="BP265" s="281">
        <v>515895</v>
      </c>
      <c r="BQ265" s="281">
        <v>171171</v>
      </c>
      <c r="BR265" s="296" t="s">
        <v>183</v>
      </c>
      <c r="BS265" t="s">
        <v>143</v>
      </c>
      <c r="BT265" t="s">
        <v>143</v>
      </c>
      <c r="BU265"/>
      <c r="BV265"/>
      <c r="BW265"/>
      <c r="BX265"/>
      <c r="BY265" t="s">
        <v>662</v>
      </c>
      <c r="BZ265" t="s">
        <v>325</v>
      </c>
      <c r="CA265" t="s">
        <v>325</v>
      </c>
      <c r="CB265" t="s">
        <v>192</v>
      </c>
    </row>
    <row r="266" spans="1:81" ht="15" customHeight="1" x14ac:dyDescent="0.25">
      <c r="A266" s="274" t="s">
        <v>1423</v>
      </c>
      <c r="B266" s="277" t="s">
        <v>459</v>
      </c>
      <c r="C266" s="274" t="s">
        <v>293</v>
      </c>
      <c r="D266" s="275">
        <v>44711</v>
      </c>
      <c r="E266" s="275">
        <v>45807</v>
      </c>
      <c r="F266" s="241"/>
      <c r="H266" s="274" t="s">
        <v>258</v>
      </c>
      <c r="I266" s="238" t="s">
        <v>303</v>
      </c>
      <c r="M266" s="277" t="s">
        <v>1424</v>
      </c>
      <c r="N266" s="277" t="s">
        <v>1425</v>
      </c>
      <c r="O266" s="276" t="s">
        <v>1426</v>
      </c>
      <c r="Y266" s="276">
        <f t="shared" si="61"/>
        <v>0</v>
      </c>
      <c r="AB266" s="276">
        <v>1</v>
      </c>
      <c r="AI266" s="276">
        <f t="shared" si="60"/>
        <v>1</v>
      </c>
      <c r="AJ266">
        <f t="shared" si="62"/>
        <v>0</v>
      </c>
      <c r="AK266">
        <f t="shared" si="63"/>
        <v>1</v>
      </c>
      <c r="AL266">
        <f t="shared" si="64"/>
        <v>0</v>
      </c>
      <c r="AM266">
        <f t="shared" si="65"/>
        <v>0</v>
      </c>
      <c r="AN266">
        <f t="shared" si="66"/>
        <v>0</v>
      </c>
      <c r="AO266">
        <f t="shared" si="67"/>
        <v>0</v>
      </c>
      <c r="AP266">
        <f t="shared" si="68"/>
        <v>0</v>
      </c>
      <c r="AQ266">
        <f t="shared" si="69"/>
        <v>0</v>
      </c>
      <c r="AR266" s="276">
        <f t="shared" si="70"/>
        <v>1</v>
      </c>
      <c r="AT266" s="278"/>
      <c r="AV266" s="274">
        <v>1</v>
      </c>
      <c r="AY266" s="279"/>
      <c r="BD266" s="279"/>
      <c r="BK266" s="280">
        <f t="shared" si="71"/>
        <v>1</v>
      </c>
      <c r="BL266" s="274">
        <f t="shared" si="72"/>
        <v>1</v>
      </c>
      <c r="BP266" s="281">
        <v>515985</v>
      </c>
      <c r="BQ266" s="281">
        <v>171070</v>
      </c>
      <c r="BR266" s="296" t="s">
        <v>183</v>
      </c>
      <c r="BS266" t="s">
        <v>143</v>
      </c>
      <c r="BT266" t="s">
        <v>143</v>
      </c>
      <c r="BU266"/>
      <c r="BV266"/>
      <c r="BW266"/>
      <c r="BX266"/>
      <c r="BY266" t="s">
        <v>662</v>
      </c>
      <c r="BZ266" t="s">
        <v>325</v>
      </c>
      <c r="CA266" t="s">
        <v>325</v>
      </c>
      <c r="CB266" t="s">
        <v>192</v>
      </c>
    </row>
    <row r="267" spans="1:81" ht="15" customHeight="1" x14ac:dyDescent="0.25">
      <c r="A267" s="274" t="s">
        <v>1427</v>
      </c>
      <c r="B267" s="277" t="s">
        <v>459</v>
      </c>
      <c r="C267" s="274" t="s">
        <v>293</v>
      </c>
      <c r="D267" s="275">
        <v>44726</v>
      </c>
      <c r="E267" s="275">
        <v>45822</v>
      </c>
      <c r="H267" s="274" t="s">
        <v>258</v>
      </c>
      <c r="I267" s="238" t="s">
        <v>303</v>
      </c>
      <c r="M267" s="277" t="s">
        <v>1428</v>
      </c>
      <c r="N267" s="277" t="s">
        <v>1429</v>
      </c>
      <c r="O267" s="276" t="s">
        <v>1430</v>
      </c>
      <c r="Y267" s="276">
        <f t="shared" si="61"/>
        <v>0</v>
      </c>
      <c r="AB267" s="276">
        <v>2</v>
      </c>
      <c r="AI267" s="276">
        <f t="shared" si="60"/>
        <v>2</v>
      </c>
      <c r="AJ267">
        <f t="shared" si="62"/>
        <v>0</v>
      </c>
      <c r="AK267">
        <f t="shared" si="63"/>
        <v>2</v>
      </c>
      <c r="AL267">
        <f t="shared" si="64"/>
        <v>0</v>
      </c>
      <c r="AM267">
        <f t="shared" si="65"/>
        <v>0</v>
      </c>
      <c r="AN267">
        <f t="shared" si="66"/>
        <v>0</v>
      </c>
      <c r="AO267">
        <f t="shared" si="67"/>
        <v>0</v>
      </c>
      <c r="AP267">
        <f t="shared" si="68"/>
        <v>0</v>
      </c>
      <c r="AQ267">
        <f t="shared" si="69"/>
        <v>0</v>
      </c>
      <c r="AR267" s="276">
        <f t="shared" si="70"/>
        <v>2</v>
      </c>
      <c r="AT267" s="278"/>
      <c r="AV267" s="274">
        <v>1</v>
      </c>
      <c r="AY267" s="279"/>
      <c r="BD267" s="279"/>
      <c r="BK267" s="280">
        <f t="shared" si="71"/>
        <v>1</v>
      </c>
      <c r="BL267" s="274">
        <f t="shared" si="72"/>
        <v>1</v>
      </c>
      <c r="BP267" s="281">
        <v>515645</v>
      </c>
      <c r="BQ267" s="281">
        <v>170997</v>
      </c>
      <c r="BR267" s="296" t="s">
        <v>183</v>
      </c>
      <c r="BS267" t="s">
        <v>143</v>
      </c>
      <c r="BT267" t="s">
        <v>143</v>
      </c>
      <c r="BU267"/>
      <c r="BV267"/>
      <c r="BW267"/>
      <c r="BX267"/>
      <c r="BY267"/>
      <c r="BZ267"/>
      <c r="CA267" t="s">
        <v>325</v>
      </c>
      <c r="CB267" t="s">
        <v>192</v>
      </c>
    </row>
    <row r="268" spans="1:81" ht="15" customHeight="1" x14ac:dyDescent="0.25">
      <c r="A268" s="274" t="s">
        <v>1431</v>
      </c>
      <c r="B268" s="277" t="s">
        <v>444</v>
      </c>
      <c r="D268" s="275">
        <v>44967</v>
      </c>
      <c r="E268" s="275">
        <v>46063</v>
      </c>
      <c r="F268" s="275">
        <v>45391</v>
      </c>
      <c r="H268" s="274" t="s">
        <v>258</v>
      </c>
      <c r="I268" s="238" t="s">
        <v>303</v>
      </c>
      <c r="M268" s="277" t="s">
        <v>1432</v>
      </c>
      <c r="N268" s="277" t="s">
        <v>1433</v>
      </c>
      <c r="O268" s="276" t="s">
        <v>1434</v>
      </c>
      <c r="T268" s="276">
        <v>1</v>
      </c>
      <c r="Y268" s="276">
        <f t="shared" si="61"/>
        <v>1</v>
      </c>
      <c r="AC268" s="276">
        <v>5</v>
      </c>
      <c r="AI268" s="276">
        <f t="shared" si="60"/>
        <v>5</v>
      </c>
      <c r="AJ268">
        <f t="shared" si="62"/>
        <v>0</v>
      </c>
      <c r="AK268">
        <f t="shared" si="63"/>
        <v>0</v>
      </c>
      <c r="AL268">
        <f t="shared" si="64"/>
        <v>5</v>
      </c>
      <c r="AM268">
        <f t="shared" si="65"/>
        <v>-1</v>
      </c>
      <c r="AN268">
        <f t="shared" si="66"/>
        <v>0</v>
      </c>
      <c r="AO268">
        <f t="shared" si="67"/>
        <v>0</v>
      </c>
      <c r="AP268">
        <f t="shared" si="68"/>
        <v>0</v>
      </c>
      <c r="AQ268">
        <f t="shared" si="69"/>
        <v>0</v>
      </c>
      <c r="AR268" s="276">
        <f t="shared" si="70"/>
        <v>4</v>
      </c>
      <c r="AT268" s="278"/>
      <c r="AU268" s="274">
        <v>2</v>
      </c>
      <c r="AV268" s="274">
        <v>2</v>
      </c>
      <c r="AY268" s="279"/>
      <c r="BD268" s="279"/>
      <c r="BK268" s="280">
        <f t="shared" si="71"/>
        <v>4</v>
      </c>
      <c r="BL268" s="274">
        <f t="shared" si="72"/>
        <v>4</v>
      </c>
      <c r="BP268" s="281">
        <v>519166</v>
      </c>
      <c r="BQ268" s="281">
        <v>177465</v>
      </c>
      <c r="BR268" s="296" t="s">
        <v>141</v>
      </c>
      <c r="BS268" t="s">
        <v>165</v>
      </c>
      <c r="BT268"/>
      <c r="BU268"/>
      <c r="BV268"/>
      <c r="BW268"/>
      <c r="BX268"/>
      <c r="BY268" t="s">
        <v>717</v>
      </c>
      <c r="BZ268" t="s">
        <v>325</v>
      </c>
      <c r="CA268" t="s">
        <v>325</v>
      </c>
      <c r="CB268" t="s">
        <v>165</v>
      </c>
    </row>
    <row r="269" spans="1:81" ht="15" customHeight="1" x14ac:dyDescent="0.25">
      <c r="A269" s="274" t="s">
        <v>1435</v>
      </c>
      <c r="B269" s="277" t="s">
        <v>444</v>
      </c>
      <c r="D269" s="275">
        <v>44935</v>
      </c>
      <c r="E269" s="275">
        <v>46031</v>
      </c>
      <c r="H269" s="274" t="s">
        <v>258</v>
      </c>
      <c r="I269" s="238" t="s">
        <v>303</v>
      </c>
      <c r="M269" s="277" t="s">
        <v>1436</v>
      </c>
      <c r="N269" s="277" t="s">
        <v>1437</v>
      </c>
      <c r="O269" s="276" t="s">
        <v>1135</v>
      </c>
      <c r="Y269" s="276">
        <f t="shared" si="61"/>
        <v>0</v>
      </c>
      <c r="AB269" s="276">
        <v>1</v>
      </c>
      <c r="AI269" s="276">
        <f t="shared" si="60"/>
        <v>1</v>
      </c>
      <c r="AJ269">
        <f t="shared" si="62"/>
        <v>0</v>
      </c>
      <c r="AK269">
        <f t="shared" si="63"/>
        <v>1</v>
      </c>
      <c r="AL269">
        <f t="shared" si="64"/>
        <v>0</v>
      </c>
      <c r="AM269">
        <f t="shared" si="65"/>
        <v>0</v>
      </c>
      <c r="AN269">
        <f t="shared" si="66"/>
        <v>0</v>
      </c>
      <c r="AO269">
        <f t="shared" si="67"/>
        <v>0</v>
      </c>
      <c r="AP269">
        <f t="shared" si="68"/>
        <v>0</v>
      </c>
      <c r="AQ269">
        <f t="shared" si="69"/>
        <v>0</v>
      </c>
      <c r="AR269" s="276">
        <f t="shared" si="70"/>
        <v>1</v>
      </c>
      <c r="AT269" s="278"/>
      <c r="AU269" s="274">
        <v>0.25</v>
      </c>
      <c r="AV269" s="274">
        <v>0.25</v>
      </c>
      <c r="AW269" s="274">
        <v>0.25</v>
      </c>
      <c r="AX269" s="274">
        <v>0.25</v>
      </c>
      <c r="AY269" s="279"/>
      <c r="BD269" s="279"/>
      <c r="BK269" s="280">
        <f t="shared" si="71"/>
        <v>1</v>
      </c>
      <c r="BL269" s="274">
        <f t="shared" si="72"/>
        <v>1</v>
      </c>
      <c r="BP269" s="281">
        <v>514429</v>
      </c>
      <c r="BQ269" s="281">
        <v>171230</v>
      </c>
      <c r="BR269" s="296" t="s">
        <v>183</v>
      </c>
      <c r="BS269" t="s">
        <v>159</v>
      </c>
      <c r="BT269"/>
      <c r="BU269"/>
      <c r="BV269"/>
      <c r="BW269"/>
      <c r="BX269"/>
      <c r="BY269"/>
      <c r="BZ269"/>
      <c r="CA269" t="s">
        <v>325</v>
      </c>
      <c r="CB269" t="s">
        <v>189</v>
      </c>
    </row>
    <row r="270" spans="1:81" ht="15" customHeight="1" x14ac:dyDescent="0.25">
      <c r="A270" s="274" t="s">
        <v>1438</v>
      </c>
      <c r="B270" s="277" t="s">
        <v>459</v>
      </c>
      <c r="C270" s="274" t="s">
        <v>293</v>
      </c>
      <c r="D270" s="275">
        <v>45187</v>
      </c>
      <c r="E270" s="275">
        <v>45918</v>
      </c>
      <c r="H270" s="274" t="s">
        <v>258</v>
      </c>
      <c r="I270" s="238" t="s">
        <v>303</v>
      </c>
      <c r="M270" s="277" t="s">
        <v>1439</v>
      </c>
      <c r="N270" s="277" t="s">
        <v>1440</v>
      </c>
      <c r="O270" s="276" t="s">
        <v>1441</v>
      </c>
      <c r="Y270" s="276">
        <f t="shared" si="61"/>
        <v>0</v>
      </c>
      <c r="AA270" s="276">
        <v>2</v>
      </c>
      <c r="AI270" s="276">
        <f t="shared" si="60"/>
        <v>2</v>
      </c>
      <c r="AJ270">
        <f t="shared" si="62"/>
        <v>2</v>
      </c>
      <c r="AK270">
        <f t="shared" si="63"/>
        <v>0</v>
      </c>
      <c r="AL270">
        <f t="shared" si="64"/>
        <v>0</v>
      </c>
      <c r="AM270">
        <f t="shared" si="65"/>
        <v>0</v>
      </c>
      <c r="AN270">
        <f t="shared" si="66"/>
        <v>0</v>
      </c>
      <c r="AO270">
        <f t="shared" si="67"/>
        <v>0</v>
      </c>
      <c r="AP270">
        <f t="shared" si="68"/>
        <v>0</v>
      </c>
      <c r="AQ270">
        <f t="shared" si="69"/>
        <v>0</v>
      </c>
      <c r="AR270" s="276">
        <f t="shared" si="70"/>
        <v>2</v>
      </c>
      <c r="AT270" s="278"/>
      <c r="AU270" s="274">
        <v>2</v>
      </c>
      <c r="AY270" s="279"/>
      <c r="BD270" s="279"/>
      <c r="BK270" s="280">
        <f t="shared" si="71"/>
        <v>2</v>
      </c>
      <c r="BL270" s="274">
        <f t="shared" si="72"/>
        <v>2</v>
      </c>
      <c r="BP270" s="281">
        <v>514180</v>
      </c>
      <c r="BQ270" s="281">
        <v>173646</v>
      </c>
      <c r="BR270" t="s">
        <v>147</v>
      </c>
      <c r="BS270" t="s">
        <v>147</v>
      </c>
      <c r="BT270" t="s">
        <v>147</v>
      </c>
      <c r="BU270"/>
      <c r="BV270"/>
      <c r="BW270"/>
      <c r="BX270"/>
      <c r="BY270"/>
      <c r="BZ270"/>
      <c r="CA270" t="s">
        <v>325</v>
      </c>
      <c r="CB270" t="s">
        <v>194</v>
      </c>
    </row>
    <row r="271" spans="1:81" ht="15" customHeight="1" x14ac:dyDescent="0.25">
      <c r="A271" s="274" t="s">
        <v>1442</v>
      </c>
      <c r="B271" s="277" t="s">
        <v>444</v>
      </c>
      <c r="D271" s="275">
        <v>44872</v>
      </c>
      <c r="E271" s="275">
        <v>45968</v>
      </c>
      <c r="H271" s="274" t="s">
        <v>258</v>
      </c>
      <c r="I271" s="276" t="s">
        <v>337</v>
      </c>
      <c r="M271" s="277" t="s">
        <v>1443</v>
      </c>
      <c r="N271" s="277" t="s">
        <v>1444</v>
      </c>
      <c r="O271" s="276" t="s">
        <v>1445</v>
      </c>
      <c r="S271" s="276">
        <v>1</v>
      </c>
      <c r="Y271" s="276">
        <f t="shared" si="61"/>
        <v>1</v>
      </c>
      <c r="Z271" s="276" t="s">
        <v>325</v>
      </c>
      <c r="AA271" s="276">
        <v>3</v>
      </c>
      <c r="AB271" s="276">
        <v>1</v>
      </c>
      <c r="AI271" s="276">
        <f t="shared" si="60"/>
        <v>4</v>
      </c>
      <c r="AJ271">
        <f t="shared" si="62"/>
        <v>3</v>
      </c>
      <c r="AK271">
        <f t="shared" si="63"/>
        <v>1</v>
      </c>
      <c r="AL271">
        <f t="shared" si="64"/>
        <v>-1</v>
      </c>
      <c r="AM271">
        <f t="shared" si="65"/>
        <v>0</v>
      </c>
      <c r="AN271">
        <f t="shared" si="66"/>
        <v>0</v>
      </c>
      <c r="AO271">
        <f t="shared" si="67"/>
        <v>0</v>
      </c>
      <c r="AP271">
        <f t="shared" si="68"/>
        <v>0</v>
      </c>
      <c r="AQ271">
        <f t="shared" si="69"/>
        <v>0</v>
      </c>
      <c r="AR271" s="276">
        <f t="shared" si="70"/>
        <v>3</v>
      </c>
      <c r="AT271" s="278"/>
      <c r="AU271" s="274">
        <v>0.75</v>
      </c>
      <c r="AV271" s="274">
        <v>0.75</v>
      </c>
      <c r="AW271" s="274">
        <v>0.75</v>
      </c>
      <c r="AX271" s="274">
        <v>0.75</v>
      </c>
      <c r="AY271" s="279"/>
      <c r="BD271" s="279"/>
      <c r="BK271" s="280">
        <f t="shared" si="71"/>
        <v>3</v>
      </c>
      <c r="BL271" s="274">
        <f t="shared" si="72"/>
        <v>3</v>
      </c>
      <c r="BP271" s="281">
        <v>516734</v>
      </c>
      <c r="BQ271" s="281">
        <v>173647</v>
      </c>
      <c r="BR271" s="296" t="s">
        <v>145</v>
      </c>
      <c r="BS271" t="s">
        <v>171</v>
      </c>
      <c r="BT271"/>
      <c r="BU271"/>
      <c r="BV271"/>
      <c r="BW271"/>
      <c r="BX271" t="s">
        <v>1446</v>
      </c>
      <c r="BY271" t="s">
        <v>679</v>
      </c>
      <c r="BZ271" t="s">
        <v>325</v>
      </c>
      <c r="CA271" t="s">
        <v>325</v>
      </c>
      <c r="CB271" t="s">
        <v>193</v>
      </c>
    </row>
    <row r="272" spans="1:81" ht="15" customHeight="1" x14ac:dyDescent="0.25">
      <c r="A272" s="274" t="s">
        <v>1447</v>
      </c>
      <c r="B272" s="274" t="s">
        <v>459</v>
      </c>
      <c r="C272" s="274"/>
      <c r="D272" s="275">
        <v>45063</v>
      </c>
      <c r="E272" s="275">
        <v>46159</v>
      </c>
      <c r="H272" s="237" t="s">
        <v>258</v>
      </c>
      <c r="I272" s="238" t="s">
        <v>303</v>
      </c>
      <c r="M272" s="277" t="s">
        <v>1448</v>
      </c>
      <c r="N272" s="277" t="s">
        <v>1449</v>
      </c>
      <c r="O272" s="276" t="s">
        <v>1450</v>
      </c>
      <c r="Y272" s="276">
        <f t="shared" si="61"/>
        <v>0</v>
      </c>
      <c r="AC272" s="276">
        <v>1</v>
      </c>
      <c r="AI272" s="276">
        <f t="shared" si="60"/>
        <v>1</v>
      </c>
      <c r="AJ272">
        <f t="shared" si="62"/>
        <v>0</v>
      </c>
      <c r="AK272">
        <f t="shared" si="63"/>
        <v>0</v>
      </c>
      <c r="AL272">
        <f t="shared" si="64"/>
        <v>1</v>
      </c>
      <c r="AM272">
        <f t="shared" si="65"/>
        <v>0</v>
      </c>
      <c r="AN272">
        <f t="shared" si="66"/>
        <v>0</v>
      </c>
      <c r="AO272">
        <f t="shared" si="67"/>
        <v>0</v>
      </c>
      <c r="AP272">
        <f t="shared" si="68"/>
        <v>0</v>
      </c>
      <c r="AQ272">
        <f t="shared" si="69"/>
        <v>0</v>
      </c>
      <c r="AR272" s="276">
        <f t="shared" si="70"/>
        <v>1</v>
      </c>
      <c r="AT272" s="278"/>
      <c r="AU272" s="274">
        <v>0.25</v>
      </c>
      <c r="AV272" s="274">
        <v>0.25</v>
      </c>
      <c r="AW272" s="274">
        <v>0.25</v>
      </c>
      <c r="AX272" s="274">
        <v>0.25</v>
      </c>
      <c r="AY272" s="279"/>
      <c r="BD272" s="279"/>
      <c r="BK272" s="280">
        <f t="shared" si="71"/>
        <v>1</v>
      </c>
      <c r="BL272" s="274">
        <f t="shared" si="72"/>
        <v>1</v>
      </c>
      <c r="BP272" s="281">
        <v>517416</v>
      </c>
      <c r="BQ272" s="281">
        <v>169490</v>
      </c>
      <c r="BR272" s="296" t="s">
        <v>183</v>
      </c>
      <c r="BS272" t="s">
        <v>163</v>
      </c>
      <c r="BT272"/>
      <c r="BU272"/>
      <c r="BV272"/>
      <c r="BW272"/>
      <c r="BX272"/>
      <c r="BY272" t="s">
        <v>791</v>
      </c>
      <c r="BZ272" t="s">
        <v>325</v>
      </c>
      <c r="CA272" t="s">
        <v>325</v>
      </c>
      <c r="CB272" t="s">
        <v>192</v>
      </c>
    </row>
    <row r="273" spans="1:81" ht="15" customHeight="1" x14ac:dyDescent="0.25">
      <c r="A273" s="274" t="s">
        <v>1451</v>
      </c>
      <c r="B273" s="277" t="s">
        <v>481</v>
      </c>
      <c r="D273" s="275">
        <v>44908</v>
      </c>
      <c r="E273" s="275">
        <v>46004</v>
      </c>
      <c r="H273" s="274" t="s">
        <v>258</v>
      </c>
      <c r="I273" s="238" t="s">
        <v>303</v>
      </c>
      <c r="M273" s="277" t="s">
        <v>1452</v>
      </c>
      <c r="N273" s="277" t="s">
        <v>1453</v>
      </c>
      <c r="O273" s="276" t="s">
        <v>1454</v>
      </c>
      <c r="Q273" s="276">
        <v>1</v>
      </c>
      <c r="R273" s="276">
        <v>1</v>
      </c>
      <c r="Y273" s="276">
        <f t="shared" si="61"/>
        <v>2</v>
      </c>
      <c r="AD273" s="276">
        <v>1</v>
      </c>
      <c r="AI273" s="276">
        <f t="shared" si="60"/>
        <v>1</v>
      </c>
      <c r="AJ273">
        <f t="shared" si="62"/>
        <v>-1</v>
      </c>
      <c r="AK273">
        <f t="shared" si="63"/>
        <v>-1</v>
      </c>
      <c r="AL273">
        <f t="shared" si="64"/>
        <v>0</v>
      </c>
      <c r="AM273">
        <f t="shared" si="65"/>
        <v>1</v>
      </c>
      <c r="AN273">
        <f t="shared" si="66"/>
        <v>0</v>
      </c>
      <c r="AO273">
        <f t="shared" si="67"/>
        <v>0</v>
      </c>
      <c r="AP273">
        <f t="shared" si="68"/>
        <v>0</v>
      </c>
      <c r="AQ273">
        <f t="shared" si="69"/>
        <v>0</v>
      </c>
      <c r="AR273" s="276">
        <f t="shared" si="70"/>
        <v>-1</v>
      </c>
      <c r="AT273" s="278"/>
      <c r="AU273" s="274">
        <v>-0.25</v>
      </c>
      <c r="AV273" s="274">
        <v>-0.25</v>
      </c>
      <c r="AW273" s="274">
        <v>-0.25</v>
      </c>
      <c r="AX273" s="274">
        <v>-0.25</v>
      </c>
      <c r="AY273" s="279"/>
      <c r="BD273" s="279"/>
      <c r="BK273" s="280">
        <f t="shared" si="71"/>
        <v>-1</v>
      </c>
      <c r="BL273" s="274">
        <f t="shared" si="72"/>
        <v>-1</v>
      </c>
      <c r="BP273" s="281">
        <v>520657</v>
      </c>
      <c r="BQ273" s="281">
        <v>175094</v>
      </c>
      <c r="BR273" s="296" t="s">
        <v>181</v>
      </c>
      <c r="BS273" t="s">
        <v>140</v>
      </c>
      <c r="BT273"/>
      <c r="BU273"/>
      <c r="BV273"/>
      <c r="BW273"/>
      <c r="BX273"/>
      <c r="BY273"/>
      <c r="BZ273"/>
      <c r="CA273" t="s">
        <v>325</v>
      </c>
      <c r="CB273" t="s">
        <v>190</v>
      </c>
    </row>
    <row r="274" spans="1:81" ht="15" customHeight="1" x14ac:dyDescent="0.25">
      <c r="A274" s="274" t="s">
        <v>1455</v>
      </c>
      <c r="B274" s="277" t="s">
        <v>444</v>
      </c>
      <c r="D274" s="275">
        <v>45118</v>
      </c>
      <c r="E274" s="275">
        <v>46214</v>
      </c>
      <c r="H274" s="274" t="s">
        <v>258</v>
      </c>
      <c r="I274" s="238" t="s">
        <v>303</v>
      </c>
      <c r="M274" s="277" t="s">
        <v>1456</v>
      </c>
      <c r="N274" s="277" t="s">
        <v>1457</v>
      </c>
      <c r="O274" s="276" t="s">
        <v>1458</v>
      </c>
      <c r="S274" s="276">
        <v>1</v>
      </c>
      <c r="Y274" s="276">
        <f t="shared" si="61"/>
        <v>1</v>
      </c>
      <c r="AF274" s="276">
        <v>1</v>
      </c>
      <c r="AI274" s="276">
        <f t="shared" si="60"/>
        <v>1</v>
      </c>
      <c r="AJ274">
        <f t="shared" si="62"/>
        <v>0</v>
      </c>
      <c r="AK274">
        <f t="shared" si="63"/>
        <v>0</v>
      </c>
      <c r="AL274">
        <f t="shared" si="64"/>
        <v>-1</v>
      </c>
      <c r="AM274">
        <f t="shared" si="65"/>
        <v>0</v>
      </c>
      <c r="AN274">
        <f t="shared" si="66"/>
        <v>0</v>
      </c>
      <c r="AO274">
        <f t="shared" si="67"/>
        <v>1</v>
      </c>
      <c r="AP274">
        <f t="shared" si="68"/>
        <v>0</v>
      </c>
      <c r="AQ274">
        <f t="shared" si="69"/>
        <v>0</v>
      </c>
      <c r="AR274" s="276">
        <f t="shared" si="70"/>
        <v>0</v>
      </c>
      <c r="AT274" s="278"/>
      <c r="AU274" s="274">
        <v>0</v>
      </c>
      <c r="AY274" s="279"/>
      <c r="BD274" s="279"/>
      <c r="BK274" s="280">
        <f t="shared" si="71"/>
        <v>0</v>
      </c>
      <c r="BL274" s="274">
        <f t="shared" si="72"/>
        <v>0</v>
      </c>
      <c r="BP274" s="281">
        <v>516362</v>
      </c>
      <c r="BQ274" s="281">
        <v>171689</v>
      </c>
      <c r="BR274" s="296" t="s">
        <v>183</v>
      </c>
      <c r="BS274" t="s">
        <v>143</v>
      </c>
      <c r="BT274"/>
      <c r="BU274" t="s">
        <v>142</v>
      </c>
      <c r="BV274"/>
      <c r="BW274"/>
      <c r="BX274"/>
      <c r="BY274"/>
      <c r="BZ274"/>
      <c r="CA274" t="s">
        <v>325</v>
      </c>
      <c r="CB274" t="s">
        <v>192</v>
      </c>
    </row>
    <row r="275" spans="1:81" ht="15" customHeight="1" x14ac:dyDescent="0.25">
      <c r="A275" s="274" t="s">
        <v>1459</v>
      </c>
      <c r="B275" s="274" t="s">
        <v>444</v>
      </c>
      <c r="C275" s="274"/>
      <c r="D275" s="275">
        <v>44965</v>
      </c>
      <c r="E275" s="275">
        <v>46061</v>
      </c>
      <c r="H275" s="274" t="s">
        <v>258</v>
      </c>
      <c r="I275" s="238" t="s">
        <v>303</v>
      </c>
      <c r="M275" s="277" t="s">
        <v>1460</v>
      </c>
      <c r="N275" s="277" t="s">
        <v>1461</v>
      </c>
      <c r="O275" s="276" t="s">
        <v>1462</v>
      </c>
      <c r="T275" s="276">
        <v>1</v>
      </c>
      <c r="Y275" s="276">
        <f t="shared" si="61"/>
        <v>1</v>
      </c>
      <c r="AC275" s="276">
        <v>2</v>
      </c>
      <c r="AI275" s="276">
        <f t="shared" ref="AI275:AI306" si="73">SUM(AA275:AH275)</f>
        <v>2</v>
      </c>
      <c r="AJ275">
        <f t="shared" si="62"/>
        <v>0</v>
      </c>
      <c r="AK275">
        <f t="shared" si="63"/>
        <v>0</v>
      </c>
      <c r="AL275">
        <f t="shared" si="64"/>
        <v>2</v>
      </c>
      <c r="AM275">
        <f t="shared" si="65"/>
        <v>-1</v>
      </c>
      <c r="AN275">
        <f t="shared" si="66"/>
        <v>0</v>
      </c>
      <c r="AO275">
        <f t="shared" si="67"/>
        <v>0</v>
      </c>
      <c r="AP275">
        <f t="shared" si="68"/>
        <v>0</v>
      </c>
      <c r="AQ275">
        <f t="shared" si="69"/>
        <v>0</v>
      </c>
      <c r="AR275" s="276">
        <f t="shared" si="70"/>
        <v>1</v>
      </c>
      <c r="AT275" s="278"/>
      <c r="AU275" s="274">
        <v>0.25</v>
      </c>
      <c r="AV275" s="274">
        <v>0.25</v>
      </c>
      <c r="AW275" s="274">
        <v>0.25</v>
      </c>
      <c r="AX275" s="274">
        <v>0.25</v>
      </c>
      <c r="AY275" s="279"/>
      <c r="BD275" s="279"/>
      <c r="BK275" s="280">
        <f t="shared" si="71"/>
        <v>1</v>
      </c>
      <c r="BL275" s="274">
        <f t="shared" si="72"/>
        <v>1</v>
      </c>
      <c r="BP275" s="281">
        <v>519780</v>
      </c>
      <c r="BQ275" s="281">
        <v>175098</v>
      </c>
      <c r="BR275" s="296" t="s">
        <v>181</v>
      </c>
      <c r="BS275" t="s">
        <v>140</v>
      </c>
      <c r="BT275"/>
      <c r="BU275"/>
      <c r="BV275"/>
      <c r="BW275"/>
      <c r="BX275"/>
      <c r="BY275"/>
      <c r="BZ275"/>
      <c r="CA275" t="s">
        <v>325</v>
      </c>
      <c r="CB275" t="s">
        <v>190</v>
      </c>
      <c r="CC275" s="276" t="s">
        <v>325</v>
      </c>
    </row>
    <row r="276" spans="1:81" ht="15" customHeight="1" x14ac:dyDescent="0.25">
      <c r="A276" s="274" t="s">
        <v>1463</v>
      </c>
      <c r="B276" s="277" t="s">
        <v>532</v>
      </c>
      <c r="D276" s="275">
        <v>44894</v>
      </c>
      <c r="E276" s="275">
        <v>45990</v>
      </c>
      <c r="H276" s="274" t="s">
        <v>258</v>
      </c>
      <c r="I276" s="238" t="s">
        <v>303</v>
      </c>
      <c r="M276" s="277" t="s">
        <v>1464</v>
      </c>
      <c r="N276" s="277" t="s">
        <v>1465</v>
      </c>
      <c r="O276" s="276" t="s">
        <v>995</v>
      </c>
      <c r="Y276" s="276">
        <f t="shared" si="61"/>
        <v>0</v>
      </c>
      <c r="AA276" s="276">
        <v>1</v>
      </c>
      <c r="AB276" s="276">
        <v>2</v>
      </c>
      <c r="AI276" s="276">
        <f t="shared" si="73"/>
        <v>3</v>
      </c>
      <c r="AJ276">
        <f t="shared" si="62"/>
        <v>1</v>
      </c>
      <c r="AK276">
        <f t="shared" si="63"/>
        <v>2</v>
      </c>
      <c r="AL276">
        <f t="shared" si="64"/>
        <v>0</v>
      </c>
      <c r="AM276">
        <f t="shared" si="65"/>
        <v>0</v>
      </c>
      <c r="AN276">
        <f t="shared" si="66"/>
        <v>0</v>
      </c>
      <c r="AO276">
        <f t="shared" si="67"/>
        <v>0</v>
      </c>
      <c r="AP276">
        <f t="shared" si="68"/>
        <v>0</v>
      </c>
      <c r="AQ276">
        <f t="shared" si="69"/>
        <v>0</v>
      </c>
      <c r="AR276" s="276">
        <f t="shared" si="70"/>
        <v>3</v>
      </c>
      <c r="AT276" s="278"/>
      <c r="AU276" s="274">
        <v>0.75</v>
      </c>
      <c r="AV276" s="274">
        <v>0.75</v>
      </c>
      <c r="AW276" s="274">
        <v>0.75</v>
      </c>
      <c r="AX276" s="274">
        <v>0.75</v>
      </c>
      <c r="AY276" s="279"/>
      <c r="BD276" s="279"/>
      <c r="BK276" s="280">
        <f t="shared" si="71"/>
        <v>3</v>
      </c>
      <c r="BL276" s="274">
        <f t="shared" si="72"/>
        <v>3</v>
      </c>
      <c r="BP276" s="281">
        <v>516087</v>
      </c>
      <c r="BQ276" s="281">
        <v>173122</v>
      </c>
      <c r="BR276" s="296" t="s">
        <v>145</v>
      </c>
      <c r="BS276" t="s">
        <v>169</v>
      </c>
      <c r="BT276" t="s">
        <v>145</v>
      </c>
      <c r="BU276"/>
      <c r="BV276"/>
      <c r="BW276"/>
      <c r="BX276"/>
      <c r="BY276"/>
      <c r="BZ276"/>
      <c r="CA276" t="s">
        <v>325</v>
      </c>
      <c r="CB276" t="s">
        <v>193</v>
      </c>
    </row>
    <row r="277" spans="1:81" ht="15" customHeight="1" x14ac:dyDescent="0.25">
      <c r="A277" s="274" t="s">
        <v>1466</v>
      </c>
      <c r="B277" s="277" t="s">
        <v>459</v>
      </c>
      <c r="C277" s="274" t="s">
        <v>293</v>
      </c>
      <c r="D277" s="275">
        <v>44895</v>
      </c>
      <c r="E277" s="275">
        <v>45991</v>
      </c>
      <c r="H277" s="274" t="s">
        <v>258</v>
      </c>
      <c r="I277" s="238" t="s">
        <v>303</v>
      </c>
      <c r="M277" s="277" t="s">
        <v>1467</v>
      </c>
      <c r="N277" s="277" t="s">
        <v>1350</v>
      </c>
      <c r="O277" s="276" t="s">
        <v>1351</v>
      </c>
      <c r="Y277" s="276">
        <f t="shared" si="61"/>
        <v>0</v>
      </c>
      <c r="AA277" s="276">
        <v>1</v>
      </c>
      <c r="AI277" s="276">
        <f t="shared" si="73"/>
        <v>1</v>
      </c>
      <c r="AJ277">
        <f t="shared" si="62"/>
        <v>1</v>
      </c>
      <c r="AK277">
        <f t="shared" si="63"/>
        <v>0</v>
      </c>
      <c r="AL277">
        <f t="shared" si="64"/>
        <v>0</v>
      </c>
      <c r="AM277">
        <f t="shared" si="65"/>
        <v>0</v>
      </c>
      <c r="AN277">
        <f t="shared" si="66"/>
        <v>0</v>
      </c>
      <c r="AO277">
        <f t="shared" si="67"/>
        <v>0</v>
      </c>
      <c r="AP277">
        <f t="shared" si="68"/>
        <v>0</v>
      </c>
      <c r="AQ277">
        <f t="shared" si="69"/>
        <v>0</v>
      </c>
      <c r="AR277" s="276">
        <f t="shared" si="70"/>
        <v>1</v>
      </c>
      <c r="AT277" s="278"/>
      <c r="AV277" s="274">
        <v>1</v>
      </c>
      <c r="AY277" s="279"/>
      <c r="BD277" s="279"/>
      <c r="BK277" s="280">
        <f t="shared" si="71"/>
        <v>1</v>
      </c>
      <c r="BL277" s="274">
        <f t="shared" si="72"/>
        <v>1</v>
      </c>
      <c r="BP277" s="281">
        <v>520553</v>
      </c>
      <c r="BQ277" s="281">
        <v>175393</v>
      </c>
      <c r="BR277" s="296" t="s">
        <v>181</v>
      </c>
      <c r="BS277" t="s">
        <v>140</v>
      </c>
      <c r="BT277" t="s">
        <v>140</v>
      </c>
      <c r="BU277"/>
      <c r="BV277"/>
      <c r="BW277"/>
      <c r="BX277"/>
      <c r="BY277"/>
      <c r="BZ277"/>
      <c r="CA277" t="s">
        <v>325</v>
      </c>
      <c r="CB277" t="s">
        <v>190</v>
      </c>
    </row>
    <row r="278" spans="1:81" ht="15" customHeight="1" x14ac:dyDescent="0.25">
      <c r="A278" s="274" t="s">
        <v>1468</v>
      </c>
      <c r="B278" s="274" t="s">
        <v>459</v>
      </c>
      <c r="C278" s="274"/>
      <c r="D278" s="275">
        <v>45244</v>
      </c>
      <c r="E278" s="275">
        <v>46340</v>
      </c>
      <c r="H278" s="274" t="s">
        <v>258</v>
      </c>
      <c r="I278" s="238" t="s">
        <v>303</v>
      </c>
      <c r="M278" s="277" t="s">
        <v>1469</v>
      </c>
      <c r="N278" s="277" t="s">
        <v>1470</v>
      </c>
      <c r="O278" s="276" t="s">
        <v>1471</v>
      </c>
      <c r="Y278" s="276">
        <f t="shared" si="61"/>
        <v>0</v>
      </c>
      <c r="AA278" s="276">
        <v>2</v>
      </c>
      <c r="AI278" s="276">
        <f t="shared" si="73"/>
        <v>2</v>
      </c>
      <c r="AJ278">
        <f t="shared" si="62"/>
        <v>2</v>
      </c>
      <c r="AK278">
        <f t="shared" si="63"/>
        <v>0</v>
      </c>
      <c r="AL278">
        <f t="shared" si="64"/>
        <v>0</v>
      </c>
      <c r="AM278">
        <f t="shared" si="65"/>
        <v>0</v>
      </c>
      <c r="AN278">
        <f t="shared" si="66"/>
        <v>0</v>
      </c>
      <c r="AO278">
        <f t="shared" si="67"/>
        <v>0</v>
      </c>
      <c r="AP278">
        <f t="shared" si="68"/>
        <v>0</v>
      </c>
      <c r="AQ278">
        <f t="shared" si="69"/>
        <v>0</v>
      </c>
      <c r="AR278" s="276">
        <f t="shared" si="70"/>
        <v>2</v>
      </c>
      <c r="AT278" s="278"/>
      <c r="AU278" s="274">
        <v>0.5</v>
      </c>
      <c r="AV278" s="274">
        <v>0.5</v>
      </c>
      <c r="AW278" s="274">
        <v>0.5</v>
      </c>
      <c r="AX278" s="274">
        <v>0.5</v>
      </c>
      <c r="AY278" s="279"/>
      <c r="BD278" s="279"/>
      <c r="BK278" s="280">
        <f t="shared" si="71"/>
        <v>2</v>
      </c>
      <c r="BL278" s="274">
        <f t="shared" si="72"/>
        <v>2</v>
      </c>
      <c r="BP278" s="281">
        <v>520486</v>
      </c>
      <c r="BQ278" s="281">
        <v>175416</v>
      </c>
      <c r="BR278" s="296" t="s">
        <v>181</v>
      </c>
      <c r="BS278" t="s">
        <v>140</v>
      </c>
      <c r="BT278" t="s">
        <v>140</v>
      </c>
      <c r="BU278"/>
      <c r="BV278"/>
      <c r="BW278"/>
      <c r="BX278"/>
      <c r="BY278" t="s">
        <v>934</v>
      </c>
      <c r="BZ278" t="s">
        <v>325</v>
      </c>
      <c r="CA278" t="s">
        <v>325</v>
      </c>
      <c r="CB278" t="s">
        <v>190</v>
      </c>
    </row>
    <row r="279" spans="1:81" ht="15" customHeight="1" x14ac:dyDescent="0.25">
      <c r="A279" s="274" t="s">
        <v>1472</v>
      </c>
      <c r="B279" s="277" t="s">
        <v>444</v>
      </c>
      <c r="D279" s="275">
        <v>45183</v>
      </c>
      <c r="E279" s="275">
        <v>46279</v>
      </c>
      <c r="H279" s="274" t="s">
        <v>258</v>
      </c>
      <c r="I279" s="276" t="s">
        <v>340</v>
      </c>
      <c r="M279" s="277" t="s">
        <v>1473</v>
      </c>
      <c r="N279" s="277" t="s">
        <v>1474</v>
      </c>
      <c r="O279" s="276" t="s">
        <v>1475</v>
      </c>
      <c r="Y279" s="276">
        <f t="shared" si="61"/>
        <v>0</v>
      </c>
      <c r="Z279" s="276" t="s">
        <v>325</v>
      </c>
      <c r="AA279" s="276">
        <v>2</v>
      </c>
      <c r="AB279" s="276">
        <v>3</v>
      </c>
      <c r="AI279" s="276">
        <f t="shared" si="73"/>
        <v>5</v>
      </c>
      <c r="AJ279">
        <f t="shared" si="62"/>
        <v>2</v>
      </c>
      <c r="AK279">
        <f t="shared" si="63"/>
        <v>3</v>
      </c>
      <c r="AL279">
        <f t="shared" si="64"/>
        <v>0</v>
      </c>
      <c r="AM279">
        <f t="shared" si="65"/>
        <v>0</v>
      </c>
      <c r="AN279">
        <f t="shared" si="66"/>
        <v>0</v>
      </c>
      <c r="AO279">
        <f t="shared" si="67"/>
        <v>0</v>
      </c>
      <c r="AP279">
        <f t="shared" si="68"/>
        <v>0</v>
      </c>
      <c r="AQ279">
        <f t="shared" si="69"/>
        <v>0</v>
      </c>
      <c r="AR279" s="276">
        <f t="shared" si="70"/>
        <v>5</v>
      </c>
      <c r="AT279" s="278"/>
      <c r="AV279" s="274">
        <v>2.5</v>
      </c>
      <c r="AW279" s="274">
        <v>2.5</v>
      </c>
      <c r="AY279" s="279"/>
      <c r="BD279" s="279"/>
      <c r="BK279" s="280">
        <f t="shared" si="71"/>
        <v>5</v>
      </c>
      <c r="BL279" s="274">
        <f t="shared" si="72"/>
        <v>5</v>
      </c>
      <c r="BP279" s="281">
        <v>518385</v>
      </c>
      <c r="BQ279" s="281">
        <v>174928</v>
      </c>
      <c r="BR279" s="296" t="s">
        <v>141</v>
      </c>
      <c r="BS279" t="s">
        <v>168</v>
      </c>
      <c r="BT279"/>
      <c r="BU279"/>
      <c r="BV279"/>
      <c r="BW279"/>
      <c r="BX279"/>
      <c r="BY279" t="s">
        <v>913</v>
      </c>
      <c r="BZ279" t="s">
        <v>325</v>
      </c>
      <c r="CA279" t="s">
        <v>325</v>
      </c>
      <c r="CB279" t="s">
        <v>191</v>
      </c>
    </row>
    <row r="280" spans="1:81" ht="15" customHeight="1" x14ac:dyDescent="0.25">
      <c r="A280" s="274" t="s">
        <v>1472</v>
      </c>
      <c r="B280" s="277" t="s">
        <v>444</v>
      </c>
      <c r="D280" s="275">
        <v>45183</v>
      </c>
      <c r="E280" s="275">
        <v>46279</v>
      </c>
      <c r="H280" s="274" t="s">
        <v>258</v>
      </c>
      <c r="I280" s="276" t="s">
        <v>337</v>
      </c>
      <c r="M280" s="277" t="s">
        <v>1473</v>
      </c>
      <c r="N280" s="277" t="s">
        <v>1474</v>
      </c>
      <c r="O280" s="276" t="s">
        <v>1475</v>
      </c>
      <c r="Y280" s="276">
        <f t="shared" si="61"/>
        <v>0</v>
      </c>
      <c r="Z280" s="276" t="s">
        <v>325</v>
      </c>
      <c r="AA280" s="276">
        <v>7</v>
      </c>
      <c r="AI280" s="276">
        <f t="shared" si="73"/>
        <v>7</v>
      </c>
      <c r="AJ280">
        <f t="shared" si="62"/>
        <v>7</v>
      </c>
      <c r="AK280">
        <f t="shared" si="63"/>
        <v>0</v>
      </c>
      <c r="AL280">
        <f t="shared" si="64"/>
        <v>0</v>
      </c>
      <c r="AM280">
        <f t="shared" si="65"/>
        <v>0</v>
      </c>
      <c r="AN280">
        <f t="shared" si="66"/>
        <v>0</v>
      </c>
      <c r="AO280">
        <f t="shared" si="67"/>
        <v>0</v>
      </c>
      <c r="AP280">
        <f t="shared" si="68"/>
        <v>0</v>
      </c>
      <c r="AQ280">
        <f t="shared" si="69"/>
        <v>0</v>
      </c>
      <c r="AR280" s="276">
        <f t="shared" si="70"/>
        <v>7</v>
      </c>
      <c r="AT280" s="278"/>
      <c r="AV280" s="274">
        <v>3.5</v>
      </c>
      <c r="AW280" s="274">
        <v>3.5</v>
      </c>
      <c r="AY280" s="279"/>
      <c r="BD280" s="279"/>
      <c r="BK280" s="280">
        <f t="shared" si="71"/>
        <v>7</v>
      </c>
      <c r="BL280" s="274">
        <f t="shared" si="72"/>
        <v>7</v>
      </c>
      <c r="BN280" s="276" t="s">
        <v>325</v>
      </c>
      <c r="BP280" s="281">
        <v>518385</v>
      </c>
      <c r="BQ280" s="281">
        <v>174928</v>
      </c>
      <c r="BR280" s="296" t="s">
        <v>141</v>
      </c>
      <c r="BS280" t="s">
        <v>168</v>
      </c>
      <c r="BT280"/>
      <c r="BU280"/>
      <c r="BV280"/>
      <c r="BW280"/>
      <c r="BX280"/>
      <c r="BY280" t="s">
        <v>913</v>
      </c>
      <c r="BZ280" t="s">
        <v>325</v>
      </c>
      <c r="CA280" t="s">
        <v>325</v>
      </c>
      <c r="CB280" t="s">
        <v>191</v>
      </c>
    </row>
    <row r="281" spans="1:81" ht="15" customHeight="1" x14ac:dyDescent="0.25">
      <c r="A281" s="274" t="s">
        <v>1476</v>
      </c>
      <c r="B281" s="277" t="s">
        <v>481</v>
      </c>
      <c r="D281" s="275">
        <v>44914</v>
      </c>
      <c r="E281" s="275">
        <v>46010</v>
      </c>
      <c r="H281" s="274" t="s">
        <v>258</v>
      </c>
      <c r="I281" s="238" t="s">
        <v>303</v>
      </c>
      <c r="M281" s="277" t="s">
        <v>1477</v>
      </c>
      <c r="N281" s="277" t="s">
        <v>1478</v>
      </c>
      <c r="O281" s="276" t="s">
        <v>666</v>
      </c>
      <c r="R281" s="276">
        <v>1</v>
      </c>
      <c r="Y281" s="276">
        <f t="shared" si="61"/>
        <v>1</v>
      </c>
      <c r="AA281" s="276">
        <v>1</v>
      </c>
      <c r="AB281" s="276">
        <v>1</v>
      </c>
      <c r="AI281" s="276">
        <f t="shared" si="73"/>
        <v>2</v>
      </c>
      <c r="AJ281">
        <f t="shared" si="62"/>
        <v>1</v>
      </c>
      <c r="AK281">
        <f t="shared" si="63"/>
        <v>0</v>
      </c>
      <c r="AL281">
        <f t="shared" si="64"/>
        <v>0</v>
      </c>
      <c r="AM281">
        <f t="shared" si="65"/>
        <v>0</v>
      </c>
      <c r="AN281">
        <f t="shared" si="66"/>
        <v>0</v>
      </c>
      <c r="AO281">
        <f t="shared" si="67"/>
        <v>0</v>
      </c>
      <c r="AP281">
        <f t="shared" si="68"/>
        <v>0</v>
      </c>
      <c r="AQ281">
        <f t="shared" si="69"/>
        <v>0</v>
      </c>
      <c r="AR281" s="276">
        <f t="shared" si="70"/>
        <v>1</v>
      </c>
      <c r="AT281" s="278"/>
      <c r="AU281" s="274">
        <v>0.25</v>
      </c>
      <c r="AV281" s="274">
        <v>0.25</v>
      </c>
      <c r="AW281" s="274">
        <v>0.25</v>
      </c>
      <c r="AX281" s="274">
        <v>0.25</v>
      </c>
      <c r="AY281" s="279"/>
      <c r="BD281" s="279"/>
      <c r="BK281" s="280">
        <f t="shared" si="71"/>
        <v>1</v>
      </c>
      <c r="BL281" s="274">
        <f t="shared" si="72"/>
        <v>1</v>
      </c>
      <c r="BP281" s="281">
        <v>520360</v>
      </c>
      <c r="BQ281" s="281">
        <v>175325</v>
      </c>
      <c r="BR281" s="296" t="s">
        <v>181</v>
      </c>
      <c r="BS281" t="s">
        <v>140</v>
      </c>
      <c r="BT281" t="s">
        <v>140</v>
      </c>
      <c r="BU281"/>
      <c r="BV281"/>
      <c r="BW281"/>
      <c r="BX281"/>
      <c r="BY281"/>
      <c r="BZ281"/>
      <c r="CA281" t="s">
        <v>325</v>
      </c>
      <c r="CB281" t="s">
        <v>190</v>
      </c>
    </row>
    <row r="282" spans="1:81" ht="15" customHeight="1" x14ac:dyDescent="0.25">
      <c r="A282" s="274" t="s">
        <v>1479</v>
      </c>
      <c r="B282" s="274" t="s">
        <v>459</v>
      </c>
      <c r="C282" s="274"/>
      <c r="D282" s="275">
        <v>45040</v>
      </c>
      <c r="E282" s="275">
        <v>46136</v>
      </c>
      <c r="H282" s="237" t="s">
        <v>258</v>
      </c>
      <c r="I282" s="238" t="s">
        <v>303</v>
      </c>
      <c r="M282" s="277" t="s">
        <v>1480</v>
      </c>
      <c r="N282" s="277" t="s">
        <v>1481</v>
      </c>
      <c r="O282" s="276" t="s">
        <v>1482</v>
      </c>
      <c r="Y282" s="276">
        <f t="shared" si="61"/>
        <v>0</v>
      </c>
      <c r="AG282" s="276">
        <v>1</v>
      </c>
      <c r="AI282" s="276">
        <f t="shared" si="73"/>
        <v>1</v>
      </c>
      <c r="AJ282">
        <f t="shared" si="62"/>
        <v>0</v>
      </c>
      <c r="AK282">
        <f t="shared" si="63"/>
        <v>0</v>
      </c>
      <c r="AL282">
        <f t="shared" si="64"/>
        <v>0</v>
      </c>
      <c r="AM282">
        <f t="shared" si="65"/>
        <v>0</v>
      </c>
      <c r="AN282">
        <f t="shared" si="66"/>
        <v>0</v>
      </c>
      <c r="AO282">
        <f t="shared" si="67"/>
        <v>0</v>
      </c>
      <c r="AP282">
        <f t="shared" si="68"/>
        <v>1</v>
      </c>
      <c r="AQ282">
        <f t="shared" si="69"/>
        <v>0</v>
      </c>
      <c r="AR282" s="276">
        <f t="shared" si="70"/>
        <v>1</v>
      </c>
      <c r="AT282" s="278"/>
      <c r="AU282" s="274">
        <v>0.25</v>
      </c>
      <c r="AV282" s="274">
        <v>0.25</v>
      </c>
      <c r="AW282" s="274">
        <v>0.25</v>
      </c>
      <c r="AX282" s="274">
        <v>0.25</v>
      </c>
      <c r="AY282" s="279"/>
      <c r="BD282" s="279"/>
      <c r="BK282" s="280">
        <f t="shared" si="71"/>
        <v>1</v>
      </c>
      <c r="BL282" s="274">
        <f t="shared" si="72"/>
        <v>1</v>
      </c>
      <c r="BP282" s="281">
        <v>518610</v>
      </c>
      <c r="BQ282" s="281">
        <v>174158</v>
      </c>
      <c r="BR282" s="296" t="s">
        <v>141</v>
      </c>
      <c r="BS282" t="s">
        <v>168</v>
      </c>
      <c r="BT282"/>
      <c r="BU282"/>
      <c r="BV282"/>
      <c r="BW282"/>
      <c r="BX282"/>
      <c r="BY282" t="s">
        <v>913</v>
      </c>
      <c r="BZ282" t="s">
        <v>325</v>
      </c>
      <c r="CA282" t="s">
        <v>325</v>
      </c>
      <c r="CB282" t="s">
        <v>191</v>
      </c>
    </row>
    <row r="283" spans="1:81" ht="15" customHeight="1" x14ac:dyDescent="0.25">
      <c r="A283" s="274" t="s">
        <v>1483</v>
      </c>
      <c r="B283" s="277" t="s">
        <v>444</v>
      </c>
      <c r="D283" s="275">
        <v>45041</v>
      </c>
      <c r="E283" s="275">
        <v>46137</v>
      </c>
      <c r="H283" s="274" t="s">
        <v>258</v>
      </c>
      <c r="I283" s="238" t="s">
        <v>303</v>
      </c>
      <c r="M283" s="277" t="s">
        <v>1484</v>
      </c>
      <c r="N283" s="277" t="s">
        <v>1485</v>
      </c>
      <c r="O283" s="276" t="s">
        <v>1486</v>
      </c>
      <c r="Y283" s="276">
        <f t="shared" ref="Y283:Y305" si="74">SUM(Q283:X283)</f>
        <v>0</v>
      </c>
      <c r="AC283" s="276">
        <v>1</v>
      </c>
      <c r="AI283" s="276">
        <f t="shared" si="73"/>
        <v>1</v>
      </c>
      <c r="AJ283">
        <f t="shared" si="62"/>
        <v>0</v>
      </c>
      <c r="AK283">
        <f t="shared" si="63"/>
        <v>0</v>
      </c>
      <c r="AL283">
        <f t="shared" si="64"/>
        <v>1</v>
      </c>
      <c r="AM283">
        <f t="shared" si="65"/>
        <v>0</v>
      </c>
      <c r="AN283">
        <f t="shared" si="66"/>
        <v>0</v>
      </c>
      <c r="AO283">
        <f t="shared" si="67"/>
        <v>0</v>
      </c>
      <c r="AP283">
        <f t="shared" si="68"/>
        <v>0</v>
      </c>
      <c r="AQ283">
        <f t="shared" si="69"/>
        <v>0</v>
      </c>
      <c r="AR283" s="276">
        <f t="shared" si="70"/>
        <v>1</v>
      </c>
      <c r="AT283" s="278"/>
      <c r="AU283" s="274">
        <v>0.25</v>
      </c>
      <c r="AV283" s="274">
        <v>0.25</v>
      </c>
      <c r="AW283" s="274">
        <v>0.25</v>
      </c>
      <c r="AX283" s="274">
        <v>0.25</v>
      </c>
      <c r="AY283" s="279"/>
      <c r="BD283" s="279"/>
      <c r="BK283" s="280">
        <f t="shared" si="71"/>
        <v>1</v>
      </c>
      <c r="BL283" s="274">
        <f t="shared" si="72"/>
        <v>1</v>
      </c>
      <c r="BP283" s="281">
        <v>519594</v>
      </c>
      <c r="BQ283" s="281">
        <v>176510</v>
      </c>
      <c r="BR283" s="296" t="s">
        <v>141</v>
      </c>
      <c r="BS283" t="s">
        <v>165</v>
      </c>
      <c r="BT283"/>
      <c r="BU283"/>
      <c r="BV283"/>
      <c r="BW283"/>
      <c r="BX283"/>
      <c r="BY283"/>
      <c r="BZ283"/>
      <c r="CA283" t="s">
        <v>325</v>
      </c>
      <c r="CB283" t="s">
        <v>165</v>
      </c>
    </row>
    <row r="284" spans="1:81" ht="15" customHeight="1" x14ac:dyDescent="0.25">
      <c r="A284" s="274" t="s">
        <v>1487</v>
      </c>
      <c r="B284" s="277" t="s">
        <v>459</v>
      </c>
      <c r="C284" s="274" t="s">
        <v>293</v>
      </c>
      <c r="D284" s="275">
        <v>44910</v>
      </c>
      <c r="E284" s="275">
        <v>46006</v>
      </c>
      <c r="H284" s="274" t="s">
        <v>258</v>
      </c>
      <c r="I284" s="238" t="s">
        <v>303</v>
      </c>
      <c r="M284" s="277" t="s">
        <v>1488</v>
      </c>
      <c r="N284" s="277" t="s">
        <v>1489</v>
      </c>
      <c r="O284" s="276" t="s">
        <v>1490</v>
      </c>
      <c r="Y284" s="276">
        <f t="shared" si="74"/>
        <v>0</v>
      </c>
      <c r="AA284" s="276">
        <v>1</v>
      </c>
      <c r="AI284" s="276">
        <f t="shared" si="73"/>
        <v>1</v>
      </c>
      <c r="AJ284">
        <f t="shared" si="62"/>
        <v>1</v>
      </c>
      <c r="AK284">
        <f t="shared" si="63"/>
        <v>0</v>
      </c>
      <c r="AL284">
        <f t="shared" si="64"/>
        <v>0</v>
      </c>
      <c r="AM284">
        <f t="shared" si="65"/>
        <v>0</v>
      </c>
      <c r="AN284">
        <f t="shared" si="66"/>
        <v>0</v>
      </c>
      <c r="AO284">
        <f t="shared" si="67"/>
        <v>0</v>
      </c>
      <c r="AP284">
        <f t="shared" si="68"/>
        <v>0</v>
      </c>
      <c r="AQ284">
        <f t="shared" si="69"/>
        <v>0</v>
      </c>
      <c r="AR284" s="276">
        <f t="shared" si="70"/>
        <v>1</v>
      </c>
      <c r="AT284" s="278"/>
      <c r="AV284" s="274">
        <v>1</v>
      </c>
      <c r="AY284" s="279"/>
      <c r="BD284" s="279"/>
      <c r="BK284" s="280">
        <f t="shared" si="71"/>
        <v>1</v>
      </c>
      <c r="BL284" s="274">
        <f t="shared" si="72"/>
        <v>1</v>
      </c>
      <c r="BP284" s="281">
        <v>513402</v>
      </c>
      <c r="BQ284" s="281">
        <v>169963</v>
      </c>
      <c r="BR284" s="296" t="s">
        <v>183</v>
      </c>
      <c r="BS284" t="s">
        <v>161</v>
      </c>
      <c r="BT284"/>
      <c r="BU284"/>
      <c r="BV284"/>
      <c r="BW284"/>
      <c r="BX284"/>
      <c r="BY284"/>
      <c r="BZ284"/>
      <c r="CA284" t="s">
        <v>325</v>
      </c>
      <c r="CB284" t="s">
        <v>189</v>
      </c>
    </row>
    <row r="285" spans="1:81" ht="15" customHeight="1" x14ac:dyDescent="0.25">
      <c r="A285" s="282" t="s">
        <v>1491</v>
      </c>
      <c r="B285" s="282" t="s">
        <v>481</v>
      </c>
      <c r="C285" s="282"/>
      <c r="D285" s="243">
        <v>45348</v>
      </c>
      <c r="E285" s="243">
        <v>46444</v>
      </c>
      <c r="F285" s="287"/>
      <c r="G285" s="287"/>
      <c r="H285" s="274" t="s">
        <v>258</v>
      </c>
      <c r="I285" s="238" t="s">
        <v>303</v>
      </c>
      <c r="J285" s="242"/>
      <c r="K285" s="242"/>
      <c r="L285" s="242"/>
      <c r="M285" s="242" t="s">
        <v>1492</v>
      </c>
      <c r="N285" s="242" t="s">
        <v>1493</v>
      </c>
      <c r="O285" s="282" t="s">
        <v>1494</v>
      </c>
      <c r="P285" s="282"/>
      <c r="Q285" s="242"/>
      <c r="R285" s="242"/>
      <c r="S285" s="242"/>
      <c r="T285" s="242"/>
      <c r="U285" s="242"/>
      <c r="V285" s="242"/>
      <c r="W285" s="242"/>
      <c r="X285" s="242"/>
      <c r="Y285" s="276">
        <f t="shared" si="74"/>
        <v>0</v>
      </c>
      <c r="Z285" s="282"/>
      <c r="AA285" s="242"/>
      <c r="AB285" s="283">
        <v>1</v>
      </c>
      <c r="AC285" s="242"/>
      <c r="AD285" s="242"/>
      <c r="AE285" s="242"/>
      <c r="AF285" s="242"/>
      <c r="AG285" s="242"/>
      <c r="AH285" s="242"/>
      <c r="AI285" s="276">
        <f t="shared" si="73"/>
        <v>1</v>
      </c>
      <c r="AJ285">
        <f t="shared" si="62"/>
        <v>0</v>
      </c>
      <c r="AK285">
        <f t="shared" si="63"/>
        <v>1</v>
      </c>
      <c r="AL285">
        <f t="shared" si="64"/>
        <v>0</v>
      </c>
      <c r="AM285">
        <f t="shared" si="65"/>
        <v>0</v>
      </c>
      <c r="AN285">
        <f t="shared" si="66"/>
        <v>0</v>
      </c>
      <c r="AO285">
        <f t="shared" si="67"/>
        <v>0</v>
      </c>
      <c r="AP285">
        <f t="shared" si="68"/>
        <v>0</v>
      </c>
      <c r="AQ285">
        <f t="shared" si="69"/>
        <v>0</v>
      </c>
      <c r="AR285" s="276">
        <f t="shared" si="70"/>
        <v>1</v>
      </c>
      <c r="AT285" s="278"/>
      <c r="AU285" s="274">
        <v>0.25</v>
      </c>
      <c r="AV285" s="274">
        <v>0.25</v>
      </c>
      <c r="AW285" s="274">
        <v>0.25</v>
      </c>
      <c r="AX285" s="274">
        <v>0.25</v>
      </c>
      <c r="AY285" s="279"/>
      <c r="BD285" s="279"/>
      <c r="BK285" s="280">
        <f t="shared" si="71"/>
        <v>1</v>
      </c>
      <c r="BL285" s="274">
        <f t="shared" si="72"/>
        <v>1</v>
      </c>
      <c r="BM285" s="282"/>
      <c r="BN285" s="282"/>
      <c r="BO285" s="294"/>
      <c r="BP285" s="284">
        <v>522407</v>
      </c>
      <c r="BQ285" s="284">
        <v>175478</v>
      </c>
      <c r="BR285" s="296" t="s">
        <v>181</v>
      </c>
      <c r="BS285" t="s">
        <v>166</v>
      </c>
      <c r="BT285"/>
      <c r="BU285"/>
      <c r="BV285"/>
      <c r="BW285"/>
      <c r="BX285"/>
      <c r="BY285" t="s">
        <v>636</v>
      </c>
      <c r="BZ285" t="s">
        <v>325</v>
      </c>
      <c r="CA285" t="s">
        <v>325</v>
      </c>
      <c r="CB285" t="s">
        <v>158</v>
      </c>
      <c r="CC285" s="282"/>
    </row>
    <row r="286" spans="1:81" ht="15" customHeight="1" x14ac:dyDescent="0.25">
      <c r="A286" s="274" t="s">
        <v>1495</v>
      </c>
      <c r="B286" s="277" t="s">
        <v>542</v>
      </c>
      <c r="D286" s="275">
        <v>45237</v>
      </c>
      <c r="E286" s="275">
        <v>46333</v>
      </c>
      <c r="H286" s="274" t="s">
        <v>258</v>
      </c>
      <c r="I286" s="238" t="s">
        <v>303</v>
      </c>
      <c r="M286" s="277" t="s">
        <v>1496</v>
      </c>
      <c r="N286" s="277" t="s">
        <v>1497</v>
      </c>
      <c r="O286" s="276" t="s">
        <v>666</v>
      </c>
      <c r="T286" s="276">
        <v>1</v>
      </c>
      <c r="Y286" s="276">
        <f t="shared" si="74"/>
        <v>1</v>
      </c>
      <c r="AA286" s="276">
        <v>3</v>
      </c>
      <c r="AI286" s="276">
        <f t="shared" si="73"/>
        <v>3</v>
      </c>
      <c r="AJ286">
        <f t="shared" si="62"/>
        <v>3</v>
      </c>
      <c r="AK286">
        <f t="shared" si="63"/>
        <v>0</v>
      </c>
      <c r="AL286">
        <f t="shared" si="64"/>
        <v>0</v>
      </c>
      <c r="AM286">
        <f t="shared" si="65"/>
        <v>-1</v>
      </c>
      <c r="AN286">
        <f t="shared" si="66"/>
        <v>0</v>
      </c>
      <c r="AO286">
        <f t="shared" si="67"/>
        <v>0</v>
      </c>
      <c r="AP286">
        <f t="shared" si="68"/>
        <v>0</v>
      </c>
      <c r="AQ286">
        <f t="shared" si="69"/>
        <v>0</v>
      </c>
      <c r="AR286" s="276">
        <f t="shared" si="70"/>
        <v>2</v>
      </c>
      <c r="AT286" s="278"/>
      <c r="AU286" s="274">
        <v>0.5</v>
      </c>
      <c r="AV286" s="274">
        <v>0.5</v>
      </c>
      <c r="AW286" s="274">
        <v>0.5</v>
      </c>
      <c r="AX286" s="274">
        <v>0.5</v>
      </c>
      <c r="AY286" s="279"/>
      <c r="BD286" s="279"/>
      <c r="BK286" s="280">
        <f t="shared" si="71"/>
        <v>2</v>
      </c>
      <c r="BL286" s="274">
        <f t="shared" si="72"/>
        <v>2</v>
      </c>
      <c r="BP286" s="281">
        <v>520370</v>
      </c>
      <c r="BQ286" s="281">
        <v>175330</v>
      </c>
      <c r="BR286" s="296" t="s">
        <v>181</v>
      </c>
      <c r="BS286" t="s">
        <v>140</v>
      </c>
      <c r="BT286" t="s">
        <v>140</v>
      </c>
      <c r="BU286"/>
      <c r="BV286"/>
      <c r="BW286"/>
      <c r="BX286"/>
      <c r="BY286"/>
      <c r="BZ286"/>
      <c r="CA286" t="s">
        <v>325</v>
      </c>
      <c r="CB286" t="s">
        <v>190</v>
      </c>
    </row>
    <row r="287" spans="1:81" ht="15" customHeight="1" x14ac:dyDescent="0.25">
      <c r="A287" s="282" t="s">
        <v>1498</v>
      </c>
      <c r="B287" s="282" t="s">
        <v>532</v>
      </c>
      <c r="C287" s="282"/>
      <c r="D287" s="243">
        <v>45324</v>
      </c>
      <c r="E287" s="243">
        <v>46420</v>
      </c>
      <c r="F287" s="287"/>
      <c r="G287" s="287"/>
      <c r="H287" s="274" t="s">
        <v>258</v>
      </c>
      <c r="I287" s="238" t="s">
        <v>303</v>
      </c>
      <c r="J287" s="242"/>
      <c r="K287" s="242"/>
      <c r="L287" s="242"/>
      <c r="M287" s="242" t="s">
        <v>1499</v>
      </c>
      <c r="N287" s="242" t="s">
        <v>1500</v>
      </c>
      <c r="O287" s="282" t="s">
        <v>1501</v>
      </c>
      <c r="P287" s="282"/>
      <c r="Q287" s="242"/>
      <c r="R287" s="242"/>
      <c r="S287" s="242"/>
      <c r="T287" s="283">
        <v>1</v>
      </c>
      <c r="U287" s="242"/>
      <c r="V287" s="242"/>
      <c r="W287" s="242"/>
      <c r="X287" s="242"/>
      <c r="Y287" s="276">
        <f t="shared" si="74"/>
        <v>1</v>
      </c>
      <c r="Z287" s="282"/>
      <c r="AA287" s="283">
        <v>1</v>
      </c>
      <c r="AB287" s="242"/>
      <c r="AC287" s="283">
        <v>1</v>
      </c>
      <c r="AD287" s="242"/>
      <c r="AE287" s="242"/>
      <c r="AF287" s="242"/>
      <c r="AG287" s="242"/>
      <c r="AH287" s="242"/>
      <c r="AI287" s="276">
        <f t="shared" si="73"/>
        <v>2</v>
      </c>
      <c r="AJ287">
        <f t="shared" si="62"/>
        <v>1</v>
      </c>
      <c r="AK287">
        <f t="shared" si="63"/>
        <v>0</v>
      </c>
      <c r="AL287">
        <f t="shared" si="64"/>
        <v>1</v>
      </c>
      <c r="AM287">
        <f t="shared" si="65"/>
        <v>-1</v>
      </c>
      <c r="AN287">
        <f t="shared" si="66"/>
        <v>0</v>
      </c>
      <c r="AO287">
        <f t="shared" si="67"/>
        <v>0</v>
      </c>
      <c r="AP287">
        <f t="shared" si="68"/>
        <v>0</v>
      </c>
      <c r="AQ287">
        <f t="shared" si="69"/>
        <v>0</v>
      </c>
      <c r="AR287" s="276">
        <f t="shared" si="70"/>
        <v>1</v>
      </c>
      <c r="AT287" s="278"/>
      <c r="AU287" s="274">
        <v>0.25</v>
      </c>
      <c r="AV287" s="274">
        <v>0.25</v>
      </c>
      <c r="AW287" s="274">
        <v>0.25</v>
      </c>
      <c r="AX287" s="274">
        <v>0.25</v>
      </c>
      <c r="AY287" s="279"/>
      <c r="BD287" s="279"/>
      <c r="BK287" s="280">
        <f t="shared" si="71"/>
        <v>1</v>
      </c>
      <c r="BL287" s="274">
        <f t="shared" si="72"/>
        <v>1</v>
      </c>
      <c r="BM287" s="282"/>
      <c r="BN287" s="282"/>
      <c r="BO287" s="294"/>
      <c r="BP287" s="284">
        <v>516676</v>
      </c>
      <c r="BQ287" s="284">
        <v>173608</v>
      </c>
      <c r="BR287" s="296" t="s">
        <v>145</v>
      </c>
      <c r="BS287" t="s">
        <v>171</v>
      </c>
      <c r="BT287"/>
      <c r="BU287"/>
      <c r="BV287"/>
      <c r="BW287"/>
      <c r="BX287"/>
      <c r="BY287" t="s">
        <v>679</v>
      </c>
      <c r="BZ287" t="s">
        <v>325</v>
      </c>
      <c r="CA287" t="s">
        <v>325</v>
      </c>
      <c r="CB287" t="s">
        <v>193</v>
      </c>
      <c r="CC287" s="282"/>
    </row>
    <row r="288" spans="1:81" ht="15" customHeight="1" x14ac:dyDescent="0.25">
      <c r="A288" s="274" t="s">
        <v>1502</v>
      </c>
      <c r="B288" s="277" t="s">
        <v>444</v>
      </c>
      <c r="D288" s="275">
        <v>45091</v>
      </c>
      <c r="E288" s="275">
        <v>46187</v>
      </c>
      <c r="H288" s="274" t="s">
        <v>258</v>
      </c>
      <c r="I288" s="238" t="s">
        <v>303</v>
      </c>
      <c r="M288" s="277" t="s">
        <v>1503</v>
      </c>
      <c r="N288" s="277" t="s">
        <v>1504</v>
      </c>
      <c r="O288" s="276" t="s">
        <v>971</v>
      </c>
      <c r="S288" s="276">
        <v>1</v>
      </c>
      <c r="Y288" s="276">
        <f t="shared" si="74"/>
        <v>1</v>
      </c>
      <c r="AE288" s="276">
        <v>1</v>
      </c>
      <c r="AI288" s="276">
        <f t="shared" si="73"/>
        <v>1</v>
      </c>
      <c r="AJ288">
        <f t="shared" si="62"/>
        <v>0</v>
      </c>
      <c r="AK288">
        <f t="shared" si="63"/>
        <v>0</v>
      </c>
      <c r="AL288">
        <f t="shared" si="64"/>
        <v>-1</v>
      </c>
      <c r="AM288">
        <f t="shared" si="65"/>
        <v>0</v>
      </c>
      <c r="AN288">
        <f t="shared" si="66"/>
        <v>1</v>
      </c>
      <c r="AO288">
        <f t="shared" si="67"/>
        <v>0</v>
      </c>
      <c r="AP288">
        <f t="shared" si="68"/>
        <v>0</v>
      </c>
      <c r="AQ288">
        <f t="shared" si="69"/>
        <v>0</v>
      </c>
      <c r="AR288" s="276">
        <f t="shared" si="70"/>
        <v>0</v>
      </c>
      <c r="AT288" s="278"/>
      <c r="AU288" s="274">
        <v>0</v>
      </c>
      <c r="AY288" s="279"/>
      <c r="BD288" s="279"/>
      <c r="BK288" s="280">
        <f t="shared" si="71"/>
        <v>0</v>
      </c>
      <c r="BL288" s="274">
        <f t="shared" si="72"/>
        <v>0</v>
      </c>
      <c r="BP288" s="281">
        <v>513713</v>
      </c>
      <c r="BQ288" s="281">
        <v>169858</v>
      </c>
      <c r="BR288" s="296" t="s">
        <v>183</v>
      </c>
      <c r="BS288" t="s">
        <v>161</v>
      </c>
      <c r="BT288"/>
      <c r="BU288"/>
      <c r="BV288"/>
      <c r="BW288"/>
      <c r="BX288"/>
      <c r="BY288"/>
      <c r="BZ288"/>
      <c r="CA288" t="s">
        <v>325</v>
      </c>
      <c r="CB288" t="s">
        <v>189</v>
      </c>
    </row>
    <row r="289" spans="1:81" ht="15" customHeight="1" x14ac:dyDescent="0.25">
      <c r="A289" s="282" t="s">
        <v>1505</v>
      </c>
      <c r="B289" s="282" t="s">
        <v>444</v>
      </c>
      <c r="C289" s="282"/>
      <c r="D289" s="243">
        <v>45323</v>
      </c>
      <c r="E289" s="243">
        <v>46419</v>
      </c>
      <c r="F289" s="287"/>
      <c r="G289" s="287"/>
      <c r="H289" s="274" t="s">
        <v>258</v>
      </c>
      <c r="I289" s="276" t="s">
        <v>337</v>
      </c>
      <c r="M289" s="242" t="s">
        <v>1506</v>
      </c>
      <c r="N289" s="242" t="s">
        <v>1507</v>
      </c>
      <c r="O289" s="282" t="s">
        <v>1508</v>
      </c>
      <c r="P289" s="282"/>
      <c r="Q289" s="242"/>
      <c r="R289" s="242"/>
      <c r="S289" s="242"/>
      <c r="T289" s="242"/>
      <c r="U289" s="242"/>
      <c r="V289" s="242"/>
      <c r="W289" s="242"/>
      <c r="X289" s="242"/>
      <c r="Y289" s="276">
        <f t="shared" si="74"/>
        <v>0</v>
      </c>
      <c r="Z289" s="282" t="s">
        <v>325</v>
      </c>
      <c r="AA289" s="242"/>
      <c r="AB289" s="242"/>
      <c r="AC289" s="283">
        <v>4</v>
      </c>
      <c r="AD289" s="283">
        <v>3</v>
      </c>
      <c r="AE289" s="242"/>
      <c r="AF289" s="242"/>
      <c r="AG289" s="242"/>
      <c r="AH289" s="242"/>
      <c r="AI289" s="276">
        <f t="shared" si="73"/>
        <v>7</v>
      </c>
      <c r="AJ289">
        <f t="shared" si="62"/>
        <v>0</v>
      </c>
      <c r="AK289">
        <f t="shared" si="63"/>
        <v>0</v>
      </c>
      <c r="AL289">
        <f t="shared" si="64"/>
        <v>4</v>
      </c>
      <c r="AM289">
        <f t="shared" si="65"/>
        <v>3</v>
      </c>
      <c r="AN289">
        <f t="shared" si="66"/>
        <v>0</v>
      </c>
      <c r="AO289">
        <f t="shared" si="67"/>
        <v>0</v>
      </c>
      <c r="AP289">
        <f t="shared" si="68"/>
        <v>0</v>
      </c>
      <c r="AQ289">
        <f t="shared" si="69"/>
        <v>0</v>
      </c>
      <c r="AR289" s="276">
        <f t="shared" si="70"/>
        <v>7</v>
      </c>
      <c r="AT289" s="278"/>
      <c r="AV289" s="274">
        <v>7</v>
      </c>
      <c r="AY289" s="279"/>
      <c r="BD289" s="279"/>
      <c r="BK289" s="280">
        <f t="shared" si="71"/>
        <v>7</v>
      </c>
      <c r="BL289" s="274">
        <f t="shared" si="72"/>
        <v>7</v>
      </c>
      <c r="BM289" s="282"/>
      <c r="BN289" s="282"/>
      <c r="BO289" s="294"/>
      <c r="BP289" s="284">
        <v>515032</v>
      </c>
      <c r="BQ289" s="284">
        <v>173280</v>
      </c>
      <c r="BR289" s="296" t="s">
        <v>145</v>
      </c>
      <c r="BS289" t="s">
        <v>169</v>
      </c>
      <c r="BT289"/>
      <c r="BU289"/>
      <c r="BV289"/>
      <c r="BW289"/>
      <c r="BX289"/>
      <c r="BY289"/>
      <c r="BZ289"/>
      <c r="CA289" t="s">
        <v>325</v>
      </c>
      <c r="CB289" t="s">
        <v>193</v>
      </c>
      <c r="CC289" s="282"/>
    </row>
    <row r="290" spans="1:81" ht="15" customHeight="1" x14ac:dyDescent="0.25">
      <c r="A290" s="274" t="s">
        <v>1509</v>
      </c>
      <c r="B290" s="277" t="s">
        <v>444</v>
      </c>
      <c r="D290" s="275">
        <v>45153</v>
      </c>
      <c r="E290" s="275">
        <v>46249</v>
      </c>
      <c r="H290" s="274" t="s">
        <v>258</v>
      </c>
      <c r="I290" s="238" t="s">
        <v>303</v>
      </c>
      <c r="M290" s="277" t="s">
        <v>1510</v>
      </c>
      <c r="N290" s="277" t="s">
        <v>1511</v>
      </c>
      <c r="O290" s="276" t="s">
        <v>1512</v>
      </c>
      <c r="Y290" s="276">
        <f t="shared" si="74"/>
        <v>0</v>
      </c>
      <c r="AC290" s="276">
        <v>3</v>
      </c>
      <c r="AI290" s="276">
        <f t="shared" si="73"/>
        <v>3</v>
      </c>
      <c r="AJ290">
        <f t="shared" si="62"/>
        <v>0</v>
      </c>
      <c r="AK290">
        <f t="shared" si="63"/>
        <v>0</v>
      </c>
      <c r="AL290">
        <f t="shared" si="64"/>
        <v>3</v>
      </c>
      <c r="AM290">
        <f t="shared" si="65"/>
        <v>0</v>
      </c>
      <c r="AN290">
        <f t="shared" si="66"/>
        <v>0</v>
      </c>
      <c r="AO290">
        <f t="shared" si="67"/>
        <v>0</v>
      </c>
      <c r="AP290">
        <f t="shared" si="68"/>
        <v>0</v>
      </c>
      <c r="AQ290">
        <f t="shared" si="69"/>
        <v>0</v>
      </c>
      <c r="AR290" s="276">
        <f t="shared" si="70"/>
        <v>3</v>
      </c>
      <c r="AT290" s="278"/>
      <c r="AU290" s="274">
        <v>0.75</v>
      </c>
      <c r="AV290" s="274">
        <v>0.75</v>
      </c>
      <c r="AW290" s="274">
        <v>0.75</v>
      </c>
      <c r="AX290" s="274">
        <v>0.75</v>
      </c>
      <c r="AY290" s="279"/>
      <c r="BD290" s="279"/>
      <c r="BK290" s="280">
        <f t="shared" si="71"/>
        <v>3</v>
      </c>
      <c r="BL290" s="274">
        <f t="shared" si="72"/>
        <v>3</v>
      </c>
      <c r="BP290" s="281">
        <v>515674</v>
      </c>
      <c r="BQ290" s="281">
        <v>171025</v>
      </c>
      <c r="BR290" s="296" t="s">
        <v>183</v>
      </c>
      <c r="BS290" t="s">
        <v>143</v>
      </c>
      <c r="BT290" t="s">
        <v>143</v>
      </c>
      <c r="BU290"/>
      <c r="BV290"/>
      <c r="BW290"/>
      <c r="BX290"/>
      <c r="BY290"/>
      <c r="BZ290"/>
      <c r="CA290" t="s">
        <v>325</v>
      </c>
      <c r="CB290" t="s">
        <v>192</v>
      </c>
    </row>
    <row r="291" spans="1:81" ht="15" customHeight="1" x14ac:dyDescent="0.25">
      <c r="A291" s="274" t="s">
        <v>1513</v>
      </c>
      <c r="B291" s="277" t="s">
        <v>459</v>
      </c>
      <c r="D291" s="275">
        <v>45111</v>
      </c>
      <c r="E291" s="275">
        <v>46207</v>
      </c>
      <c r="H291" s="274" t="s">
        <v>258</v>
      </c>
      <c r="I291" s="238" t="s">
        <v>303</v>
      </c>
      <c r="M291" s="277" t="s">
        <v>1514</v>
      </c>
      <c r="N291" s="277" t="s">
        <v>1515</v>
      </c>
      <c r="O291" s="276" t="s">
        <v>1516</v>
      </c>
      <c r="Q291" s="276">
        <v>1</v>
      </c>
      <c r="Y291" s="276">
        <f t="shared" si="74"/>
        <v>1</v>
      </c>
      <c r="AI291" s="276">
        <f t="shared" si="73"/>
        <v>0</v>
      </c>
      <c r="AJ291">
        <f t="shared" si="62"/>
        <v>-1</v>
      </c>
      <c r="AK291">
        <f t="shared" si="63"/>
        <v>0</v>
      </c>
      <c r="AL291">
        <f t="shared" si="64"/>
        <v>0</v>
      </c>
      <c r="AM291">
        <f t="shared" si="65"/>
        <v>0</v>
      </c>
      <c r="AN291">
        <f t="shared" si="66"/>
        <v>0</v>
      </c>
      <c r="AO291">
        <f t="shared" si="67"/>
        <v>0</v>
      </c>
      <c r="AP291">
        <f t="shared" si="68"/>
        <v>0</v>
      </c>
      <c r="AQ291">
        <f t="shared" si="69"/>
        <v>0</v>
      </c>
      <c r="AR291" s="276">
        <f t="shared" si="70"/>
        <v>-1</v>
      </c>
      <c r="AT291" s="278"/>
      <c r="AU291" s="274">
        <v>-0.25</v>
      </c>
      <c r="AV291" s="274">
        <v>-0.25</v>
      </c>
      <c r="AW291" s="274">
        <v>-0.25</v>
      </c>
      <c r="AX291" s="274">
        <v>-0.25</v>
      </c>
      <c r="AY291" s="279"/>
      <c r="BD291" s="279"/>
      <c r="BK291" s="280">
        <f t="shared" si="71"/>
        <v>-1</v>
      </c>
      <c r="BL291" s="274">
        <f t="shared" si="72"/>
        <v>-1</v>
      </c>
      <c r="BP291" s="281">
        <v>519234</v>
      </c>
      <c r="BQ291" s="281">
        <v>177167</v>
      </c>
      <c r="BR291" s="296" t="s">
        <v>141</v>
      </c>
      <c r="BS291" t="s">
        <v>165</v>
      </c>
      <c r="BT291"/>
      <c r="BU291"/>
      <c r="BV291"/>
      <c r="BW291"/>
      <c r="BX291"/>
      <c r="BY291" t="s">
        <v>1517</v>
      </c>
      <c r="BZ291" t="s">
        <v>325</v>
      </c>
      <c r="CA291" t="s">
        <v>325</v>
      </c>
      <c r="CB291" t="s">
        <v>165</v>
      </c>
    </row>
    <row r="292" spans="1:81" ht="15" customHeight="1" x14ac:dyDescent="0.25">
      <c r="A292" s="274" t="s">
        <v>1518</v>
      </c>
      <c r="B292" s="277" t="s">
        <v>481</v>
      </c>
      <c r="D292" s="275">
        <v>45315</v>
      </c>
      <c r="E292" s="275">
        <v>46411</v>
      </c>
      <c r="F292" s="239">
        <v>45383</v>
      </c>
      <c r="H292" s="274" t="s">
        <v>258</v>
      </c>
      <c r="I292" s="238" t="s">
        <v>303</v>
      </c>
      <c r="M292" s="277" t="s">
        <v>1519</v>
      </c>
      <c r="N292" s="277" t="s">
        <v>1520</v>
      </c>
      <c r="O292" s="276" t="s">
        <v>1521</v>
      </c>
      <c r="T292" s="276">
        <v>1</v>
      </c>
      <c r="Y292" s="276">
        <f t="shared" si="74"/>
        <v>1</v>
      </c>
      <c r="AB292" s="276">
        <v>2</v>
      </c>
      <c r="AI292" s="276">
        <f t="shared" si="73"/>
        <v>2</v>
      </c>
      <c r="AJ292">
        <f t="shared" si="62"/>
        <v>0</v>
      </c>
      <c r="AK292">
        <f t="shared" si="63"/>
        <v>2</v>
      </c>
      <c r="AL292">
        <f t="shared" si="64"/>
        <v>0</v>
      </c>
      <c r="AM292">
        <f t="shared" si="65"/>
        <v>-1</v>
      </c>
      <c r="AN292">
        <f t="shared" si="66"/>
        <v>0</v>
      </c>
      <c r="AO292">
        <f t="shared" si="67"/>
        <v>0</v>
      </c>
      <c r="AP292">
        <f t="shared" si="68"/>
        <v>0</v>
      </c>
      <c r="AQ292">
        <f t="shared" si="69"/>
        <v>0</v>
      </c>
      <c r="AR292" s="276">
        <f t="shared" si="70"/>
        <v>1</v>
      </c>
      <c r="AT292" s="278"/>
      <c r="AU292" s="274">
        <v>1</v>
      </c>
      <c r="AY292" s="279"/>
      <c r="BD292" s="279"/>
      <c r="BK292" s="280">
        <f t="shared" si="71"/>
        <v>1</v>
      </c>
      <c r="BL292" s="274">
        <f t="shared" si="72"/>
        <v>1</v>
      </c>
      <c r="BP292" s="281">
        <v>515669</v>
      </c>
      <c r="BQ292" s="281">
        <v>173146</v>
      </c>
      <c r="BR292" s="296" t="s">
        <v>145</v>
      </c>
      <c r="BS292" t="s">
        <v>169</v>
      </c>
      <c r="BT292" t="s">
        <v>145</v>
      </c>
      <c r="BU292"/>
      <c r="BV292"/>
      <c r="BW292"/>
      <c r="BX292"/>
      <c r="BY292"/>
      <c r="BZ292"/>
      <c r="CA292" t="s">
        <v>325</v>
      </c>
      <c r="CB292" t="s">
        <v>193</v>
      </c>
    </row>
    <row r="293" spans="1:81" ht="15" customHeight="1" x14ac:dyDescent="0.25">
      <c r="A293" s="274" t="s">
        <v>1522</v>
      </c>
      <c r="B293" s="277" t="s">
        <v>459</v>
      </c>
      <c r="D293" s="275">
        <v>45112</v>
      </c>
      <c r="E293" s="275">
        <v>46208</v>
      </c>
      <c r="H293" s="274" t="s">
        <v>258</v>
      </c>
      <c r="I293" s="238" t="s">
        <v>303</v>
      </c>
      <c r="M293" s="277" t="s">
        <v>1523</v>
      </c>
      <c r="N293" s="277" t="s">
        <v>1524</v>
      </c>
      <c r="O293" s="276" t="s">
        <v>1516</v>
      </c>
      <c r="Q293" s="276">
        <v>1</v>
      </c>
      <c r="Y293" s="276">
        <f t="shared" si="74"/>
        <v>1</v>
      </c>
      <c r="AI293" s="276">
        <f t="shared" si="73"/>
        <v>0</v>
      </c>
      <c r="AJ293">
        <f t="shared" si="62"/>
        <v>-1</v>
      </c>
      <c r="AK293">
        <f t="shared" si="63"/>
        <v>0</v>
      </c>
      <c r="AL293">
        <f t="shared" si="64"/>
        <v>0</v>
      </c>
      <c r="AM293">
        <f t="shared" si="65"/>
        <v>0</v>
      </c>
      <c r="AN293">
        <f t="shared" si="66"/>
        <v>0</v>
      </c>
      <c r="AO293">
        <f t="shared" si="67"/>
        <v>0</v>
      </c>
      <c r="AP293">
        <f t="shared" si="68"/>
        <v>0</v>
      </c>
      <c r="AQ293">
        <f t="shared" si="69"/>
        <v>0</v>
      </c>
      <c r="AR293" s="276">
        <f t="shared" si="70"/>
        <v>-1</v>
      </c>
      <c r="AT293" s="278"/>
      <c r="AU293" s="274">
        <v>-0.25</v>
      </c>
      <c r="AV293" s="274">
        <v>-0.25</v>
      </c>
      <c r="AW293" s="274">
        <v>-0.25</v>
      </c>
      <c r="AX293" s="274">
        <v>-0.25</v>
      </c>
      <c r="AY293" s="279"/>
      <c r="BD293" s="279"/>
      <c r="BK293" s="280">
        <f t="shared" si="71"/>
        <v>-1</v>
      </c>
      <c r="BL293" s="274">
        <f t="shared" si="72"/>
        <v>-1</v>
      </c>
      <c r="BP293" s="281">
        <v>519219</v>
      </c>
      <c r="BQ293" s="281">
        <v>177132</v>
      </c>
      <c r="BR293" s="296" t="s">
        <v>141</v>
      </c>
      <c r="BS293" t="s">
        <v>165</v>
      </c>
      <c r="BT293"/>
      <c r="BU293"/>
      <c r="BV293"/>
      <c r="BW293"/>
      <c r="BX293"/>
      <c r="BY293" t="s">
        <v>1517</v>
      </c>
      <c r="BZ293" t="s">
        <v>325</v>
      </c>
      <c r="CA293" t="s">
        <v>325</v>
      </c>
      <c r="CB293" t="s">
        <v>165</v>
      </c>
    </row>
    <row r="294" spans="1:81" ht="15" customHeight="1" x14ac:dyDescent="0.25">
      <c r="A294" s="274" t="s">
        <v>1525</v>
      </c>
      <c r="B294" s="277" t="s">
        <v>444</v>
      </c>
      <c r="D294" s="275">
        <v>45317</v>
      </c>
      <c r="E294" s="275">
        <v>46413</v>
      </c>
      <c r="H294" s="274" t="s">
        <v>258</v>
      </c>
      <c r="I294" s="238" t="s">
        <v>303</v>
      </c>
      <c r="M294" s="277" t="s">
        <v>1526</v>
      </c>
      <c r="N294" s="277" t="s">
        <v>1527</v>
      </c>
      <c r="O294" s="276" t="s">
        <v>1528</v>
      </c>
      <c r="S294" s="276">
        <v>1</v>
      </c>
      <c r="Y294" s="276">
        <f t="shared" si="74"/>
        <v>1</v>
      </c>
      <c r="AC294" s="276">
        <v>2</v>
      </c>
      <c r="AI294" s="276">
        <f t="shared" si="73"/>
        <v>2</v>
      </c>
      <c r="AJ294">
        <f t="shared" si="62"/>
        <v>0</v>
      </c>
      <c r="AK294">
        <f t="shared" si="63"/>
        <v>0</v>
      </c>
      <c r="AL294">
        <f t="shared" si="64"/>
        <v>1</v>
      </c>
      <c r="AM294">
        <f t="shared" si="65"/>
        <v>0</v>
      </c>
      <c r="AN294">
        <f t="shared" si="66"/>
        <v>0</v>
      </c>
      <c r="AO294">
        <f t="shared" si="67"/>
        <v>0</v>
      </c>
      <c r="AP294">
        <f t="shared" si="68"/>
        <v>0</v>
      </c>
      <c r="AQ294">
        <f t="shared" si="69"/>
        <v>0</v>
      </c>
      <c r="AR294" s="276">
        <f t="shared" si="70"/>
        <v>1</v>
      </c>
      <c r="AT294" s="278"/>
      <c r="AU294" s="274">
        <v>0.25</v>
      </c>
      <c r="AV294" s="274">
        <v>0.25</v>
      </c>
      <c r="AW294" s="274">
        <v>0.25</v>
      </c>
      <c r="AX294" s="274">
        <v>0.25</v>
      </c>
      <c r="AY294" s="279"/>
      <c r="BD294" s="279"/>
      <c r="BK294" s="280">
        <f t="shared" si="71"/>
        <v>1</v>
      </c>
      <c r="BL294" s="274">
        <f t="shared" si="72"/>
        <v>1</v>
      </c>
      <c r="BP294" s="281">
        <v>513473</v>
      </c>
      <c r="BQ294" s="281">
        <v>169912</v>
      </c>
      <c r="BR294" s="296" t="s">
        <v>183</v>
      </c>
      <c r="BS294" t="s">
        <v>161</v>
      </c>
      <c r="BT294"/>
      <c r="BU294"/>
      <c r="BV294"/>
      <c r="BW294"/>
      <c r="BX294"/>
      <c r="BY294"/>
      <c r="BZ294"/>
      <c r="CA294" t="s">
        <v>325</v>
      </c>
      <c r="CB294" t="s">
        <v>189</v>
      </c>
    </row>
    <row r="295" spans="1:81" ht="15" customHeight="1" x14ac:dyDescent="0.25">
      <c r="A295" s="274" t="s">
        <v>1529</v>
      </c>
      <c r="B295" s="277" t="s">
        <v>532</v>
      </c>
      <c r="D295" s="275">
        <v>45124</v>
      </c>
      <c r="E295" s="275">
        <v>46220</v>
      </c>
      <c r="H295" s="274" t="s">
        <v>258</v>
      </c>
      <c r="I295" s="238" t="s">
        <v>303</v>
      </c>
      <c r="M295" s="277" t="s">
        <v>1530</v>
      </c>
      <c r="N295" s="277" t="s">
        <v>1531</v>
      </c>
      <c r="O295" s="276" t="s">
        <v>1532</v>
      </c>
      <c r="Y295" s="276">
        <f t="shared" si="74"/>
        <v>0</v>
      </c>
      <c r="AA295" s="276">
        <v>3</v>
      </c>
      <c r="AI295" s="276">
        <f t="shared" si="73"/>
        <v>3</v>
      </c>
      <c r="AJ295">
        <f t="shared" si="62"/>
        <v>3</v>
      </c>
      <c r="AK295">
        <f t="shared" si="63"/>
        <v>0</v>
      </c>
      <c r="AL295">
        <f t="shared" si="64"/>
        <v>0</v>
      </c>
      <c r="AM295">
        <f t="shared" si="65"/>
        <v>0</v>
      </c>
      <c r="AN295">
        <f t="shared" si="66"/>
        <v>0</v>
      </c>
      <c r="AO295">
        <f t="shared" si="67"/>
        <v>0</v>
      </c>
      <c r="AP295">
        <f t="shared" si="68"/>
        <v>0</v>
      </c>
      <c r="AQ295">
        <f t="shared" si="69"/>
        <v>0</v>
      </c>
      <c r="AR295" s="276">
        <f t="shared" si="70"/>
        <v>3</v>
      </c>
      <c r="AT295" s="278"/>
      <c r="AU295" s="274">
        <v>0.75</v>
      </c>
      <c r="AV295" s="274">
        <v>0.75</v>
      </c>
      <c r="AW295" s="274">
        <v>0.75</v>
      </c>
      <c r="AX295" s="274">
        <v>0.75</v>
      </c>
      <c r="AY295" s="279"/>
      <c r="BD295" s="279"/>
      <c r="BK295" s="280">
        <f t="shared" si="71"/>
        <v>3</v>
      </c>
      <c r="BL295" s="274">
        <f t="shared" si="72"/>
        <v>3</v>
      </c>
      <c r="BP295" s="281">
        <v>516098</v>
      </c>
      <c r="BQ295" s="281">
        <v>173924</v>
      </c>
      <c r="BR295" s="296" t="s">
        <v>145</v>
      </c>
      <c r="BS295" t="s">
        <v>170</v>
      </c>
      <c r="BT295"/>
      <c r="BU295"/>
      <c r="BV295"/>
      <c r="BW295"/>
      <c r="BX295"/>
      <c r="BY295"/>
      <c r="BZ295"/>
      <c r="CA295" t="s">
        <v>325</v>
      </c>
      <c r="CB295" t="s">
        <v>193</v>
      </c>
    </row>
    <row r="296" spans="1:81" ht="15" customHeight="1" x14ac:dyDescent="0.25">
      <c r="A296" s="274" t="s">
        <v>1533</v>
      </c>
      <c r="B296" s="277" t="s">
        <v>459</v>
      </c>
      <c r="D296" s="275">
        <v>45156</v>
      </c>
      <c r="E296" s="275">
        <v>46252</v>
      </c>
      <c r="H296" s="274" t="s">
        <v>258</v>
      </c>
      <c r="I296" s="238" t="s">
        <v>303</v>
      </c>
      <c r="M296" s="277" t="s">
        <v>1534</v>
      </c>
      <c r="N296" s="277" t="s">
        <v>1535</v>
      </c>
      <c r="O296" s="276" t="s">
        <v>1536</v>
      </c>
      <c r="S296" s="276">
        <v>1</v>
      </c>
      <c r="Y296" s="276">
        <f t="shared" si="74"/>
        <v>1</v>
      </c>
      <c r="AI296" s="276">
        <f t="shared" si="73"/>
        <v>0</v>
      </c>
      <c r="AJ296">
        <f t="shared" si="62"/>
        <v>0</v>
      </c>
      <c r="AK296">
        <f t="shared" si="63"/>
        <v>0</v>
      </c>
      <c r="AL296">
        <f t="shared" si="64"/>
        <v>-1</v>
      </c>
      <c r="AM296">
        <f t="shared" si="65"/>
        <v>0</v>
      </c>
      <c r="AN296">
        <f t="shared" si="66"/>
        <v>0</v>
      </c>
      <c r="AO296">
        <f t="shared" si="67"/>
        <v>0</v>
      </c>
      <c r="AP296">
        <f t="shared" si="68"/>
        <v>0</v>
      </c>
      <c r="AQ296">
        <f t="shared" si="69"/>
        <v>0</v>
      </c>
      <c r="AR296" s="276">
        <f t="shared" si="70"/>
        <v>-1</v>
      </c>
      <c r="AT296" s="278"/>
      <c r="AU296" s="274">
        <v>-0.25</v>
      </c>
      <c r="AV296" s="274">
        <v>-0.25</v>
      </c>
      <c r="AW296" s="274">
        <v>-0.25</v>
      </c>
      <c r="AX296" s="274">
        <v>-0.25</v>
      </c>
      <c r="AY296" s="279"/>
      <c r="BD296" s="279"/>
      <c r="BK296" s="280">
        <f t="shared" si="71"/>
        <v>-1</v>
      </c>
      <c r="BL296" s="274">
        <f t="shared" si="72"/>
        <v>-1</v>
      </c>
      <c r="BP296" s="281">
        <v>517435</v>
      </c>
      <c r="BQ296" s="281">
        <v>169618</v>
      </c>
      <c r="BR296" s="296" t="s">
        <v>183</v>
      </c>
      <c r="BS296" t="s">
        <v>163</v>
      </c>
      <c r="BT296"/>
      <c r="BU296"/>
      <c r="BV296"/>
      <c r="BW296"/>
      <c r="BX296"/>
      <c r="BY296" t="s">
        <v>791</v>
      </c>
      <c r="BZ296" t="s">
        <v>325</v>
      </c>
      <c r="CA296" t="s">
        <v>325</v>
      </c>
      <c r="CB296" t="s">
        <v>192</v>
      </c>
    </row>
    <row r="297" spans="1:81" ht="15" customHeight="1" x14ac:dyDescent="0.25">
      <c r="A297" s="274" t="s">
        <v>1537</v>
      </c>
      <c r="B297" s="277" t="s">
        <v>459</v>
      </c>
      <c r="C297" s="274" t="s">
        <v>293</v>
      </c>
      <c r="D297" s="275">
        <v>45152</v>
      </c>
      <c r="E297" s="275">
        <v>46248</v>
      </c>
      <c r="H297" s="274" t="s">
        <v>258</v>
      </c>
      <c r="I297" s="238" t="s">
        <v>303</v>
      </c>
      <c r="M297" s="277" t="s">
        <v>1538</v>
      </c>
      <c r="N297" s="277" t="s">
        <v>1539</v>
      </c>
      <c r="O297" s="276" t="s">
        <v>1540</v>
      </c>
      <c r="Y297" s="276">
        <f t="shared" si="74"/>
        <v>0</v>
      </c>
      <c r="AA297" s="276">
        <v>1</v>
      </c>
      <c r="AI297" s="276">
        <f t="shared" si="73"/>
        <v>1</v>
      </c>
      <c r="AJ297">
        <f t="shared" si="62"/>
        <v>1</v>
      </c>
      <c r="AK297">
        <f t="shared" si="63"/>
        <v>0</v>
      </c>
      <c r="AL297">
        <f t="shared" si="64"/>
        <v>0</v>
      </c>
      <c r="AM297">
        <f t="shared" si="65"/>
        <v>0</v>
      </c>
      <c r="AN297">
        <f t="shared" si="66"/>
        <v>0</v>
      </c>
      <c r="AO297">
        <f t="shared" si="67"/>
        <v>0</v>
      </c>
      <c r="AP297">
        <f t="shared" si="68"/>
        <v>0</v>
      </c>
      <c r="AQ297">
        <f t="shared" si="69"/>
        <v>0</v>
      </c>
      <c r="AR297" s="276">
        <f t="shared" si="70"/>
        <v>1</v>
      </c>
      <c r="AT297" s="278"/>
      <c r="AV297" s="274">
        <v>1</v>
      </c>
      <c r="AY297" s="279"/>
      <c r="BD297" s="279"/>
      <c r="BK297" s="280">
        <f t="shared" si="71"/>
        <v>1</v>
      </c>
      <c r="BL297" s="274">
        <f t="shared" si="72"/>
        <v>1</v>
      </c>
      <c r="BP297" s="281">
        <v>514480</v>
      </c>
      <c r="BQ297" s="281">
        <v>174190</v>
      </c>
      <c r="BR297" t="s">
        <v>147</v>
      </c>
      <c r="BS297" t="s">
        <v>147</v>
      </c>
      <c r="BT297"/>
      <c r="BU297"/>
      <c r="BV297"/>
      <c r="BW297"/>
      <c r="BX297"/>
      <c r="BY297"/>
      <c r="BZ297"/>
      <c r="CA297" t="s">
        <v>325</v>
      </c>
      <c r="CB297" t="s">
        <v>194</v>
      </c>
    </row>
    <row r="298" spans="1:81" ht="15" customHeight="1" x14ac:dyDescent="0.25">
      <c r="A298" s="274" t="s">
        <v>1541</v>
      </c>
      <c r="B298" s="277" t="s">
        <v>459</v>
      </c>
      <c r="C298" s="274" t="s">
        <v>293</v>
      </c>
      <c r="D298" s="275">
        <v>45135</v>
      </c>
      <c r="E298" s="275">
        <v>46231</v>
      </c>
      <c r="H298" s="274" t="s">
        <v>258</v>
      </c>
      <c r="I298" s="238" t="s">
        <v>303</v>
      </c>
      <c r="M298" s="277" t="s">
        <v>1542</v>
      </c>
      <c r="N298" s="277" t="s">
        <v>1543</v>
      </c>
      <c r="O298" s="276" t="s">
        <v>699</v>
      </c>
      <c r="Y298" s="276">
        <f t="shared" si="74"/>
        <v>0</v>
      </c>
      <c r="AB298" s="276">
        <v>1</v>
      </c>
      <c r="AI298" s="276">
        <f t="shared" si="73"/>
        <v>1</v>
      </c>
      <c r="AJ298">
        <f t="shared" si="62"/>
        <v>0</v>
      </c>
      <c r="AK298">
        <f t="shared" si="63"/>
        <v>1</v>
      </c>
      <c r="AL298">
        <f t="shared" si="64"/>
        <v>0</v>
      </c>
      <c r="AM298">
        <f t="shared" si="65"/>
        <v>0</v>
      </c>
      <c r="AN298">
        <f t="shared" si="66"/>
        <v>0</v>
      </c>
      <c r="AO298">
        <f t="shared" si="67"/>
        <v>0</v>
      </c>
      <c r="AP298">
        <f t="shared" si="68"/>
        <v>0</v>
      </c>
      <c r="AQ298">
        <f t="shared" si="69"/>
        <v>0</v>
      </c>
      <c r="AR298" s="276">
        <f t="shared" si="70"/>
        <v>1</v>
      </c>
      <c r="AT298" s="278"/>
      <c r="AV298" s="274">
        <v>1</v>
      </c>
      <c r="AY298" s="279"/>
      <c r="BD298" s="279"/>
      <c r="BK298" s="280">
        <f t="shared" si="71"/>
        <v>1</v>
      </c>
      <c r="BL298" s="274">
        <f t="shared" si="72"/>
        <v>1</v>
      </c>
      <c r="BP298" s="281">
        <v>519074</v>
      </c>
      <c r="BQ298" s="281">
        <v>176044</v>
      </c>
      <c r="BR298" s="296" t="s">
        <v>141</v>
      </c>
      <c r="BS298" t="s">
        <v>165</v>
      </c>
      <c r="BT298"/>
      <c r="BU298"/>
      <c r="BV298"/>
      <c r="BW298"/>
      <c r="BX298"/>
      <c r="BY298"/>
      <c r="BZ298"/>
      <c r="CA298" t="s">
        <v>325</v>
      </c>
      <c r="CB298" t="s">
        <v>165</v>
      </c>
    </row>
    <row r="299" spans="1:81" ht="15" customHeight="1" x14ac:dyDescent="0.25">
      <c r="A299" s="274" t="s">
        <v>1544</v>
      </c>
      <c r="B299" s="277" t="s">
        <v>481</v>
      </c>
      <c r="D299" s="275">
        <v>45307</v>
      </c>
      <c r="E299" s="275">
        <v>46403</v>
      </c>
      <c r="H299" s="274" t="s">
        <v>258</v>
      </c>
      <c r="I299" s="238" t="s">
        <v>303</v>
      </c>
      <c r="M299" s="277" t="s">
        <v>1545</v>
      </c>
      <c r="N299" s="277" t="s">
        <v>1546</v>
      </c>
      <c r="O299" s="276" t="s">
        <v>1547</v>
      </c>
      <c r="S299" s="276">
        <v>1</v>
      </c>
      <c r="Y299" s="276">
        <f t="shared" si="74"/>
        <v>1</v>
      </c>
      <c r="AA299" s="276">
        <v>3</v>
      </c>
      <c r="AI299" s="276">
        <f t="shared" si="73"/>
        <v>3</v>
      </c>
      <c r="AJ299">
        <f t="shared" si="62"/>
        <v>3</v>
      </c>
      <c r="AK299">
        <f t="shared" si="63"/>
        <v>0</v>
      </c>
      <c r="AL299">
        <f t="shared" si="64"/>
        <v>-1</v>
      </c>
      <c r="AM299">
        <f t="shared" si="65"/>
        <v>0</v>
      </c>
      <c r="AN299">
        <f t="shared" si="66"/>
        <v>0</v>
      </c>
      <c r="AO299">
        <f t="shared" si="67"/>
        <v>0</v>
      </c>
      <c r="AP299">
        <f t="shared" si="68"/>
        <v>0</v>
      </c>
      <c r="AQ299">
        <f t="shared" si="69"/>
        <v>0</v>
      </c>
      <c r="AR299" s="276">
        <f t="shared" si="70"/>
        <v>2</v>
      </c>
      <c r="AT299" s="278"/>
      <c r="AU299" s="274">
        <v>0.5</v>
      </c>
      <c r="AV299" s="274">
        <v>0.5</v>
      </c>
      <c r="AW299" s="274">
        <v>0.5</v>
      </c>
      <c r="AX299" s="274">
        <v>0.5</v>
      </c>
      <c r="AY299" s="279"/>
      <c r="BD299" s="279"/>
      <c r="BK299" s="280">
        <f t="shared" si="71"/>
        <v>2</v>
      </c>
      <c r="BL299" s="274">
        <f t="shared" si="72"/>
        <v>2</v>
      </c>
      <c r="BP299" s="281">
        <v>520411</v>
      </c>
      <c r="BQ299" s="281">
        <v>175345</v>
      </c>
      <c r="BR299" s="296" t="s">
        <v>181</v>
      </c>
      <c r="BS299" t="s">
        <v>140</v>
      </c>
      <c r="BT299" t="s">
        <v>140</v>
      </c>
      <c r="BU299"/>
      <c r="BV299"/>
      <c r="BW299"/>
      <c r="BX299"/>
      <c r="BY299"/>
      <c r="BZ299"/>
      <c r="CA299" t="s">
        <v>325</v>
      </c>
      <c r="CB299" t="s">
        <v>190</v>
      </c>
    </row>
    <row r="300" spans="1:81" ht="15" customHeight="1" x14ac:dyDescent="0.25">
      <c r="A300" s="274" t="s">
        <v>1548</v>
      </c>
      <c r="B300" s="277" t="s">
        <v>444</v>
      </c>
      <c r="D300" s="275">
        <v>45281</v>
      </c>
      <c r="E300" s="275">
        <v>46377</v>
      </c>
      <c r="H300" s="274" t="s">
        <v>258</v>
      </c>
      <c r="I300" s="238" t="s">
        <v>303</v>
      </c>
      <c r="M300" s="277" t="s">
        <v>1549</v>
      </c>
      <c r="N300" s="277" t="s">
        <v>1550</v>
      </c>
      <c r="O300" s="276" t="s">
        <v>1551</v>
      </c>
      <c r="T300" s="276">
        <v>1</v>
      </c>
      <c r="Y300" s="276">
        <f t="shared" si="74"/>
        <v>1</v>
      </c>
      <c r="AC300" s="276">
        <v>2</v>
      </c>
      <c r="AI300" s="276">
        <f t="shared" si="73"/>
        <v>2</v>
      </c>
      <c r="AJ300">
        <f t="shared" si="62"/>
        <v>0</v>
      </c>
      <c r="AK300">
        <f t="shared" si="63"/>
        <v>0</v>
      </c>
      <c r="AL300">
        <f t="shared" si="64"/>
        <v>2</v>
      </c>
      <c r="AM300">
        <f t="shared" si="65"/>
        <v>-1</v>
      </c>
      <c r="AN300">
        <f t="shared" si="66"/>
        <v>0</v>
      </c>
      <c r="AO300">
        <f t="shared" si="67"/>
        <v>0</v>
      </c>
      <c r="AP300">
        <f t="shared" si="68"/>
        <v>0</v>
      </c>
      <c r="AQ300">
        <f t="shared" si="69"/>
        <v>0</v>
      </c>
      <c r="AR300" s="276">
        <f t="shared" si="70"/>
        <v>1</v>
      </c>
      <c r="AT300" s="278"/>
      <c r="AU300" s="274">
        <v>0.25</v>
      </c>
      <c r="AV300" s="274">
        <v>0.25</v>
      </c>
      <c r="AW300" s="274">
        <v>0.25</v>
      </c>
      <c r="AX300" s="274">
        <v>0.25</v>
      </c>
      <c r="AY300" s="279"/>
      <c r="BD300" s="279"/>
      <c r="BK300" s="280">
        <f t="shared" si="71"/>
        <v>1</v>
      </c>
      <c r="BL300" s="274">
        <f t="shared" si="72"/>
        <v>1</v>
      </c>
      <c r="BP300" s="281">
        <v>513815</v>
      </c>
      <c r="BQ300" s="281">
        <v>173889</v>
      </c>
      <c r="BR300" t="s">
        <v>147</v>
      </c>
      <c r="BS300" t="s">
        <v>147</v>
      </c>
      <c r="BT300"/>
      <c r="BU300"/>
      <c r="BV300"/>
      <c r="BW300"/>
      <c r="BX300"/>
      <c r="BY300"/>
      <c r="BZ300"/>
      <c r="CA300" t="s">
        <v>325</v>
      </c>
      <c r="CB300" t="s">
        <v>194</v>
      </c>
    </row>
    <row r="301" spans="1:81" ht="15" customHeight="1" x14ac:dyDescent="0.25">
      <c r="A301" s="282" t="s">
        <v>1552</v>
      </c>
      <c r="B301" s="282" t="s">
        <v>444</v>
      </c>
      <c r="C301" s="282"/>
      <c r="D301" s="243">
        <v>45364</v>
      </c>
      <c r="E301" s="243">
        <v>46459</v>
      </c>
      <c r="F301" s="287"/>
      <c r="G301" s="287"/>
      <c r="H301" s="274" t="s">
        <v>258</v>
      </c>
      <c r="I301" s="238" t="s">
        <v>303</v>
      </c>
      <c r="J301" s="242"/>
      <c r="K301" s="242"/>
      <c r="L301" s="242"/>
      <c r="M301" s="242" t="s">
        <v>1553</v>
      </c>
      <c r="N301" s="242" t="s">
        <v>1554</v>
      </c>
      <c r="O301" s="282" t="s">
        <v>1555</v>
      </c>
      <c r="P301" s="282"/>
      <c r="Q301" s="242"/>
      <c r="R301" s="242"/>
      <c r="S301" s="242"/>
      <c r="T301" s="242"/>
      <c r="U301" s="242"/>
      <c r="V301" s="242"/>
      <c r="W301" s="242"/>
      <c r="X301" s="242"/>
      <c r="Y301" s="276">
        <f t="shared" si="74"/>
        <v>0</v>
      </c>
      <c r="Z301" s="282"/>
      <c r="AA301" s="242"/>
      <c r="AB301" s="283">
        <v>1</v>
      </c>
      <c r="AC301" s="242"/>
      <c r="AD301" s="242"/>
      <c r="AE301" s="242"/>
      <c r="AF301" s="242"/>
      <c r="AG301" s="242"/>
      <c r="AH301" s="242"/>
      <c r="AI301" s="276">
        <f t="shared" si="73"/>
        <v>1</v>
      </c>
      <c r="AJ301">
        <f t="shared" si="62"/>
        <v>0</v>
      </c>
      <c r="AK301">
        <f t="shared" si="63"/>
        <v>1</v>
      </c>
      <c r="AL301">
        <f t="shared" si="64"/>
        <v>0</v>
      </c>
      <c r="AM301">
        <f t="shared" si="65"/>
        <v>0</v>
      </c>
      <c r="AN301">
        <f t="shared" si="66"/>
        <v>0</v>
      </c>
      <c r="AO301">
        <f t="shared" si="67"/>
        <v>0</v>
      </c>
      <c r="AP301">
        <f t="shared" si="68"/>
        <v>0</v>
      </c>
      <c r="AQ301">
        <f t="shared" si="69"/>
        <v>0</v>
      </c>
      <c r="AR301" s="276">
        <f t="shared" si="70"/>
        <v>1</v>
      </c>
      <c r="AT301" s="278"/>
      <c r="AU301" s="274">
        <v>0.25</v>
      </c>
      <c r="AV301" s="274">
        <v>0.25</v>
      </c>
      <c r="AW301" s="274">
        <v>0.25</v>
      </c>
      <c r="AX301" s="274">
        <v>0.25</v>
      </c>
      <c r="AY301" s="279"/>
      <c r="BD301" s="279"/>
      <c r="BK301" s="280">
        <f t="shared" si="71"/>
        <v>1</v>
      </c>
      <c r="BL301" s="274">
        <f t="shared" si="72"/>
        <v>1</v>
      </c>
      <c r="BM301" s="282"/>
      <c r="BN301" s="282"/>
      <c r="BO301" s="294"/>
      <c r="BP301" s="284">
        <v>520508</v>
      </c>
      <c r="BQ301" s="284">
        <v>175676</v>
      </c>
      <c r="BR301" s="296" t="s">
        <v>181</v>
      </c>
      <c r="BS301" t="s">
        <v>140</v>
      </c>
      <c r="BT301" t="s">
        <v>140</v>
      </c>
      <c r="BU301"/>
      <c r="BV301"/>
      <c r="BW301"/>
      <c r="BX301"/>
      <c r="BY301" t="s">
        <v>934</v>
      </c>
      <c r="BZ301" t="s">
        <v>325</v>
      </c>
      <c r="CA301" t="s">
        <v>325</v>
      </c>
      <c r="CB301" t="s">
        <v>190</v>
      </c>
      <c r="CC301" s="282"/>
    </row>
    <row r="302" spans="1:81" ht="15" customHeight="1" x14ac:dyDescent="0.25">
      <c r="A302" s="274" t="s">
        <v>1556</v>
      </c>
      <c r="B302" s="277" t="s">
        <v>444</v>
      </c>
      <c r="D302" s="275">
        <v>45315</v>
      </c>
      <c r="E302" s="275">
        <v>46411</v>
      </c>
      <c r="H302" s="274" t="s">
        <v>258</v>
      </c>
      <c r="I302" s="238" t="s">
        <v>303</v>
      </c>
      <c r="M302" s="277" t="s">
        <v>1557</v>
      </c>
      <c r="N302" s="277" t="s">
        <v>1558</v>
      </c>
      <c r="O302" s="276" t="s">
        <v>1559</v>
      </c>
      <c r="S302" s="276">
        <v>1</v>
      </c>
      <c r="Y302" s="276">
        <f t="shared" si="74"/>
        <v>1</v>
      </c>
      <c r="AD302" s="276">
        <v>1</v>
      </c>
      <c r="AI302" s="276">
        <f t="shared" si="73"/>
        <v>1</v>
      </c>
      <c r="AJ302">
        <f t="shared" si="62"/>
        <v>0</v>
      </c>
      <c r="AK302">
        <f t="shared" si="63"/>
        <v>0</v>
      </c>
      <c r="AL302">
        <f t="shared" si="64"/>
        <v>-1</v>
      </c>
      <c r="AM302">
        <f t="shared" si="65"/>
        <v>1</v>
      </c>
      <c r="AN302">
        <f t="shared" si="66"/>
        <v>0</v>
      </c>
      <c r="AO302">
        <f t="shared" si="67"/>
        <v>0</v>
      </c>
      <c r="AP302">
        <f t="shared" si="68"/>
        <v>0</v>
      </c>
      <c r="AQ302">
        <f t="shared" si="69"/>
        <v>0</v>
      </c>
      <c r="AR302" s="276">
        <f t="shared" si="70"/>
        <v>0</v>
      </c>
      <c r="AT302" s="278"/>
      <c r="AU302" s="274">
        <v>0</v>
      </c>
      <c r="AY302" s="279"/>
      <c r="BD302" s="279"/>
      <c r="BK302" s="280">
        <f t="shared" si="71"/>
        <v>0</v>
      </c>
      <c r="BL302" s="274">
        <f t="shared" si="72"/>
        <v>0</v>
      </c>
      <c r="BP302" s="281">
        <v>514998</v>
      </c>
      <c r="BQ302" s="281">
        <v>172653</v>
      </c>
      <c r="BR302" s="296" t="s">
        <v>145</v>
      </c>
      <c r="BS302" t="s">
        <v>172</v>
      </c>
      <c r="BT302"/>
      <c r="BU302"/>
      <c r="BV302"/>
      <c r="BW302"/>
      <c r="BX302"/>
      <c r="BY302"/>
      <c r="BZ302"/>
      <c r="CA302" t="s">
        <v>325</v>
      </c>
      <c r="CB302" t="s">
        <v>193</v>
      </c>
    </row>
    <row r="303" spans="1:81" ht="15" customHeight="1" x14ac:dyDescent="0.25">
      <c r="A303" s="274" t="s">
        <v>1560</v>
      </c>
      <c r="B303" s="277" t="s">
        <v>481</v>
      </c>
      <c r="D303" s="275">
        <v>45274</v>
      </c>
      <c r="E303" s="275">
        <v>46370</v>
      </c>
      <c r="H303" s="274" t="s">
        <v>258</v>
      </c>
      <c r="I303" s="238" t="s">
        <v>303</v>
      </c>
      <c r="M303" s="277" t="s">
        <v>1561</v>
      </c>
      <c r="N303" s="277" t="s">
        <v>1311</v>
      </c>
      <c r="O303" s="276" t="s">
        <v>1312</v>
      </c>
      <c r="R303" s="276">
        <v>1</v>
      </c>
      <c r="Y303" s="276">
        <f t="shared" si="74"/>
        <v>1</v>
      </c>
      <c r="AA303" s="276">
        <v>2</v>
      </c>
      <c r="AI303" s="276">
        <f t="shared" si="73"/>
        <v>2</v>
      </c>
      <c r="AJ303">
        <f t="shared" si="62"/>
        <v>2</v>
      </c>
      <c r="AK303">
        <f t="shared" si="63"/>
        <v>-1</v>
      </c>
      <c r="AL303">
        <f t="shared" si="64"/>
        <v>0</v>
      </c>
      <c r="AM303">
        <f t="shared" si="65"/>
        <v>0</v>
      </c>
      <c r="AN303">
        <f t="shared" si="66"/>
        <v>0</v>
      </c>
      <c r="AO303">
        <f t="shared" si="67"/>
        <v>0</v>
      </c>
      <c r="AP303">
        <f t="shared" si="68"/>
        <v>0</v>
      </c>
      <c r="AQ303">
        <f t="shared" si="69"/>
        <v>0</v>
      </c>
      <c r="AR303" s="276">
        <f t="shared" si="70"/>
        <v>1</v>
      </c>
      <c r="AT303" s="278"/>
      <c r="AU303" s="274">
        <v>0.25</v>
      </c>
      <c r="AV303" s="274">
        <v>0.25</v>
      </c>
      <c r="AW303" s="274">
        <v>0.25</v>
      </c>
      <c r="AX303" s="274">
        <v>0.25</v>
      </c>
      <c r="AY303" s="279"/>
      <c r="BD303" s="279"/>
      <c r="BK303" s="280">
        <f t="shared" si="71"/>
        <v>1</v>
      </c>
      <c r="BL303" s="274">
        <f t="shared" si="72"/>
        <v>1</v>
      </c>
      <c r="BP303" s="281">
        <v>517804</v>
      </c>
      <c r="BQ303" s="281">
        <v>174681</v>
      </c>
      <c r="BR303" s="296" t="s">
        <v>141</v>
      </c>
      <c r="BS303" t="s">
        <v>168</v>
      </c>
      <c r="BT303" t="s">
        <v>141</v>
      </c>
      <c r="BU303"/>
      <c r="BV303"/>
      <c r="BW303"/>
      <c r="BX303"/>
      <c r="BY303" t="s">
        <v>546</v>
      </c>
      <c r="BZ303" t="s">
        <v>325</v>
      </c>
      <c r="CA303" t="s">
        <v>325</v>
      </c>
      <c r="CB303" t="s">
        <v>191</v>
      </c>
    </row>
    <row r="304" spans="1:81" ht="15" customHeight="1" x14ac:dyDescent="0.25">
      <c r="A304" s="282" t="s">
        <v>1562</v>
      </c>
      <c r="B304" s="282" t="s">
        <v>481</v>
      </c>
      <c r="C304" s="282"/>
      <c r="D304" s="243">
        <v>45359</v>
      </c>
      <c r="E304" s="243">
        <v>46454</v>
      </c>
      <c r="F304" s="287"/>
      <c r="G304" s="287"/>
      <c r="H304" s="274" t="s">
        <v>258</v>
      </c>
      <c r="I304" s="238" t="s">
        <v>303</v>
      </c>
      <c r="J304" s="242"/>
      <c r="K304" s="242"/>
      <c r="L304" s="242"/>
      <c r="M304" s="242" t="s">
        <v>1563</v>
      </c>
      <c r="N304" s="242" t="s">
        <v>1564</v>
      </c>
      <c r="O304" s="282" t="s">
        <v>1565</v>
      </c>
      <c r="P304" s="282"/>
      <c r="Q304" s="283">
        <v>2</v>
      </c>
      <c r="R304" s="242"/>
      <c r="S304" s="242"/>
      <c r="T304" s="242"/>
      <c r="U304" s="242"/>
      <c r="V304" s="242"/>
      <c r="W304" s="242"/>
      <c r="X304" s="242"/>
      <c r="Y304" s="276">
        <f t="shared" si="74"/>
        <v>2</v>
      </c>
      <c r="Z304" s="282"/>
      <c r="AA304" s="242"/>
      <c r="AB304" s="283">
        <v>1</v>
      </c>
      <c r="AC304" s="242"/>
      <c r="AD304" s="242"/>
      <c r="AE304" s="242"/>
      <c r="AF304" s="242"/>
      <c r="AG304" s="242"/>
      <c r="AH304" s="242"/>
      <c r="AI304" s="276">
        <f t="shared" si="73"/>
        <v>1</v>
      </c>
      <c r="AJ304">
        <f t="shared" si="62"/>
        <v>-2</v>
      </c>
      <c r="AK304">
        <f t="shared" si="63"/>
        <v>1</v>
      </c>
      <c r="AL304">
        <f t="shared" si="64"/>
        <v>0</v>
      </c>
      <c r="AM304">
        <f t="shared" si="65"/>
        <v>0</v>
      </c>
      <c r="AN304">
        <f t="shared" si="66"/>
        <v>0</v>
      </c>
      <c r="AO304">
        <f t="shared" si="67"/>
        <v>0</v>
      </c>
      <c r="AP304">
        <f t="shared" si="68"/>
        <v>0</v>
      </c>
      <c r="AQ304">
        <f t="shared" si="69"/>
        <v>0</v>
      </c>
      <c r="AR304" s="276">
        <f t="shared" si="70"/>
        <v>-1</v>
      </c>
      <c r="AT304" s="278"/>
      <c r="AU304" s="274">
        <v>-0.25</v>
      </c>
      <c r="AV304" s="274">
        <v>-0.25</v>
      </c>
      <c r="AW304" s="274">
        <v>-0.25</v>
      </c>
      <c r="AX304" s="274">
        <v>-0.25</v>
      </c>
      <c r="AY304" s="279"/>
      <c r="BD304" s="279"/>
      <c r="BK304" s="280">
        <f t="shared" si="71"/>
        <v>-1</v>
      </c>
      <c r="BL304" s="274">
        <f t="shared" si="72"/>
        <v>-1</v>
      </c>
      <c r="BM304" s="282"/>
      <c r="BN304" s="282"/>
      <c r="BO304" s="294"/>
      <c r="BP304" s="284">
        <v>517170</v>
      </c>
      <c r="BQ304" s="284">
        <v>174144</v>
      </c>
      <c r="BR304" s="296" t="s">
        <v>145</v>
      </c>
      <c r="BS304" t="s">
        <v>171</v>
      </c>
      <c r="BT304"/>
      <c r="BU304"/>
      <c r="BV304"/>
      <c r="BW304"/>
      <c r="BX304"/>
      <c r="BY304"/>
      <c r="BZ304"/>
      <c r="CA304" t="s">
        <v>325</v>
      </c>
      <c r="CB304" t="s">
        <v>193</v>
      </c>
      <c r="CC304" s="282"/>
    </row>
    <row r="305" spans="1:81" ht="15" customHeight="1" x14ac:dyDescent="0.25">
      <c r="A305" s="282" t="s">
        <v>1566</v>
      </c>
      <c r="B305" s="282" t="s">
        <v>459</v>
      </c>
      <c r="C305" s="274" t="s">
        <v>293</v>
      </c>
      <c r="D305" s="243">
        <v>45376</v>
      </c>
      <c r="E305" s="243">
        <v>46471</v>
      </c>
      <c r="F305" s="287"/>
      <c r="G305" s="287"/>
      <c r="H305" s="274" t="s">
        <v>258</v>
      </c>
      <c r="I305" s="238" t="s">
        <v>303</v>
      </c>
      <c r="J305" s="242"/>
      <c r="K305" s="242"/>
      <c r="L305" s="242"/>
      <c r="M305" s="242" t="s">
        <v>1567</v>
      </c>
      <c r="N305" s="242" t="s">
        <v>1568</v>
      </c>
      <c r="O305" s="282" t="s">
        <v>1569</v>
      </c>
      <c r="P305" s="282"/>
      <c r="Q305" s="242"/>
      <c r="R305" s="242"/>
      <c r="S305" s="242"/>
      <c r="T305" s="242"/>
      <c r="U305" s="242"/>
      <c r="V305" s="242"/>
      <c r="W305" s="242"/>
      <c r="X305" s="242"/>
      <c r="Y305" s="276">
        <f t="shared" si="74"/>
        <v>0</v>
      </c>
      <c r="Z305" s="282"/>
      <c r="AA305" s="283">
        <v>1</v>
      </c>
      <c r="AB305" s="242"/>
      <c r="AC305" s="242"/>
      <c r="AD305" s="242"/>
      <c r="AE305" s="242"/>
      <c r="AF305" s="242"/>
      <c r="AG305" s="242"/>
      <c r="AH305" s="242"/>
      <c r="AI305" s="276">
        <f t="shared" si="73"/>
        <v>1</v>
      </c>
      <c r="AJ305">
        <f t="shared" si="62"/>
        <v>1</v>
      </c>
      <c r="AK305">
        <f t="shared" si="63"/>
        <v>0</v>
      </c>
      <c r="AL305">
        <f t="shared" si="64"/>
        <v>0</v>
      </c>
      <c r="AM305">
        <f t="shared" si="65"/>
        <v>0</v>
      </c>
      <c r="AN305">
        <f t="shared" si="66"/>
        <v>0</v>
      </c>
      <c r="AO305">
        <f t="shared" si="67"/>
        <v>0</v>
      </c>
      <c r="AP305">
        <f t="shared" si="68"/>
        <v>0</v>
      </c>
      <c r="AQ305">
        <f t="shared" si="69"/>
        <v>0</v>
      </c>
      <c r="AR305" s="276">
        <f t="shared" si="70"/>
        <v>1</v>
      </c>
      <c r="AT305" s="278"/>
      <c r="AW305" s="274">
        <v>1</v>
      </c>
      <c r="AY305" s="279"/>
      <c r="BD305" s="279"/>
      <c r="BK305" s="280">
        <f t="shared" si="71"/>
        <v>1</v>
      </c>
      <c r="BL305" s="274">
        <f t="shared" si="72"/>
        <v>1</v>
      </c>
      <c r="BM305" s="282"/>
      <c r="BN305" s="282"/>
      <c r="BO305" s="294"/>
      <c r="BP305" s="284">
        <v>514200</v>
      </c>
      <c r="BQ305" s="284">
        <v>173509</v>
      </c>
      <c r="BR305" t="s">
        <v>147</v>
      </c>
      <c r="BS305" t="s">
        <v>164</v>
      </c>
      <c r="BT305" t="s">
        <v>147</v>
      </c>
      <c r="BU305"/>
      <c r="BV305"/>
      <c r="BW305"/>
      <c r="BX305"/>
      <c r="BY305"/>
      <c r="BZ305"/>
      <c r="CA305" t="s">
        <v>325</v>
      </c>
      <c r="CB305" t="s">
        <v>194</v>
      </c>
      <c r="CC305" s="282"/>
    </row>
    <row r="306" spans="1:81" ht="15" customHeight="1" x14ac:dyDescent="0.25">
      <c r="A306" s="274" t="s">
        <v>1570</v>
      </c>
      <c r="B306" s="277" t="s">
        <v>481</v>
      </c>
      <c r="D306" s="275">
        <v>44651</v>
      </c>
      <c r="E306" s="275">
        <v>45747</v>
      </c>
      <c r="F306" s="275"/>
      <c r="H306" s="274" t="s">
        <v>258</v>
      </c>
      <c r="I306" s="238" t="s">
        <v>303</v>
      </c>
      <c r="M306" s="277" t="s">
        <v>1571</v>
      </c>
      <c r="N306" s="277" t="s">
        <v>1572</v>
      </c>
      <c r="O306" s="276" t="s">
        <v>1573</v>
      </c>
      <c r="Q306" s="276">
        <v>1</v>
      </c>
      <c r="R306" s="276">
        <v>1</v>
      </c>
      <c r="Y306" s="276">
        <f>SUM(Q306:X306)</f>
        <v>2</v>
      </c>
      <c r="AD306" s="276">
        <v>1</v>
      </c>
      <c r="AI306" s="276">
        <f t="shared" si="73"/>
        <v>1</v>
      </c>
      <c r="AJ306">
        <f t="shared" si="62"/>
        <v>-1</v>
      </c>
      <c r="AK306">
        <f t="shared" si="63"/>
        <v>-1</v>
      </c>
      <c r="AL306">
        <f t="shared" si="64"/>
        <v>0</v>
      </c>
      <c r="AM306">
        <f t="shared" si="65"/>
        <v>1</v>
      </c>
      <c r="AN306">
        <f t="shared" si="66"/>
        <v>0</v>
      </c>
      <c r="AO306">
        <f t="shared" si="67"/>
        <v>0</v>
      </c>
      <c r="AP306">
        <f t="shared" si="68"/>
        <v>0</v>
      </c>
      <c r="AQ306">
        <f t="shared" si="69"/>
        <v>0</v>
      </c>
      <c r="AR306" s="276">
        <f t="shared" si="70"/>
        <v>-1</v>
      </c>
      <c r="AT306" s="278"/>
      <c r="AV306" s="274">
        <v>-0.5</v>
      </c>
      <c r="AW306" s="274">
        <v>-0.5</v>
      </c>
      <c r="AY306" s="279"/>
      <c r="BD306" s="279"/>
      <c r="BK306" s="280">
        <f t="shared" si="71"/>
        <v>-1</v>
      </c>
      <c r="BL306" s="274">
        <f t="shared" si="72"/>
        <v>-1</v>
      </c>
      <c r="BP306" s="281">
        <v>518104</v>
      </c>
      <c r="BQ306" s="281">
        <v>171628</v>
      </c>
      <c r="BR306" s="296" t="s">
        <v>182</v>
      </c>
      <c r="BS306" t="s">
        <v>160</v>
      </c>
      <c r="BT306"/>
      <c r="BU306"/>
      <c r="BV306"/>
      <c r="BW306"/>
      <c r="BX306"/>
      <c r="BY306"/>
      <c r="BZ306"/>
      <c r="CA306"/>
      <c r="CB306" t="s">
        <v>188</v>
      </c>
    </row>
    <row r="307" spans="1:81" ht="15" customHeight="1" x14ac:dyDescent="0.25">
      <c r="A307" s="244" t="s">
        <v>1574</v>
      </c>
      <c r="B307" s="274" t="s">
        <v>444</v>
      </c>
      <c r="C307" s="274"/>
      <c r="H307" s="248" t="s">
        <v>290</v>
      </c>
      <c r="I307" s="248" t="s">
        <v>1575</v>
      </c>
      <c r="J307" s="276" t="s">
        <v>291</v>
      </c>
      <c r="N307" s="248" t="s">
        <v>291</v>
      </c>
      <c r="AI307" s="237">
        <v>250</v>
      </c>
      <c r="AJ307">
        <f t="shared" ref="AJ307:AJ319" si="75">AA307-Q307</f>
        <v>0</v>
      </c>
      <c r="AK307">
        <f t="shared" ref="AK307:AK319" si="76">AB307-R307</f>
        <v>0</v>
      </c>
      <c r="AL307">
        <f t="shared" ref="AL307:AL319" si="77">AC307-S307</f>
        <v>0</v>
      </c>
      <c r="AM307">
        <f t="shared" ref="AM307:AM319" si="78">AD307-T307</f>
        <v>0</v>
      </c>
      <c r="AN307">
        <f t="shared" ref="AN307:AN319" si="79">AE307-U307</f>
        <v>0</v>
      </c>
      <c r="AO307">
        <f t="shared" ref="AO307:AO319" si="80">AF307-V307</f>
        <v>0</v>
      </c>
      <c r="AP307">
        <f t="shared" ref="AP307:AP319" si="81">AG307-W307</f>
        <v>0</v>
      </c>
      <c r="AQ307">
        <f t="shared" ref="AQ307:AQ319" si="82">AH307-X307</f>
        <v>0</v>
      </c>
      <c r="AR307" s="273">
        <v>250</v>
      </c>
      <c r="AS307" t="s">
        <v>325</v>
      </c>
      <c r="AT307" s="289"/>
      <c r="AV307" s="249"/>
      <c r="AW307" s="249"/>
      <c r="AX307" s="249"/>
      <c r="AY307" s="249"/>
      <c r="AZ307" s="329">
        <v>50</v>
      </c>
      <c r="BA307" s="249">
        <v>50</v>
      </c>
      <c r="BB307" s="249">
        <v>50</v>
      </c>
      <c r="BC307" s="249">
        <v>50</v>
      </c>
      <c r="BD307" s="249">
        <v>50</v>
      </c>
      <c r="BE307" s="280"/>
      <c r="BK307" s="280">
        <f t="shared" si="71"/>
        <v>0</v>
      </c>
      <c r="BL307" s="274">
        <f t="shared" si="72"/>
        <v>250</v>
      </c>
      <c r="BP307" s="3">
        <v>519125</v>
      </c>
      <c r="BQ307" s="3">
        <v>175579</v>
      </c>
      <c r="BR307" s="296" t="s">
        <v>141</v>
      </c>
      <c r="BS307" s="3" t="s">
        <v>167</v>
      </c>
      <c r="BT307"/>
      <c r="BU307"/>
      <c r="BV307"/>
      <c r="BW307" s="3"/>
      <c r="BX307"/>
      <c r="BY307"/>
      <c r="BZ307" s="3"/>
      <c r="CA307"/>
      <c r="CB307" t="s">
        <v>191</v>
      </c>
    </row>
    <row r="308" spans="1:81" ht="15" customHeight="1" x14ac:dyDescent="0.25">
      <c r="A308" s="244" t="s">
        <v>1574</v>
      </c>
      <c r="B308" s="277" t="s">
        <v>542</v>
      </c>
      <c r="H308" s="248" t="s">
        <v>290</v>
      </c>
      <c r="I308" s="248" t="s">
        <v>1575</v>
      </c>
      <c r="J308" s="276" t="s">
        <v>292</v>
      </c>
      <c r="N308" s="248" t="s">
        <v>292</v>
      </c>
      <c r="AI308" s="237">
        <v>20</v>
      </c>
      <c r="AJ308">
        <f t="shared" si="75"/>
        <v>0</v>
      </c>
      <c r="AK308">
        <f t="shared" si="76"/>
        <v>0</v>
      </c>
      <c r="AL308">
        <f t="shared" si="77"/>
        <v>0</v>
      </c>
      <c r="AM308">
        <f t="shared" si="78"/>
        <v>0</v>
      </c>
      <c r="AN308">
        <f t="shared" si="79"/>
        <v>0</v>
      </c>
      <c r="AO308">
        <f t="shared" si="80"/>
        <v>0</v>
      </c>
      <c r="AP308">
        <f t="shared" si="81"/>
        <v>0</v>
      </c>
      <c r="AQ308">
        <f t="shared" si="82"/>
        <v>0</v>
      </c>
      <c r="AR308" s="273">
        <v>20</v>
      </c>
      <c r="AS308" t="s">
        <v>325</v>
      </c>
      <c r="AT308" s="289"/>
      <c r="AV308" s="249"/>
      <c r="AW308" s="249"/>
      <c r="AX308" s="249"/>
      <c r="AY308" s="249"/>
      <c r="AZ308" s="329"/>
      <c r="BA308" s="249">
        <v>5</v>
      </c>
      <c r="BB308" s="249">
        <v>5</v>
      </c>
      <c r="BC308" s="249">
        <v>5</v>
      </c>
      <c r="BD308" s="249">
        <v>5</v>
      </c>
      <c r="BE308" s="280"/>
      <c r="BK308" s="280">
        <f t="shared" si="71"/>
        <v>0</v>
      </c>
      <c r="BL308" s="274">
        <f t="shared" si="72"/>
        <v>20</v>
      </c>
      <c r="BP308" s="3">
        <v>516258</v>
      </c>
      <c r="BQ308" s="3">
        <v>171100</v>
      </c>
      <c r="BR308" s="296" t="s">
        <v>183</v>
      </c>
      <c r="BS308" s="3" t="s">
        <v>143</v>
      </c>
      <c r="BT308"/>
      <c r="BU308"/>
      <c r="BV308"/>
      <c r="BW308" s="3"/>
      <c r="BX308"/>
      <c r="BY308"/>
      <c r="BZ308" s="3"/>
      <c r="CA308"/>
      <c r="CB308" t="s">
        <v>192</v>
      </c>
    </row>
    <row r="309" spans="1:81" ht="15" customHeight="1" x14ac:dyDescent="0.25">
      <c r="A309" s="244" t="s">
        <v>1576</v>
      </c>
      <c r="B309" s="274" t="s">
        <v>444</v>
      </c>
      <c r="C309" s="274"/>
      <c r="D309" s="250">
        <v>45435</v>
      </c>
      <c r="E309" s="239">
        <v>46530</v>
      </c>
      <c r="F309" s="238"/>
      <c r="G309" s="238"/>
      <c r="H309" s="238" t="s">
        <v>1577</v>
      </c>
      <c r="I309" s="248" t="s">
        <v>1575</v>
      </c>
      <c r="J309" s="276" t="s">
        <v>261</v>
      </c>
      <c r="M309" s="238" t="s">
        <v>1578</v>
      </c>
      <c r="N309" s="244" t="s">
        <v>1579</v>
      </c>
      <c r="AI309" s="237">
        <v>453</v>
      </c>
      <c r="AJ309">
        <f t="shared" si="75"/>
        <v>0</v>
      </c>
      <c r="AK309">
        <f t="shared" si="76"/>
        <v>0</v>
      </c>
      <c r="AL309">
        <f t="shared" si="77"/>
        <v>0</v>
      </c>
      <c r="AM309">
        <f t="shared" si="78"/>
        <v>0</v>
      </c>
      <c r="AN309">
        <f t="shared" si="79"/>
        <v>0</v>
      </c>
      <c r="AO309">
        <f t="shared" si="80"/>
        <v>0</v>
      </c>
      <c r="AP309">
        <f t="shared" si="81"/>
        <v>0</v>
      </c>
      <c r="AQ309">
        <f t="shared" si="82"/>
        <v>0</v>
      </c>
      <c r="AR309" s="273">
        <v>453</v>
      </c>
      <c r="AS309" t="s">
        <v>325</v>
      </c>
      <c r="AT309" s="289"/>
      <c r="AW309" s="290"/>
      <c r="AX309" s="291">
        <v>226.5</v>
      </c>
      <c r="AY309" s="291">
        <v>226.5</v>
      </c>
      <c r="AZ309" s="329"/>
      <c r="BE309" s="280"/>
      <c r="BK309" s="280">
        <f t="shared" si="71"/>
        <v>453</v>
      </c>
      <c r="BL309" s="274">
        <f t="shared" si="72"/>
        <v>453</v>
      </c>
      <c r="BP309" s="3">
        <v>518920</v>
      </c>
      <c r="BQ309" s="3">
        <v>175418</v>
      </c>
      <c r="BR309" s="296" t="s">
        <v>141</v>
      </c>
      <c r="BS309" s="3" t="s">
        <v>167</v>
      </c>
      <c r="BT309"/>
      <c r="BU309"/>
      <c r="BV309"/>
      <c r="BW309" s="3"/>
      <c r="BX309"/>
      <c r="BY309"/>
      <c r="BZ309" s="3"/>
      <c r="CA309"/>
      <c r="CB309" t="s">
        <v>191</v>
      </c>
      <c r="CC309" s="274"/>
    </row>
    <row r="310" spans="1:81" ht="15" customHeight="1" x14ac:dyDescent="0.25">
      <c r="A310" s="244" t="s">
        <v>1580</v>
      </c>
      <c r="B310" s="274" t="s">
        <v>444</v>
      </c>
      <c r="C310" s="274"/>
      <c r="H310" s="238" t="s">
        <v>1577</v>
      </c>
      <c r="I310" s="248" t="s">
        <v>1575</v>
      </c>
      <c r="J310" s="276" t="s">
        <v>257</v>
      </c>
      <c r="M310" s="238" t="s">
        <v>1581</v>
      </c>
      <c r="N310" s="244" t="s">
        <v>1582</v>
      </c>
      <c r="AI310" s="237">
        <v>107</v>
      </c>
      <c r="AJ310">
        <f t="shared" si="75"/>
        <v>0</v>
      </c>
      <c r="AK310">
        <f t="shared" si="76"/>
        <v>0</v>
      </c>
      <c r="AL310">
        <f t="shared" si="77"/>
        <v>0</v>
      </c>
      <c r="AM310">
        <f t="shared" si="78"/>
        <v>0</v>
      </c>
      <c r="AN310">
        <f t="shared" si="79"/>
        <v>0</v>
      </c>
      <c r="AO310">
        <f t="shared" si="80"/>
        <v>0</v>
      </c>
      <c r="AP310">
        <f t="shared" si="81"/>
        <v>0</v>
      </c>
      <c r="AQ310">
        <f t="shared" si="82"/>
        <v>0</v>
      </c>
      <c r="AR310" s="273">
        <v>107</v>
      </c>
      <c r="AS310" t="s">
        <v>325</v>
      </c>
      <c r="AT310" s="289"/>
      <c r="AW310" s="291">
        <v>35.666666666666664</v>
      </c>
      <c r="AX310" s="252">
        <v>35.666666666666664</v>
      </c>
      <c r="AY310" s="252">
        <v>35.666666666666664</v>
      </c>
      <c r="AZ310" s="329"/>
      <c r="BA310" s="249"/>
      <c r="BB310" s="249"/>
      <c r="BC310" s="249"/>
      <c r="BD310" s="249"/>
      <c r="BE310" s="280"/>
      <c r="BK310" s="280">
        <f t="shared" si="71"/>
        <v>107</v>
      </c>
      <c r="BL310" s="274">
        <f t="shared" si="72"/>
        <v>107</v>
      </c>
      <c r="BP310" s="3">
        <v>521203</v>
      </c>
      <c r="BQ310" s="3">
        <v>175677</v>
      </c>
      <c r="BR310" s="296" t="s">
        <v>181</v>
      </c>
      <c r="BS310" s="3" t="s">
        <v>166</v>
      </c>
      <c r="BT310"/>
      <c r="BU310"/>
      <c r="BV310"/>
      <c r="BW310" s="3"/>
      <c r="BX310"/>
      <c r="BY310"/>
      <c r="BZ310" s="3"/>
      <c r="CA310"/>
      <c r="CB310" t="s">
        <v>190</v>
      </c>
    </row>
    <row r="311" spans="1:81" ht="15" customHeight="1" x14ac:dyDescent="0.25">
      <c r="A311" s="244" t="s">
        <v>1583</v>
      </c>
      <c r="B311" s="277" t="s">
        <v>542</v>
      </c>
      <c r="H311" s="238" t="s">
        <v>1577</v>
      </c>
      <c r="I311" s="248" t="s">
        <v>1575</v>
      </c>
      <c r="J311" s="276" t="s">
        <v>278</v>
      </c>
      <c r="M311" s="277" t="s">
        <v>1584</v>
      </c>
      <c r="N311" s="248" t="s">
        <v>1585</v>
      </c>
      <c r="AI311" s="237">
        <v>1071</v>
      </c>
      <c r="AJ311">
        <f t="shared" si="75"/>
        <v>0</v>
      </c>
      <c r="AK311">
        <f t="shared" si="76"/>
        <v>0</v>
      </c>
      <c r="AL311">
        <f t="shared" si="77"/>
        <v>0</v>
      </c>
      <c r="AM311">
        <f t="shared" si="78"/>
        <v>0</v>
      </c>
      <c r="AN311">
        <f t="shared" si="79"/>
        <v>0</v>
      </c>
      <c r="AO311">
        <f t="shared" si="80"/>
        <v>0</v>
      </c>
      <c r="AP311">
        <f t="shared" si="81"/>
        <v>0</v>
      </c>
      <c r="AQ311">
        <f t="shared" si="82"/>
        <v>0</v>
      </c>
      <c r="AR311" s="273">
        <v>1071</v>
      </c>
      <c r="AS311" t="s">
        <v>325</v>
      </c>
      <c r="AT311" s="289"/>
      <c r="AX311" s="249"/>
      <c r="AY311" s="249">
        <v>355</v>
      </c>
      <c r="AZ311" s="329">
        <v>693</v>
      </c>
      <c r="BA311" s="249"/>
      <c r="BB311" s="249">
        <v>23</v>
      </c>
      <c r="BC311" s="249"/>
      <c r="BD311" s="279"/>
      <c r="BF311" s="249"/>
      <c r="BG311" s="249"/>
      <c r="BH311" s="249"/>
      <c r="BI311" s="249"/>
      <c r="BJ311" s="249"/>
      <c r="BK311" s="280">
        <f t="shared" si="71"/>
        <v>355</v>
      </c>
      <c r="BL311" s="274">
        <f t="shared" si="72"/>
        <v>1071</v>
      </c>
      <c r="BP311" s="3">
        <v>520502</v>
      </c>
      <c r="BQ311" s="3">
        <v>175950</v>
      </c>
      <c r="BR311" s="296" t="s">
        <v>181</v>
      </c>
      <c r="BS311" s="3" t="s">
        <v>166</v>
      </c>
      <c r="BT311"/>
      <c r="BU311"/>
      <c r="BV311"/>
      <c r="BW311" s="3"/>
      <c r="BX311"/>
      <c r="BY311"/>
      <c r="BZ311" s="3"/>
      <c r="CA311"/>
      <c r="CB311" t="s">
        <v>190</v>
      </c>
    </row>
    <row r="312" spans="1:81" ht="15" customHeight="1" x14ac:dyDescent="0.25">
      <c r="A312" s="244" t="s">
        <v>1586</v>
      </c>
      <c r="B312" s="277" t="s">
        <v>459</v>
      </c>
      <c r="H312" s="238" t="s">
        <v>1577</v>
      </c>
      <c r="I312" s="248" t="s">
        <v>1575</v>
      </c>
      <c r="J312" s="276" t="s">
        <v>273</v>
      </c>
      <c r="M312" s="277" t="s">
        <v>1587</v>
      </c>
      <c r="N312" s="248" t="s">
        <v>1588</v>
      </c>
      <c r="AI312" s="237">
        <v>70</v>
      </c>
      <c r="AJ312">
        <f t="shared" si="75"/>
        <v>0</v>
      </c>
      <c r="AK312">
        <f t="shared" si="76"/>
        <v>0</v>
      </c>
      <c r="AL312">
        <f t="shared" si="77"/>
        <v>0</v>
      </c>
      <c r="AM312">
        <f t="shared" si="78"/>
        <v>0</v>
      </c>
      <c r="AN312">
        <f t="shared" si="79"/>
        <v>0</v>
      </c>
      <c r="AO312">
        <f t="shared" si="80"/>
        <v>0</v>
      </c>
      <c r="AP312">
        <f t="shared" si="81"/>
        <v>0</v>
      </c>
      <c r="AQ312">
        <f t="shared" si="82"/>
        <v>0</v>
      </c>
      <c r="AR312" s="273">
        <v>70</v>
      </c>
      <c r="AS312" t="s">
        <v>325</v>
      </c>
      <c r="AT312" s="289"/>
      <c r="AV312" s="274">
        <v>35</v>
      </c>
      <c r="AW312" s="274">
        <v>35</v>
      </c>
      <c r="AX312" s="249"/>
      <c r="AY312" s="249"/>
      <c r="AZ312" s="329"/>
      <c r="BA312" s="249"/>
      <c r="BB312" s="249"/>
      <c r="BC312" s="249"/>
      <c r="BD312" s="279"/>
      <c r="BF312" s="249"/>
      <c r="BG312" s="249"/>
      <c r="BH312" s="249"/>
      <c r="BI312" s="249"/>
      <c r="BJ312" s="249"/>
      <c r="BK312" s="280">
        <f t="shared" si="71"/>
        <v>70</v>
      </c>
      <c r="BL312" s="274">
        <f t="shared" si="72"/>
        <v>70</v>
      </c>
      <c r="BP312">
        <v>517487</v>
      </c>
      <c r="BQ312">
        <v>169400</v>
      </c>
      <c r="BR312" s="296" t="s">
        <v>183</v>
      </c>
      <c r="BS312" t="s">
        <v>163</v>
      </c>
      <c r="BT312"/>
      <c r="BU312"/>
      <c r="BV312"/>
      <c r="BW312"/>
      <c r="BX312"/>
      <c r="BY312"/>
      <c r="BZ312"/>
      <c r="CA312"/>
      <c r="CB312" t="s">
        <v>192</v>
      </c>
    </row>
    <row r="313" spans="1:81" ht="15" customHeight="1" x14ac:dyDescent="0.25">
      <c r="A313" s="244" t="s">
        <v>1589</v>
      </c>
      <c r="B313" s="274" t="s">
        <v>444</v>
      </c>
      <c r="C313" s="274"/>
      <c r="H313" s="238" t="s">
        <v>1577</v>
      </c>
      <c r="I313" s="248" t="s">
        <v>1575</v>
      </c>
      <c r="J313" s="276" t="s">
        <v>277</v>
      </c>
      <c r="M313" s="238" t="s">
        <v>1590</v>
      </c>
      <c r="N313" s="244" t="s">
        <v>1591</v>
      </c>
      <c r="AI313" s="237">
        <v>100</v>
      </c>
      <c r="AJ313">
        <f t="shared" si="75"/>
        <v>0</v>
      </c>
      <c r="AK313">
        <f t="shared" si="76"/>
        <v>0</v>
      </c>
      <c r="AL313">
        <f t="shared" si="77"/>
        <v>0</v>
      </c>
      <c r="AM313">
        <f t="shared" si="78"/>
        <v>0</v>
      </c>
      <c r="AN313">
        <f t="shared" si="79"/>
        <v>0</v>
      </c>
      <c r="AO313">
        <f t="shared" si="80"/>
        <v>0</v>
      </c>
      <c r="AP313">
        <f t="shared" si="81"/>
        <v>0</v>
      </c>
      <c r="AQ313">
        <f t="shared" si="82"/>
        <v>0</v>
      </c>
      <c r="AR313" s="273">
        <v>100</v>
      </c>
      <c r="AS313" t="s">
        <v>325</v>
      </c>
      <c r="AT313" s="289"/>
      <c r="AW313" s="291">
        <v>33.333333333333336</v>
      </c>
      <c r="AX313" s="291">
        <v>33.333333333333336</v>
      </c>
      <c r="AY313" s="292">
        <v>33.333333333333336</v>
      </c>
      <c r="AZ313" s="249"/>
      <c r="BD313" s="279"/>
      <c r="BK313" s="280">
        <f t="shared" si="71"/>
        <v>100</v>
      </c>
      <c r="BL313" s="274">
        <f t="shared" si="72"/>
        <v>100</v>
      </c>
      <c r="BP313">
        <v>514199</v>
      </c>
      <c r="BQ313">
        <v>170906</v>
      </c>
      <c r="BR313" s="296" t="s">
        <v>183</v>
      </c>
      <c r="BS313" t="s">
        <v>159</v>
      </c>
      <c r="BT313"/>
      <c r="BU313"/>
      <c r="BV313"/>
      <c r="BW313"/>
      <c r="BX313"/>
      <c r="BY313"/>
      <c r="BZ313"/>
      <c r="CA313"/>
      <c r="CB313" t="s">
        <v>189</v>
      </c>
    </row>
    <row r="314" spans="1:81" ht="15" customHeight="1" x14ac:dyDescent="0.25">
      <c r="A314" s="244" t="s">
        <v>1592</v>
      </c>
      <c r="B314" s="274" t="s">
        <v>444</v>
      </c>
      <c r="C314" s="274"/>
      <c r="D314" s="275">
        <v>45457</v>
      </c>
      <c r="E314" s="275">
        <v>46552</v>
      </c>
      <c r="H314" s="238" t="s">
        <v>1577</v>
      </c>
      <c r="I314" s="248" t="s">
        <v>1575</v>
      </c>
      <c r="J314" s="276" t="s">
        <v>259</v>
      </c>
      <c r="M314" s="238" t="s">
        <v>1593</v>
      </c>
      <c r="N314" s="244" t="s">
        <v>1594</v>
      </c>
      <c r="AI314" s="237">
        <v>116</v>
      </c>
      <c r="AJ314">
        <f t="shared" si="75"/>
        <v>0</v>
      </c>
      <c r="AK314">
        <f t="shared" si="76"/>
        <v>0</v>
      </c>
      <c r="AL314">
        <f t="shared" si="77"/>
        <v>0</v>
      </c>
      <c r="AM314">
        <f t="shared" si="78"/>
        <v>0</v>
      </c>
      <c r="AN314">
        <f t="shared" si="79"/>
        <v>0</v>
      </c>
      <c r="AO314">
        <f t="shared" si="80"/>
        <v>0</v>
      </c>
      <c r="AP314">
        <f t="shared" si="81"/>
        <v>0</v>
      </c>
      <c r="AQ314">
        <f t="shared" si="82"/>
        <v>0</v>
      </c>
      <c r="AR314" s="273">
        <v>116</v>
      </c>
      <c r="AS314" t="s">
        <v>325</v>
      </c>
      <c r="AT314" s="289"/>
      <c r="AW314" s="291">
        <v>38.666666666666664</v>
      </c>
      <c r="AX314" s="291">
        <v>38.666666666666664</v>
      </c>
      <c r="AY314" s="292">
        <v>38.666666666666664</v>
      </c>
      <c r="AZ314" s="249"/>
      <c r="BD314" s="279"/>
      <c r="BK314" s="280">
        <f t="shared" si="71"/>
        <v>116</v>
      </c>
      <c r="BL314" s="274">
        <f t="shared" si="72"/>
        <v>116</v>
      </c>
      <c r="BP314">
        <v>515321</v>
      </c>
      <c r="BQ314">
        <v>173342</v>
      </c>
      <c r="BR314" s="296" t="s">
        <v>145</v>
      </c>
      <c r="BS314" t="s">
        <v>169</v>
      </c>
      <c r="BT314"/>
      <c r="BU314"/>
      <c r="BV314"/>
      <c r="BW314"/>
      <c r="BX314"/>
      <c r="BY314"/>
      <c r="BZ314"/>
      <c r="CA314"/>
      <c r="CB314" t="s">
        <v>193</v>
      </c>
    </row>
    <row r="315" spans="1:81" ht="15" customHeight="1" x14ac:dyDescent="0.25">
      <c r="A315" s="244" t="s">
        <v>1574</v>
      </c>
      <c r="B315" s="277" t="s">
        <v>542</v>
      </c>
      <c r="H315" s="238" t="s">
        <v>1595</v>
      </c>
      <c r="I315" s="248" t="s">
        <v>1575</v>
      </c>
      <c r="J315" s="276" t="s">
        <v>279</v>
      </c>
      <c r="N315" s="248" t="s">
        <v>279</v>
      </c>
      <c r="AI315" s="237">
        <v>20</v>
      </c>
      <c r="AJ315">
        <f t="shared" si="75"/>
        <v>0</v>
      </c>
      <c r="AK315">
        <f t="shared" si="76"/>
        <v>0</v>
      </c>
      <c r="AL315">
        <f t="shared" si="77"/>
        <v>0</v>
      </c>
      <c r="AM315">
        <f t="shared" si="78"/>
        <v>0</v>
      </c>
      <c r="AN315">
        <f t="shared" si="79"/>
        <v>0</v>
      </c>
      <c r="AO315">
        <f t="shared" si="80"/>
        <v>0</v>
      </c>
      <c r="AP315">
        <f t="shared" si="81"/>
        <v>0</v>
      </c>
      <c r="AQ315">
        <f t="shared" si="82"/>
        <v>0</v>
      </c>
      <c r="AR315" s="273">
        <v>20</v>
      </c>
      <c r="AS315" t="s">
        <v>325</v>
      </c>
      <c r="AT315" s="289"/>
      <c r="AV315" s="249"/>
      <c r="AW315" s="249"/>
      <c r="AX315" s="249"/>
      <c r="AY315" s="251">
        <v>20</v>
      </c>
      <c r="AZ315" s="249"/>
      <c r="BA315" s="249"/>
      <c r="BB315" s="249"/>
      <c r="BC315" s="249"/>
      <c r="BD315" s="251"/>
      <c r="BE315" s="249"/>
      <c r="BF315" s="249"/>
      <c r="BG315" s="249"/>
      <c r="BH315" s="249"/>
      <c r="BI315" s="249"/>
      <c r="BJ315" s="249"/>
      <c r="BK315" s="280">
        <f t="shared" si="71"/>
        <v>20</v>
      </c>
      <c r="BL315" s="274">
        <f t="shared" si="72"/>
        <v>20</v>
      </c>
      <c r="BP315" s="322">
        <v>515852</v>
      </c>
      <c r="BQ315" s="322">
        <v>170855</v>
      </c>
      <c r="BR315" s="296" t="s">
        <v>183</v>
      </c>
      <c r="BS315" s="3" t="s">
        <v>143</v>
      </c>
      <c r="BT315"/>
      <c r="BU315"/>
      <c r="BV315"/>
      <c r="BW315" s="3"/>
      <c r="BX315"/>
      <c r="BY315"/>
      <c r="BZ315" s="3"/>
      <c r="CA315"/>
      <c r="CB315" t="s">
        <v>192</v>
      </c>
    </row>
    <row r="316" spans="1:81" ht="15" customHeight="1" x14ac:dyDescent="0.25">
      <c r="A316" s="244" t="s">
        <v>1574</v>
      </c>
      <c r="B316" s="277" t="s">
        <v>542</v>
      </c>
      <c r="H316" s="238" t="s">
        <v>1595</v>
      </c>
      <c r="I316" s="248" t="s">
        <v>1575</v>
      </c>
      <c r="J316" s="276" t="s">
        <v>280</v>
      </c>
      <c r="N316" s="248" t="s">
        <v>280</v>
      </c>
      <c r="AI316" s="237">
        <v>20</v>
      </c>
      <c r="AJ316">
        <f t="shared" si="75"/>
        <v>0</v>
      </c>
      <c r="AK316">
        <f t="shared" si="76"/>
        <v>0</v>
      </c>
      <c r="AL316">
        <f t="shared" si="77"/>
        <v>0</v>
      </c>
      <c r="AM316">
        <f t="shared" si="78"/>
        <v>0</v>
      </c>
      <c r="AN316">
        <f t="shared" si="79"/>
        <v>0</v>
      </c>
      <c r="AO316">
        <f t="shared" si="80"/>
        <v>0</v>
      </c>
      <c r="AP316">
        <f t="shared" si="81"/>
        <v>0</v>
      </c>
      <c r="AQ316">
        <f t="shared" si="82"/>
        <v>0</v>
      </c>
      <c r="AR316" s="273">
        <v>20</v>
      </c>
      <c r="AS316" t="s">
        <v>325</v>
      </c>
      <c r="AT316" s="289"/>
      <c r="AV316" s="249"/>
      <c r="AW316" s="249"/>
      <c r="AX316" s="249">
        <v>10</v>
      </c>
      <c r="AY316" s="251">
        <v>10</v>
      </c>
      <c r="AZ316" s="249"/>
      <c r="BA316" s="249"/>
      <c r="BB316" s="249"/>
      <c r="BC316" s="249"/>
      <c r="BD316" s="251"/>
      <c r="BE316" s="249"/>
      <c r="BF316" s="249"/>
      <c r="BG316" s="249"/>
      <c r="BH316" s="249"/>
      <c r="BI316" s="249"/>
      <c r="BJ316" s="249"/>
      <c r="BK316" s="280">
        <f t="shared" si="71"/>
        <v>20</v>
      </c>
      <c r="BL316" s="274">
        <f t="shared" si="72"/>
        <v>20</v>
      </c>
      <c r="BP316" s="3">
        <v>516325</v>
      </c>
      <c r="BQ316" s="3">
        <v>173426</v>
      </c>
      <c r="BR316" s="296" t="s">
        <v>145</v>
      </c>
      <c r="BS316" s="3" t="s">
        <v>171</v>
      </c>
      <c r="BT316"/>
      <c r="BU316"/>
      <c r="BV316"/>
      <c r="BW316" s="3"/>
      <c r="BX316"/>
      <c r="BY316"/>
      <c r="BZ316" s="3"/>
      <c r="CA316"/>
      <c r="CB316" t="s">
        <v>193</v>
      </c>
    </row>
    <row r="317" spans="1:81" ht="15" customHeight="1" x14ac:dyDescent="0.25">
      <c r="A317" s="244" t="s">
        <v>1574</v>
      </c>
      <c r="B317" s="277" t="s">
        <v>542</v>
      </c>
      <c r="H317" s="238" t="s">
        <v>1595</v>
      </c>
      <c r="I317" s="248" t="s">
        <v>1575</v>
      </c>
      <c r="J317" s="276" t="s">
        <v>281</v>
      </c>
      <c r="N317" s="248" t="s">
        <v>281</v>
      </c>
      <c r="AI317" s="237">
        <v>20</v>
      </c>
      <c r="AJ317">
        <f t="shared" si="75"/>
        <v>0</v>
      </c>
      <c r="AK317">
        <f t="shared" si="76"/>
        <v>0</v>
      </c>
      <c r="AL317">
        <f t="shared" si="77"/>
        <v>0</v>
      </c>
      <c r="AM317">
        <f t="shared" si="78"/>
        <v>0</v>
      </c>
      <c r="AN317">
        <f t="shared" si="79"/>
        <v>0</v>
      </c>
      <c r="AO317">
        <f t="shared" si="80"/>
        <v>0</v>
      </c>
      <c r="AP317">
        <f t="shared" si="81"/>
        <v>0</v>
      </c>
      <c r="AQ317">
        <f t="shared" si="82"/>
        <v>0</v>
      </c>
      <c r="AR317" s="273">
        <v>20</v>
      </c>
      <c r="AS317" t="s">
        <v>325</v>
      </c>
      <c r="AT317" s="289"/>
      <c r="AV317" s="249"/>
      <c r="AW317" s="249"/>
      <c r="AX317" s="249">
        <v>10</v>
      </c>
      <c r="AY317" s="251">
        <v>10</v>
      </c>
      <c r="AZ317" s="249"/>
      <c r="BA317" s="249"/>
      <c r="BB317" s="249"/>
      <c r="BC317" s="249"/>
      <c r="BD317" s="251"/>
      <c r="BE317" s="249"/>
      <c r="BF317" s="249"/>
      <c r="BG317" s="249"/>
      <c r="BH317" s="249"/>
      <c r="BI317" s="249"/>
      <c r="BJ317" s="249"/>
      <c r="BK317" s="280">
        <f t="shared" si="71"/>
        <v>20</v>
      </c>
      <c r="BL317" s="274">
        <f t="shared" si="72"/>
        <v>20</v>
      </c>
      <c r="BP317" s="3">
        <v>514055</v>
      </c>
      <c r="BQ317" s="3">
        <v>173847</v>
      </c>
      <c r="BR317" t="s">
        <v>147</v>
      </c>
      <c r="BS317" s="3" t="s">
        <v>147</v>
      </c>
      <c r="BT317"/>
      <c r="BU317"/>
      <c r="BV317"/>
      <c r="BW317" s="3"/>
      <c r="BX317"/>
      <c r="BY317"/>
      <c r="BZ317" s="3"/>
      <c r="CA317"/>
      <c r="CB317" t="s">
        <v>194</v>
      </c>
    </row>
    <row r="318" spans="1:81" ht="15" customHeight="1" thickBot="1" x14ac:dyDescent="0.3">
      <c r="A318" s="244" t="s">
        <v>287</v>
      </c>
      <c r="B318" s="277" t="s">
        <v>542</v>
      </c>
      <c r="H318" s="248" t="s">
        <v>1596</v>
      </c>
      <c r="I318" s="248" t="s">
        <v>1575</v>
      </c>
      <c r="J318" s="276" t="s">
        <v>287</v>
      </c>
      <c r="N318" s="244" t="s">
        <v>287</v>
      </c>
      <c r="AI318" s="237">
        <v>432</v>
      </c>
      <c r="AJ318">
        <f t="shared" si="75"/>
        <v>0</v>
      </c>
      <c r="AK318">
        <f t="shared" si="76"/>
        <v>0</v>
      </c>
      <c r="AL318">
        <f t="shared" si="77"/>
        <v>0</v>
      </c>
      <c r="AM318">
        <f t="shared" si="78"/>
        <v>0</v>
      </c>
      <c r="AN318">
        <f t="shared" si="79"/>
        <v>0</v>
      </c>
      <c r="AO318">
        <f t="shared" si="80"/>
        <v>0</v>
      </c>
      <c r="AP318">
        <f t="shared" si="81"/>
        <v>0</v>
      </c>
      <c r="AQ318">
        <f t="shared" si="82"/>
        <v>0</v>
      </c>
      <c r="AR318" s="273">
        <v>144</v>
      </c>
      <c r="AT318" s="289"/>
      <c r="AV318" s="249"/>
      <c r="AW318" s="249"/>
      <c r="AX318" s="249"/>
      <c r="AY318" s="251"/>
      <c r="AZ318" s="249"/>
      <c r="BA318" s="249"/>
      <c r="BB318" s="249"/>
      <c r="BC318" s="249">
        <v>72</v>
      </c>
      <c r="BD318" s="251">
        <v>72</v>
      </c>
      <c r="BE318" s="249">
        <v>72</v>
      </c>
      <c r="BF318" s="249">
        <v>72</v>
      </c>
      <c r="BG318" s="249">
        <v>72</v>
      </c>
      <c r="BH318" s="249">
        <v>72</v>
      </c>
      <c r="BI318" s="249">
        <v>72</v>
      </c>
      <c r="BJ318" s="249">
        <v>72</v>
      </c>
      <c r="BK318" s="280">
        <f t="shared" si="71"/>
        <v>0</v>
      </c>
      <c r="BL318" s="274">
        <f t="shared" si="72"/>
        <v>144</v>
      </c>
      <c r="BR318" s="276" t="s">
        <v>350</v>
      </c>
      <c r="BS318" s="276" t="s">
        <v>350</v>
      </c>
      <c r="BT318"/>
      <c r="BU318"/>
      <c r="BV318"/>
      <c r="BX318"/>
      <c r="BY318"/>
      <c r="CA318"/>
    </row>
    <row r="319" spans="1:81" ht="15" customHeight="1" thickBot="1" x14ac:dyDescent="0.3">
      <c r="A319" s="248" t="s">
        <v>274</v>
      </c>
      <c r="B319" s="277" t="s">
        <v>542</v>
      </c>
      <c r="H319" s="248" t="s">
        <v>1596</v>
      </c>
      <c r="I319" s="248" t="s">
        <v>1575</v>
      </c>
      <c r="J319" s="276" t="s">
        <v>274</v>
      </c>
      <c r="N319" s="248" t="s">
        <v>274</v>
      </c>
      <c r="AI319" s="237">
        <v>3316</v>
      </c>
      <c r="AJ319">
        <f t="shared" si="75"/>
        <v>0</v>
      </c>
      <c r="AK319">
        <f t="shared" si="76"/>
        <v>0</v>
      </c>
      <c r="AL319">
        <f t="shared" si="77"/>
        <v>0</v>
      </c>
      <c r="AM319">
        <f t="shared" si="78"/>
        <v>0</v>
      </c>
      <c r="AN319">
        <f t="shared" si="79"/>
        <v>0</v>
      </c>
      <c r="AO319">
        <f t="shared" si="80"/>
        <v>0</v>
      </c>
      <c r="AP319">
        <f t="shared" si="81"/>
        <v>0</v>
      </c>
      <c r="AQ319">
        <f t="shared" si="82"/>
        <v>0</v>
      </c>
      <c r="AR319" s="273">
        <v>1912</v>
      </c>
      <c r="AT319" s="289"/>
      <c r="AU319" s="274">
        <v>20</v>
      </c>
      <c r="AV319" s="249">
        <v>20</v>
      </c>
      <c r="AW319" s="249">
        <v>234</v>
      </c>
      <c r="AX319" s="249">
        <v>234</v>
      </c>
      <c r="AY319" s="251">
        <v>234</v>
      </c>
      <c r="AZ319" s="249">
        <v>234</v>
      </c>
      <c r="BA319" s="249">
        <v>234</v>
      </c>
      <c r="BB319" s="249">
        <v>234</v>
      </c>
      <c r="BC319" s="249">
        <v>234</v>
      </c>
      <c r="BD319" s="251">
        <v>234</v>
      </c>
      <c r="BE319" s="249">
        <v>234</v>
      </c>
      <c r="BF319" s="249">
        <v>234</v>
      </c>
      <c r="BG319" s="249">
        <v>234</v>
      </c>
      <c r="BH319" s="249">
        <v>234</v>
      </c>
      <c r="BI319" s="249">
        <v>234</v>
      </c>
      <c r="BJ319" s="249">
        <v>234</v>
      </c>
      <c r="BK319" s="280">
        <f t="shared" si="71"/>
        <v>742</v>
      </c>
      <c r="BL319" s="274">
        <f t="shared" si="72"/>
        <v>1912</v>
      </c>
      <c r="BR319" s="276" t="s">
        <v>350</v>
      </c>
      <c r="BS319" s="276" t="s">
        <v>350</v>
      </c>
      <c r="BT319"/>
      <c r="BU319"/>
      <c r="BV319"/>
      <c r="BX319"/>
      <c r="BY319"/>
      <c r="CA319"/>
      <c r="CC319" s="330"/>
    </row>
  </sheetData>
  <autoFilter ref="A1:CC319" xr:uid="{00000000-0001-0000-0000-000000000000}">
    <sortState xmlns:xlrd2="http://schemas.microsoft.com/office/spreadsheetml/2017/richdata2" ref="A2:CC319">
      <sortCondition ref="H1:H319"/>
    </sortState>
  </autoFilter>
  <pageMargins left="0.23622047244094491" right="0.23622047244094491" top="0.35433070866141736" bottom="0.35433070866141736" header="0.31496062992125984" footer="0.31496062992125984"/>
  <pageSetup paperSize="8" scale="85" orientation="landscape" r:id="rId1"/>
  <headerFooter>
    <oddHeader>&amp;L&amp;"Calibri"&amp;10&amp;K000000 Official&amp;1#_x000D_</oddHeader>
  </headerFooter>
  <colBreaks count="1" manualBreakCount="1">
    <brk id="15" max="1048575" man="1"/>
  </colBreaks>
  <ignoredErrors>
    <ignoredError sqref="BK307:BK319 BL318:BL31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75E79-1FB5-4077-982A-5915B63EE5CA}">
  <dimension ref="A1:AQ10"/>
  <sheetViews>
    <sheetView zoomScaleNormal="100" zoomScaleSheetLayoutView="100" workbookViewId="0">
      <pane ySplit="1" topLeftCell="A2" activePane="bottomLeft" state="frozen"/>
      <selection activeCell="B2" sqref="B2:Z2"/>
      <selection pane="bottomLeft"/>
    </sheetView>
  </sheetViews>
  <sheetFormatPr defaultColWidth="9.140625" defaultRowHeight="15" x14ac:dyDescent="0.25"/>
  <cols>
    <col min="1" max="1" width="16.7109375" style="3" customWidth="1"/>
    <col min="2" max="2" width="13.140625" style="3" customWidth="1"/>
    <col min="3" max="3" width="17.7109375" style="3" bestFit="1" customWidth="1"/>
    <col min="4" max="5" width="12" style="3" customWidth="1"/>
    <col min="6" max="6" width="12.5703125" style="3" bestFit="1" customWidth="1"/>
    <col min="7" max="7" width="13.5703125" style="3" customWidth="1"/>
    <col min="8" max="8" width="21.5703125" style="3" bestFit="1" customWidth="1"/>
    <col min="9" max="9" width="12.5703125" style="3" customWidth="1"/>
    <col min="10" max="10" width="36.28515625" style="3" customWidth="1"/>
    <col min="11" max="11" width="44" style="3" customWidth="1"/>
    <col min="12" max="12" width="10.42578125" style="3" customWidth="1"/>
    <col min="13" max="22" width="12.28515625" style="3" customWidth="1"/>
    <col min="23" max="23" width="12.7109375" style="3" customWidth="1"/>
    <col min="24" max="24" width="13" style="3" customWidth="1"/>
    <col min="25" max="25" width="13.85546875" style="3" customWidth="1"/>
    <col min="26" max="30" width="9.140625" style="3" customWidth="1"/>
    <col min="31" max="31" width="9.7109375" style="3" customWidth="1"/>
    <col min="32" max="37" width="9.140625" style="3"/>
    <col min="38" max="42" width="9.140625" style="3" customWidth="1"/>
    <col min="43" max="43" width="10.7109375" style="3" customWidth="1"/>
    <col min="44" max="16384" width="9.140625" style="3"/>
  </cols>
  <sheetData>
    <row r="1" spans="1:43" s="389" customFormat="1" ht="75" x14ac:dyDescent="0.25">
      <c r="A1" s="295" t="s">
        <v>370</v>
      </c>
      <c r="B1" s="389" t="s">
        <v>256</v>
      </c>
      <c r="C1" s="389" t="s">
        <v>288</v>
      </c>
      <c r="D1" s="389" t="s">
        <v>334</v>
      </c>
      <c r="E1" s="389" t="s">
        <v>371</v>
      </c>
      <c r="F1" s="389" t="s">
        <v>372</v>
      </c>
      <c r="G1" s="389" t="s">
        <v>373</v>
      </c>
      <c r="H1" s="389" t="s">
        <v>250</v>
      </c>
      <c r="I1" s="389" t="s">
        <v>300</v>
      </c>
      <c r="J1" s="389" t="s">
        <v>376</v>
      </c>
      <c r="K1" s="389" t="s">
        <v>377</v>
      </c>
      <c r="L1" s="389" t="s">
        <v>378</v>
      </c>
      <c r="M1" s="389" t="s">
        <v>1597</v>
      </c>
      <c r="N1" s="389" t="s">
        <v>1598</v>
      </c>
      <c r="O1" s="389" t="s">
        <v>1599</v>
      </c>
      <c r="P1" s="389" t="s">
        <v>1600</v>
      </c>
      <c r="Q1" s="389" t="s">
        <v>1601</v>
      </c>
      <c r="R1" s="389" t="s">
        <v>1602</v>
      </c>
      <c r="S1" s="389" t="s">
        <v>1603</v>
      </c>
      <c r="T1" s="389" t="s">
        <v>1604</v>
      </c>
      <c r="U1" s="389" t="s">
        <v>1605</v>
      </c>
      <c r="V1" s="389" t="s">
        <v>1606</v>
      </c>
      <c r="W1" s="389" t="s">
        <v>1607</v>
      </c>
      <c r="X1" s="389" t="s">
        <v>1608</v>
      </c>
      <c r="Y1" s="389" t="s">
        <v>1609</v>
      </c>
      <c r="Z1" s="389" t="s">
        <v>1610</v>
      </c>
      <c r="AA1" s="389" t="s">
        <v>1611</v>
      </c>
      <c r="AB1" s="389" t="s">
        <v>1612</v>
      </c>
      <c r="AC1" s="389" t="s">
        <v>1613</v>
      </c>
      <c r="AD1" s="389" t="s">
        <v>433</v>
      </c>
      <c r="AE1" s="389" t="s">
        <v>1614</v>
      </c>
      <c r="AF1" s="390" t="s">
        <v>409</v>
      </c>
      <c r="AG1" s="390" t="s">
        <v>410</v>
      </c>
      <c r="AH1" s="390" t="s">
        <v>411</v>
      </c>
      <c r="AI1" s="388" t="s">
        <v>412</v>
      </c>
      <c r="AJ1" s="388" t="s">
        <v>413</v>
      </c>
      <c r="AK1" s="388" t="s">
        <v>414</v>
      </c>
      <c r="AL1" s="388" t="s">
        <v>415</v>
      </c>
      <c r="AM1" s="388" t="s">
        <v>416</v>
      </c>
      <c r="AN1" s="388" t="s">
        <v>417</v>
      </c>
      <c r="AO1" s="388" t="s">
        <v>418</v>
      </c>
      <c r="AP1" s="388" t="s">
        <v>419</v>
      </c>
      <c r="AQ1" s="388" t="s">
        <v>426</v>
      </c>
    </row>
    <row r="2" spans="1:43" s="261" customFormat="1" ht="15" customHeight="1" x14ac:dyDescent="0.25">
      <c r="A2" s="3" t="s">
        <v>718</v>
      </c>
      <c r="B2" s="3" t="s">
        <v>459</v>
      </c>
      <c r="C2" s="3" t="s">
        <v>1615</v>
      </c>
      <c r="D2" s="259">
        <v>45146</v>
      </c>
      <c r="E2" s="259"/>
      <c r="F2" s="259">
        <v>45146</v>
      </c>
      <c r="G2" s="260">
        <v>45146</v>
      </c>
      <c r="H2" s="3" t="s">
        <v>248</v>
      </c>
      <c r="I2" s="244" t="s">
        <v>303</v>
      </c>
      <c r="J2" s="3" t="s">
        <v>719</v>
      </c>
      <c r="K2" s="3" t="s">
        <v>1616</v>
      </c>
      <c r="L2" s="261" t="s">
        <v>721</v>
      </c>
      <c r="Q2" s="261">
        <v>0</v>
      </c>
      <c r="R2" s="261">
        <v>17</v>
      </c>
      <c r="S2" s="249">
        <f>R2-Q2</f>
        <v>17</v>
      </c>
      <c r="Z2" s="262">
        <f>S2/1.8</f>
        <v>9.4444444444444446</v>
      </c>
      <c r="AE2" s="262">
        <f>Z2-M2</f>
        <v>9.4444444444444446</v>
      </c>
      <c r="AF2" s="261">
        <v>9</v>
      </c>
    </row>
    <row r="3" spans="1:43" ht="15" customHeight="1" x14ac:dyDescent="0.25">
      <c r="A3" s="3" t="s">
        <v>897</v>
      </c>
      <c r="B3" s="3" t="s">
        <v>542</v>
      </c>
      <c r="C3" s="3" t="s">
        <v>1615</v>
      </c>
      <c r="D3" s="259">
        <v>43811</v>
      </c>
      <c r="E3" s="259">
        <v>44907</v>
      </c>
      <c r="F3" s="259">
        <v>43920</v>
      </c>
      <c r="H3" s="3" t="s">
        <v>272</v>
      </c>
      <c r="I3" s="244" t="s">
        <v>303</v>
      </c>
      <c r="J3" s="3" t="s">
        <v>1617</v>
      </c>
      <c r="K3" s="3" t="s">
        <v>1618</v>
      </c>
      <c r="L3" s="3" t="s">
        <v>900</v>
      </c>
      <c r="M3" s="263"/>
      <c r="N3" s="263"/>
      <c r="O3" s="263"/>
      <c r="P3" s="263"/>
      <c r="Q3" s="263">
        <v>14</v>
      </c>
      <c r="R3" s="263">
        <v>0</v>
      </c>
      <c r="S3" s="263">
        <f>R3-Q3</f>
        <v>-14</v>
      </c>
      <c r="T3" s="263"/>
      <c r="U3" s="263"/>
      <c r="V3" s="263"/>
      <c r="W3" s="263"/>
      <c r="X3" s="263"/>
      <c r="Y3" s="263"/>
      <c r="Z3" s="264">
        <f>S3/1.8</f>
        <v>-7.7777777777777777</v>
      </c>
      <c r="AA3" s="264"/>
      <c r="AB3" s="263"/>
      <c r="AC3" s="263"/>
      <c r="AD3" s="265" t="s">
        <v>183</v>
      </c>
      <c r="AE3" s="264">
        <f>Z3</f>
        <v>-7.7777777777777777</v>
      </c>
      <c r="AH3" s="266">
        <v>-8</v>
      </c>
      <c r="AQ3" s="266">
        <f t="shared" ref="AQ3:AQ7" si="0">SUM(AG3:AK3)</f>
        <v>-8</v>
      </c>
    </row>
    <row r="4" spans="1:43" ht="15" customHeight="1" x14ac:dyDescent="0.25">
      <c r="A4" s="3" t="s">
        <v>897</v>
      </c>
      <c r="B4" s="3" t="s">
        <v>542</v>
      </c>
      <c r="C4" s="3" t="s">
        <v>1619</v>
      </c>
      <c r="D4" s="259">
        <v>43811</v>
      </c>
      <c r="E4" s="259">
        <v>44907</v>
      </c>
      <c r="F4" s="259">
        <v>43920</v>
      </c>
      <c r="H4" s="3" t="s">
        <v>272</v>
      </c>
      <c r="I4" s="244" t="s">
        <v>303</v>
      </c>
      <c r="J4" s="3" t="s">
        <v>1617</v>
      </c>
      <c r="K4" s="3" t="s">
        <v>1620</v>
      </c>
      <c r="L4" s="3" t="s">
        <v>900</v>
      </c>
      <c r="M4" s="263"/>
      <c r="N4" s="263"/>
      <c r="O4" s="263"/>
      <c r="P4" s="263"/>
      <c r="Q4" s="263"/>
      <c r="R4" s="263"/>
      <c r="S4" s="263"/>
      <c r="T4" s="263">
        <v>0</v>
      </c>
      <c r="U4" s="263">
        <v>10</v>
      </c>
      <c r="V4" s="263">
        <v>10</v>
      </c>
      <c r="W4" s="263"/>
      <c r="X4" s="263"/>
      <c r="Y4" s="263"/>
      <c r="Z4" s="263"/>
      <c r="AA4" s="264">
        <f>V4/2.5</f>
        <v>4</v>
      </c>
      <c r="AB4" s="263"/>
      <c r="AC4" s="263"/>
      <c r="AD4" s="265" t="s">
        <v>183</v>
      </c>
      <c r="AE4" s="264">
        <f>AA4</f>
        <v>4</v>
      </c>
      <c r="AH4" s="266">
        <v>4</v>
      </c>
      <c r="AQ4" s="3">
        <f t="shared" si="0"/>
        <v>4</v>
      </c>
    </row>
    <row r="5" spans="1:43" ht="15" customHeight="1" x14ac:dyDescent="0.25">
      <c r="A5" s="3" t="s">
        <v>1621</v>
      </c>
      <c r="B5" s="3" t="s">
        <v>542</v>
      </c>
      <c r="C5" s="3" t="s">
        <v>1622</v>
      </c>
      <c r="D5" s="259">
        <v>45315</v>
      </c>
      <c r="E5" s="259">
        <v>46411</v>
      </c>
      <c r="F5" s="259">
        <v>45372</v>
      </c>
      <c r="H5" s="3" t="s">
        <v>272</v>
      </c>
      <c r="I5" s="244" t="s">
        <v>303</v>
      </c>
      <c r="J5" s="3" t="s">
        <v>1623</v>
      </c>
      <c r="K5" s="3" t="s">
        <v>1624</v>
      </c>
      <c r="L5" s="3" t="s">
        <v>1625</v>
      </c>
      <c r="M5" s="263"/>
      <c r="N5" s="263"/>
      <c r="O5" s="263">
        <v>50</v>
      </c>
      <c r="P5" s="263">
        <v>50</v>
      </c>
      <c r="Q5" s="263"/>
      <c r="R5" s="263"/>
      <c r="S5" s="263"/>
      <c r="T5" s="263"/>
      <c r="U5" s="263"/>
      <c r="V5" s="263"/>
      <c r="W5" s="263"/>
      <c r="X5" s="263"/>
      <c r="Y5" s="263"/>
      <c r="Z5" s="263"/>
      <c r="AA5" s="264"/>
      <c r="AB5" s="263"/>
      <c r="AC5" s="263"/>
      <c r="AD5" s="265" t="s">
        <v>141</v>
      </c>
      <c r="AE5" s="264">
        <v>50</v>
      </c>
      <c r="AH5" s="3">
        <v>50</v>
      </c>
      <c r="AJ5" s="266"/>
      <c r="AK5" s="266"/>
      <c r="AQ5" s="3">
        <f t="shared" si="0"/>
        <v>50</v>
      </c>
    </row>
    <row r="6" spans="1:43" ht="15" customHeight="1" x14ac:dyDescent="0.25">
      <c r="A6" s="3" t="s">
        <v>1626</v>
      </c>
      <c r="B6" s="3" t="s">
        <v>532</v>
      </c>
      <c r="C6" s="3" t="s">
        <v>1619</v>
      </c>
      <c r="D6" s="259">
        <v>44554</v>
      </c>
      <c r="E6" s="259">
        <v>45650</v>
      </c>
      <c r="F6" s="259"/>
      <c r="H6" s="3" t="s">
        <v>258</v>
      </c>
      <c r="I6" s="244" t="s">
        <v>303</v>
      </c>
      <c r="J6" s="3" t="s">
        <v>1627</v>
      </c>
      <c r="K6" s="3" t="s">
        <v>1628</v>
      </c>
      <c r="L6" s="3" t="s">
        <v>1629</v>
      </c>
      <c r="M6" s="263"/>
      <c r="N6" s="263"/>
      <c r="O6" s="263"/>
      <c r="P6" s="263"/>
      <c r="Q6" s="263"/>
      <c r="R6" s="263"/>
      <c r="S6" s="263"/>
      <c r="T6" s="263">
        <v>86</v>
      </c>
      <c r="U6" s="263">
        <v>124</v>
      </c>
      <c r="V6" s="263">
        <f>U6-T6</f>
        <v>38</v>
      </c>
      <c r="W6" s="263"/>
      <c r="X6" s="263"/>
      <c r="Y6" s="263"/>
      <c r="Z6" s="263"/>
      <c r="AA6" s="264">
        <f>V6/2.5</f>
        <v>15.2</v>
      </c>
      <c r="AB6" s="263"/>
      <c r="AC6" s="263"/>
      <c r="AD6" s="265" t="s">
        <v>141</v>
      </c>
      <c r="AE6" s="264">
        <f>AA6</f>
        <v>15.2</v>
      </c>
      <c r="AI6" s="266">
        <v>5</v>
      </c>
      <c r="AJ6" s="266">
        <v>5</v>
      </c>
      <c r="AK6" s="266">
        <v>5</v>
      </c>
      <c r="AQ6" s="267">
        <f t="shared" si="0"/>
        <v>15</v>
      </c>
    </row>
    <row r="7" spans="1:43" ht="15" customHeight="1" x14ac:dyDescent="0.25">
      <c r="A7" s="3" t="s">
        <v>1630</v>
      </c>
      <c r="B7" s="3" t="s">
        <v>542</v>
      </c>
      <c r="C7" s="3" t="s">
        <v>1622</v>
      </c>
      <c r="D7" s="259">
        <v>45058</v>
      </c>
      <c r="E7" s="259">
        <v>46154</v>
      </c>
      <c r="F7" s="259"/>
      <c r="H7" s="3" t="s">
        <v>258</v>
      </c>
      <c r="I7" s="244" t="s">
        <v>303</v>
      </c>
      <c r="J7" s="3" t="s">
        <v>1631</v>
      </c>
      <c r="K7" s="3" t="s">
        <v>1632</v>
      </c>
      <c r="L7" s="3" t="s">
        <v>1633</v>
      </c>
      <c r="M7" s="263"/>
      <c r="N7" s="263"/>
      <c r="O7" s="263">
        <v>88</v>
      </c>
      <c r="P7" s="263">
        <v>88</v>
      </c>
      <c r="Q7" s="263"/>
      <c r="R7" s="263"/>
      <c r="S7" s="263"/>
      <c r="T7" s="263"/>
      <c r="U7" s="263"/>
      <c r="V7" s="263"/>
      <c r="W7" s="263"/>
      <c r="X7" s="263"/>
      <c r="Y7" s="263"/>
      <c r="Z7" s="263"/>
      <c r="AA7" s="264"/>
      <c r="AB7" s="263"/>
      <c r="AC7" s="263"/>
      <c r="AD7" s="265" t="s">
        <v>183</v>
      </c>
      <c r="AE7" s="264">
        <v>88</v>
      </c>
      <c r="AI7" s="267">
        <f>$AE$7/3</f>
        <v>29.333333333333332</v>
      </c>
      <c r="AJ7" s="267">
        <f t="shared" ref="AJ7:AK7" si="1">$AE$7/3</f>
        <v>29.333333333333332</v>
      </c>
      <c r="AK7" s="267">
        <f t="shared" si="1"/>
        <v>29.333333333333332</v>
      </c>
      <c r="AQ7" s="266">
        <f t="shared" si="0"/>
        <v>88</v>
      </c>
    </row>
    <row r="8" spans="1:43" ht="15" customHeight="1" x14ac:dyDescent="0.25">
      <c r="A8" s="3" t="s">
        <v>1586</v>
      </c>
      <c r="B8" s="3" t="s">
        <v>459</v>
      </c>
      <c r="C8" s="3" t="s">
        <v>1619</v>
      </c>
      <c r="D8" s="260">
        <v>45408</v>
      </c>
      <c r="E8" s="260">
        <v>46503</v>
      </c>
      <c r="H8" s="3" t="s">
        <v>1596</v>
      </c>
      <c r="J8" s="3" t="s">
        <v>1587</v>
      </c>
      <c r="K8" s="3" t="s">
        <v>1588</v>
      </c>
      <c r="T8" s="3">
        <v>216</v>
      </c>
      <c r="U8" s="3">
        <v>0</v>
      </c>
      <c r="V8" s="3">
        <v>-216</v>
      </c>
      <c r="AA8" s="264">
        <f>V8/2.5</f>
        <v>-86.4</v>
      </c>
      <c r="AE8" s="266">
        <f>AA8</f>
        <v>-86.4</v>
      </c>
      <c r="AH8" s="3">
        <f>$AE$8/2</f>
        <v>-43.2</v>
      </c>
      <c r="AI8" s="3">
        <f>$AE$8/2</f>
        <v>-43.2</v>
      </c>
      <c r="AQ8" s="266">
        <f>SUM(AG8:AK8)</f>
        <v>-86.4</v>
      </c>
    </row>
    <row r="10" spans="1:43" x14ac:dyDescent="0.25">
      <c r="AE10" s="266"/>
    </row>
  </sheetData>
  <autoFilter ref="A1:AQ5" xr:uid="{9A8A56E0-F946-4697-BF11-950A0C96D0E2}">
    <sortState xmlns:xlrd2="http://schemas.microsoft.com/office/spreadsheetml/2017/richdata2" ref="A2:AQ7">
      <sortCondition ref="H1:H5"/>
    </sortState>
  </autoFilter>
  <conditionalFormatting sqref="A7">
    <cfRule type="duplicateValues" dxfId="1" priority="1"/>
  </conditionalFormatting>
  <conditionalFormatting sqref="K6">
    <cfRule type="duplicateValues" dxfId="0" priority="2"/>
  </conditionalFormatting>
  <pageMargins left="0.7" right="0.7" top="0.75" bottom="0.75" header="0.3" footer="0.3"/>
  <pageSetup paperSize="9" orientation="portrait" r:id="rId1"/>
  <headerFooter>
    <oddHeader>&amp;L&amp;"Calibri"&amp;10&amp;K000000 Official&amp;1#_x000D_</oddHeader>
  </headerFooter>
  <rowBreaks count="1" manualBreakCount="1">
    <brk id="2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6A7B-BA7D-4E2A-BE0F-207DFDC5D7BC}">
  <sheetPr>
    <pageSetUpPr fitToPage="1"/>
  </sheetPr>
  <dimension ref="B1:Z18"/>
  <sheetViews>
    <sheetView zoomScaleNormal="100" zoomScaleSheetLayoutView="100" workbookViewId="0">
      <selection activeCell="B2" sqref="B2:Z2"/>
    </sheetView>
  </sheetViews>
  <sheetFormatPr defaultColWidth="9.140625" defaultRowHeight="12" x14ac:dyDescent="0.2"/>
  <cols>
    <col min="1" max="1" width="5.7109375" style="5" customWidth="1"/>
    <col min="2" max="2" width="12.28515625" style="5" bestFit="1" customWidth="1"/>
    <col min="3" max="3" width="36.85546875" style="6" customWidth="1"/>
    <col min="4" max="20" width="6.5703125" style="5" bestFit="1" customWidth="1"/>
    <col min="21" max="26" width="6.5703125" style="5" customWidth="1"/>
    <col min="27" max="16384" width="9.140625" style="5"/>
  </cols>
  <sheetData>
    <row r="1" spans="2:26" ht="23.25" customHeight="1" x14ac:dyDescent="0.2"/>
    <row r="2" spans="2:26" s="7" customFormat="1" ht="50.1" customHeight="1" x14ac:dyDescent="0.2">
      <c r="B2" s="519" t="s">
        <v>0</v>
      </c>
      <c r="C2" s="520"/>
      <c r="D2" s="520"/>
      <c r="E2" s="520"/>
      <c r="F2" s="520"/>
      <c r="G2" s="520"/>
      <c r="H2" s="520"/>
      <c r="I2" s="520"/>
      <c r="J2" s="520"/>
      <c r="K2" s="520"/>
      <c r="L2" s="520"/>
      <c r="M2" s="520"/>
      <c r="N2" s="520"/>
      <c r="O2" s="520"/>
      <c r="P2" s="520"/>
      <c r="Q2" s="520"/>
      <c r="R2" s="520"/>
      <c r="S2" s="520"/>
      <c r="T2" s="520"/>
      <c r="U2" s="520"/>
      <c r="V2" s="520"/>
      <c r="W2" s="520"/>
      <c r="X2" s="520"/>
      <c r="Y2" s="520"/>
      <c r="Z2" s="521"/>
    </row>
    <row r="3" spans="2:26" x14ac:dyDescent="0.2">
      <c r="B3" s="8"/>
    </row>
    <row r="4" spans="2:26" ht="20.100000000000001" customHeight="1" x14ac:dyDescent="0.2">
      <c r="B4" s="522" t="s">
        <v>1634</v>
      </c>
      <c r="C4" s="523"/>
      <c r="D4" s="523"/>
      <c r="E4" s="523"/>
      <c r="F4" s="523"/>
      <c r="G4" s="523"/>
      <c r="H4" s="523"/>
      <c r="I4" s="523"/>
      <c r="J4" s="523"/>
      <c r="K4" s="523"/>
      <c r="L4" s="523"/>
      <c r="M4" s="523"/>
      <c r="N4" s="523"/>
      <c r="O4" s="523"/>
      <c r="P4" s="523"/>
      <c r="Q4" s="523"/>
      <c r="R4" s="523"/>
      <c r="S4" s="523"/>
      <c r="T4" s="523"/>
      <c r="U4" s="523"/>
      <c r="V4" s="523"/>
      <c r="W4" s="523"/>
      <c r="X4" s="523"/>
      <c r="Y4" s="523"/>
      <c r="Z4" s="524"/>
    </row>
    <row r="5" spans="2:26" ht="12.75" customHeight="1" x14ac:dyDescent="0.2">
      <c r="B5" s="525" t="s">
        <v>1635</v>
      </c>
      <c r="C5" s="526"/>
      <c r="D5" s="527" t="s">
        <v>1636</v>
      </c>
      <c r="E5" s="528"/>
      <c r="F5" s="528"/>
      <c r="G5" s="528"/>
      <c r="H5" s="528"/>
      <c r="I5" s="529" t="s">
        <v>1637</v>
      </c>
      <c r="J5" s="530"/>
      <c r="K5" s="530"/>
      <c r="L5" s="530"/>
      <c r="M5" s="530"/>
      <c r="N5" s="530"/>
      <c r="O5" s="530"/>
      <c r="P5" s="530"/>
      <c r="Q5" s="530"/>
      <c r="R5" s="531"/>
      <c r="S5" s="9"/>
      <c r="T5" s="10"/>
      <c r="U5" s="10"/>
      <c r="V5" s="10"/>
      <c r="W5" s="10"/>
      <c r="X5" s="10"/>
      <c r="Y5" s="10"/>
      <c r="Z5" s="11"/>
    </row>
    <row r="6" spans="2:26" ht="12" customHeight="1" x14ac:dyDescent="0.2">
      <c r="B6" s="517" t="s">
        <v>1638</v>
      </c>
      <c r="C6" s="518"/>
      <c r="D6" s="12">
        <v>10</v>
      </c>
      <c r="E6" s="13">
        <f>D6-1</f>
        <v>9</v>
      </c>
      <c r="F6" s="13">
        <f t="shared" ref="F6:R6" si="0">E6-1</f>
        <v>8</v>
      </c>
      <c r="G6" s="13">
        <f t="shared" si="0"/>
        <v>7</v>
      </c>
      <c r="H6" s="14">
        <f t="shared" si="0"/>
        <v>6</v>
      </c>
      <c r="I6" s="12">
        <v>10</v>
      </c>
      <c r="J6" s="13">
        <v>9</v>
      </c>
      <c r="K6" s="13">
        <f t="shared" si="0"/>
        <v>8</v>
      </c>
      <c r="L6" s="13">
        <f t="shared" si="0"/>
        <v>7</v>
      </c>
      <c r="M6" s="13">
        <f t="shared" si="0"/>
        <v>6</v>
      </c>
      <c r="N6" s="13">
        <f t="shared" si="0"/>
        <v>5</v>
      </c>
      <c r="O6" s="13">
        <f t="shared" si="0"/>
        <v>4</v>
      </c>
      <c r="P6" s="13">
        <f t="shared" si="0"/>
        <v>3</v>
      </c>
      <c r="Q6" s="13">
        <f t="shared" si="0"/>
        <v>2</v>
      </c>
      <c r="R6" s="14">
        <f t="shared" si="0"/>
        <v>1</v>
      </c>
      <c r="S6" s="13"/>
      <c r="T6" s="13"/>
      <c r="U6" s="13"/>
      <c r="V6" s="13"/>
      <c r="W6" s="13"/>
      <c r="X6" s="13"/>
      <c r="Y6" s="13"/>
      <c r="Z6" s="14"/>
    </row>
    <row r="7" spans="2:26" ht="12.75" customHeight="1" x14ac:dyDescent="0.2">
      <c r="B7" s="15"/>
      <c r="C7" s="16"/>
      <c r="D7" s="17"/>
      <c r="E7" s="18"/>
      <c r="F7" s="18"/>
      <c r="G7" s="18"/>
      <c r="H7" s="18"/>
      <c r="I7" s="18"/>
      <c r="J7" s="18"/>
      <c r="K7" s="18"/>
      <c r="L7" s="509" t="s">
        <v>1639</v>
      </c>
      <c r="M7" s="510"/>
      <c r="N7" s="510"/>
      <c r="O7" s="510"/>
      <c r="P7" s="510"/>
      <c r="Q7" s="510"/>
      <c r="R7" s="510"/>
      <c r="S7" s="510"/>
      <c r="T7" s="510"/>
      <c r="U7" s="511"/>
      <c r="V7" s="19"/>
      <c r="W7" s="19"/>
      <c r="X7" s="19"/>
      <c r="Y7" s="19"/>
      <c r="Z7" s="20"/>
    </row>
    <row r="8" spans="2:26" ht="12.75" customHeight="1" x14ac:dyDescent="0.2">
      <c r="B8" s="15"/>
      <c r="C8" s="16"/>
      <c r="D8" s="17"/>
      <c r="E8" s="18"/>
      <c r="F8" s="18"/>
      <c r="G8" s="18"/>
      <c r="H8" s="18"/>
      <c r="I8" s="18"/>
      <c r="J8" s="18"/>
      <c r="K8" s="18"/>
      <c r="L8" s="12">
        <v>10</v>
      </c>
      <c r="M8" s="195">
        <v>9</v>
      </c>
      <c r="N8" s="195">
        <f t="shared" ref="N8:U8" si="1">M8-1</f>
        <v>8</v>
      </c>
      <c r="O8" s="195">
        <f t="shared" si="1"/>
        <v>7</v>
      </c>
      <c r="P8" s="195">
        <f t="shared" si="1"/>
        <v>6</v>
      </c>
      <c r="Q8" s="195">
        <f t="shared" si="1"/>
        <v>5</v>
      </c>
      <c r="R8" s="195">
        <f t="shared" si="1"/>
        <v>4</v>
      </c>
      <c r="S8" s="195">
        <f t="shared" si="1"/>
        <v>3</v>
      </c>
      <c r="T8" s="195">
        <f t="shared" si="1"/>
        <v>2</v>
      </c>
      <c r="U8" s="196">
        <f t="shared" si="1"/>
        <v>1</v>
      </c>
      <c r="V8" s="21"/>
      <c r="W8" s="21"/>
      <c r="X8" s="21"/>
      <c r="Y8" s="21"/>
      <c r="Z8" s="22"/>
    </row>
    <row r="9" spans="2:26" ht="12.75" customHeight="1" x14ac:dyDescent="0.2">
      <c r="B9" s="15"/>
      <c r="C9" s="16"/>
      <c r="D9" s="17"/>
      <c r="E9" s="18"/>
      <c r="F9" s="18"/>
      <c r="G9" s="18"/>
      <c r="H9" s="18"/>
      <c r="I9" s="18"/>
      <c r="J9" s="18"/>
      <c r="K9" s="18"/>
      <c r="L9" s="509" t="s">
        <v>1640</v>
      </c>
      <c r="M9" s="510"/>
      <c r="N9" s="510"/>
      <c r="O9" s="510"/>
      <c r="P9" s="510"/>
      <c r="Q9" s="510"/>
      <c r="R9" s="510"/>
      <c r="S9" s="510"/>
      <c r="T9" s="510"/>
      <c r="U9" s="510"/>
      <c r="V9" s="510"/>
      <c r="W9" s="510"/>
      <c r="X9" s="510"/>
      <c r="Y9" s="510"/>
      <c r="Z9" s="511"/>
    </row>
    <row r="10" spans="2:26" ht="12.75" customHeight="1" x14ac:dyDescent="0.2">
      <c r="B10" s="15"/>
      <c r="C10" s="16"/>
      <c r="D10" s="17"/>
      <c r="E10" s="18"/>
      <c r="F10" s="18"/>
      <c r="G10" s="18"/>
      <c r="H10" s="18"/>
      <c r="I10" s="18"/>
      <c r="J10" s="18"/>
      <c r="K10" s="18"/>
      <c r="L10" s="12">
        <v>15</v>
      </c>
      <c r="M10" s="13">
        <v>14</v>
      </c>
      <c r="N10" s="13">
        <v>13</v>
      </c>
      <c r="O10" s="13">
        <f t="shared" ref="O10:Z10" si="2">N10-1</f>
        <v>12</v>
      </c>
      <c r="P10" s="13">
        <f t="shared" si="2"/>
        <v>11</v>
      </c>
      <c r="Q10" s="13">
        <f t="shared" si="2"/>
        <v>10</v>
      </c>
      <c r="R10" s="13">
        <f t="shared" si="2"/>
        <v>9</v>
      </c>
      <c r="S10" s="13">
        <f t="shared" si="2"/>
        <v>8</v>
      </c>
      <c r="T10" s="13">
        <f t="shared" si="2"/>
        <v>7</v>
      </c>
      <c r="U10" s="13">
        <f t="shared" si="2"/>
        <v>6</v>
      </c>
      <c r="V10" s="13">
        <f t="shared" si="2"/>
        <v>5</v>
      </c>
      <c r="W10" s="13">
        <f t="shared" si="2"/>
        <v>4</v>
      </c>
      <c r="X10" s="13">
        <f t="shared" si="2"/>
        <v>3</v>
      </c>
      <c r="Y10" s="13">
        <f t="shared" si="2"/>
        <v>2</v>
      </c>
      <c r="Z10" s="14">
        <f t="shared" si="2"/>
        <v>1</v>
      </c>
    </row>
    <row r="11" spans="2:26" ht="12.75" thickBot="1" x14ac:dyDescent="0.25">
      <c r="B11" s="512" t="s">
        <v>77</v>
      </c>
      <c r="C11" s="513"/>
      <c r="D11" s="23" t="s">
        <v>94</v>
      </c>
      <c r="E11" s="24" t="s">
        <v>95</v>
      </c>
      <c r="F11" s="24" t="s">
        <v>96</v>
      </c>
      <c r="G11" s="24" t="s">
        <v>97</v>
      </c>
      <c r="H11" s="24" t="s">
        <v>98</v>
      </c>
      <c r="I11" s="204" t="s">
        <v>8</v>
      </c>
      <c r="J11" s="204" t="s">
        <v>9</v>
      </c>
      <c r="K11" s="204" t="s">
        <v>99</v>
      </c>
      <c r="L11" s="204" t="s">
        <v>1641</v>
      </c>
      <c r="M11" s="204" t="s">
        <v>1642</v>
      </c>
      <c r="N11" s="204" t="s">
        <v>1643</v>
      </c>
      <c r="O11" s="204" t="s">
        <v>1644</v>
      </c>
      <c r="P11" s="204" t="s">
        <v>1645</v>
      </c>
      <c r="Q11" s="204" t="s">
        <v>1646</v>
      </c>
      <c r="R11" s="204" t="s">
        <v>1647</v>
      </c>
      <c r="S11" s="24" t="s">
        <v>1648</v>
      </c>
      <c r="T11" s="25" t="s">
        <v>1649</v>
      </c>
      <c r="U11" s="23" t="s">
        <v>1650</v>
      </c>
      <c r="V11" s="23" t="s">
        <v>420</v>
      </c>
      <c r="W11" s="23" t="s">
        <v>421</v>
      </c>
      <c r="X11" s="23" t="s">
        <v>422</v>
      </c>
      <c r="Y11" s="23" t="s">
        <v>423</v>
      </c>
      <c r="Z11" s="26" t="s">
        <v>424</v>
      </c>
    </row>
    <row r="12" spans="2:26" ht="23.1" customHeight="1" thickBot="1" x14ac:dyDescent="0.25">
      <c r="B12" s="514" t="s">
        <v>78</v>
      </c>
      <c r="C12" s="27" t="s">
        <v>1651</v>
      </c>
      <c r="D12" s="28">
        <v>460</v>
      </c>
      <c r="E12" s="28">
        <v>382</v>
      </c>
      <c r="F12" s="28">
        <v>419</v>
      </c>
      <c r="G12" s="28">
        <v>331</v>
      </c>
      <c r="H12" s="197">
        <v>206</v>
      </c>
      <c r="I12" s="205">
        <v>164</v>
      </c>
      <c r="J12" s="206">
        <v>141</v>
      </c>
      <c r="K12" s="207">
        <f>'Summary Tables'!J8</f>
        <v>100</v>
      </c>
      <c r="L12" s="207"/>
      <c r="M12" s="207"/>
      <c r="N12" s="207"/>
      <c r="O12" s="207"/>
      <c r="P12" s="207"/>
      <c r="Q12" s="206"/>
      <c r="R12" s="208"/>
      <c r="S12" s="200"/>
      <c r="T12" s="30"/>
      <c r="U12" s="28"/>
      <c r="V12" s="28"/>
      <c r="W12" s="28"/>
      <c r="X12" s="28"/>
      <c r="Y12" s="28"/>
      <c r="Z12" s="28"/>
    </row>
    <row r="13" spans="2:26" ht="23.1" customHeight="1" thickBot="1" x14ac:dyDescent="0.25">
      <c r="B13" s="515"/>
      <c r="C13" s="27" t="s">
        <v>1652</v>
      </c>
      <c r="D13" s="31"/>
      <c r="E13" s="32"/>
      <c r="F13" s="33"/>
      <c r="G13" s="34"/>
      <c r="H13" s="198"/>
      <c r="I13" s="209"/>
      <c r="J13" s="36"/>
      <c r="K13" s="36"/>
      <c r="L13" s="192">
        <f>GETPIVOTDATA("Sum of 2024/25 (1)",Pivot!$B$415)+GETPIVOTDATA("Sum of 2024/25 (1)",Pivot!$B$423)</f>
        <v>239</v>
      </c>
      <c r="M13" s="193">
        <f>GETPIVOTDATA("Sum of 2025/26 (2)",Pivot!$B$415)+GETPIVOTDATA("Sum of 2025/26 (2)",Pivot!$B$423)</f>
        <v>408.75</v>
      </c>
      <c r="N13" s="193">
        <f>GETPIVOTDATA("Sum of 2026/27 (3)",Pivot!$B$415)+GETPIVOTDATA("Sum of 2026/27 (3)",Pivot!$B$423)</f>
        <v>551.35000000000014</v>
      </c>
      <c r="O13" s="193">
        <f>GETPIVOTDATA("Sum of 2027/28 (4)",Pivot!$B$415)+GETPIVOTDATA("Sum of 2027/28 (4)",Pivot!$B$423)</f>
        <v>737.75000000000011</v>
      </c>
      <c r="P13" s="194">
        <f>GETPIVOTDATA("Sum of 2028/29 (5)",Pivot!$B$415)+GETPIVOTDATA("Sum of 2028/29 (5)",Pivot!$B$423)</f>
        <v>1191.7499999999998</v>
      </c>
      <c r="Q13" s="190">
        <f>GETPIVOTDATA("Sum of 2029/30 (6)",Pivot!$B$415)</f>
        <v>845</v>
      </c>
      <c r="R13" s="210">
        <f>GETPIVOTDATA("Sum of 2030/31 (7)",Pivot!$B$415)</f>
        <v>324</v>
      </c>
      <c r="S13" s="190">
        <f>GETPIVOTDATA("Sum of 2031/32 (8)",Pivot!$B$415)</f>
        <v>461</v>
      </c>
      <c r="T13" s="35">
        <f>GETPIVOTDATA("Sum of 2032/33 (9)",Pivot!$B$415)</f>
        <v>399</v>
      </c>
      <c r="U13" s="37">
        <f>GETPIVOTDATA("Sum of 2033/34 (10)",Pivot!$B$415)</f>
        <v>361</v>
      </c>
      <c r="V13" s="191">
        <v>306</v>
      </c>
      <c r="W13" s="28">
        <v>306</v>
      </c>
      <c r="X13" s="28">
        <v>306</v>
      </c>
      <c r="Y13" s="28">
        <v>306</v>
      </c>
      <c r="Z13" s="28">
        <v>306</v>
      </c>
    </row>
    <row r="14" spans="2:26" ht="23.1" customHeight="1" x14ac:dyDescent="0.2">
      <c r="B14" s="516"/>
      <c r="C14" s="27" t="s">
        <v>1653</v>
      </c>
      <c r="D14" s="37">
        <f>D12</f>
        <v>460</v>
      </c>
      <c r="E14" s="37">
        <f>D14+E12</f>
        <v>842</v>
      </c>
      <c r="F14" s="37">
        <f>E14+F12</f>
        <v>1261</v>
      </c>
      <c r="G14" s="37">
        <f>F14+G12</f>
        <v>1592</v>
      </c>
      <c r="H14" s="199">
        <f>G14+H12</f>
        <v>1798</v>
      </c>
      <c r="I14" s="211">
        <f>I12</f>
        <v>164</v>
      </c>
      <c r="J14" s="38">
        <f>J12+I12</f>
        <v>305</v>
      </c>
      <c r="K14" s="44">
        <f>J14+K12</f>
        <v>405</v>
      </c>
      <c r="L14" s="39">
        <f>K14+L13</f>
        <v>644</v>
      </c>
      <c r="M14" s="39">
        <f>L14+M13</f>
        <v>1052.75</v>
      </c>
      <c r="N14" s="39">
        <f t="shared" ref="N14:Z14" si="3">M14+N13</f>
        <v>1604.1000000000001</v>
      </c>
      <c r="O14" s="39">
        <f t="shared" si="3"/>
        <v>2341.8500000000004</v>
      </c>
      <c r="P14" s="40">
        <f t="shared" si="3"/>
        <v>3533.6000000000004</v>
      </c>
      <c r="Q14" s="40">
        <f t="shared" si="3"/>
        <v>4378.6000000000004</v>
      </c>
      <c r="R14" s="212">
        <f>Q14+R13</f>
        <v>4702.6000000000004</v>
      </c>
      <c r="S14" s="201">
        <f t="shared" si="3"/>
        <v>5163.6000000000004</v>
      </c>
      <c r="T14" s="40">
        <f t="shared" si="3"/>
        <v>5562.6</v>
      </c>
      <c r="U14" s="40">
        <f t="shared" si="3"/>
        <v>5923.6</v>
      </c>
      <c r="V14" s="40">
        <f t="shared" si="3"/>
        <v>6229.6</v>
      </c>
      <c r="W14" s="40">
        <f t="shared" si="3"/>
        <v>6535.6</v>
      </c>
      <c r="X14" s="40">
        <f t="shared" si="3"/>
        <v>6841.6</v>
      </c>
      <c r="Y14" s="40">
        <f t="shared" si="3"/>
        <v>7147.6</v>
      </c>
      <c r="Z14" s="40">
        <f t="shared" si="3"/>
        <v>7453.6</v>
      </c>
    </row>
    <row r="15" spans="2:26" ht="23.1" customHeight="1" x14ac:dyDescent="0.2">
      <c r="B15" s="514" t="s">
        <v>79</v>
      </c>
      <c r="C15" s="41" t="s">
        <v>1654</v>
      </c>
      <c r="D15" s="37">
        <v>315</v>
      </c>
      <c r="E15" s="37">
        <v>315</v>
      </c>
      <c r="F15" s="37">
        <v>315</v>
      </c>
      <c r="G15" s="37">
        <v>315</v>
      </c>
      <c r="H15" s="199">
        <v>315</v>
      </c>
      <c r="I15" s="213">
        <v>411</v>
      </c>
      <c r="J15" s="37">
        <v>411</v>
      </c>
      <c r="K15" s="37">
        <v>411</v>
      </c>
      <c r="L15" s="37">
        <v>411</v>
      </c>
      <c r="M15" s="37">
        <v>411</v>
      </c>
      <c r="N15" s="37">
        <v>411</v>
      </c>
      <c r="O15" s="37">
        <v>411</v>
      </c>
      <c r="P15" s="37">
        <v>411</v>
      </c>
      <c r="Q15" s="37">
        <v>411</v>
      </c>
      <c r="R15" s="214">
        <v>411</v>
      </c>
      <c r="S15" s="202">
        <v>306</v>
      </c>
      <c r="T15" s="37">
        <v>306</v>
      </c>
      <c r="U15" s="37">
        <v>306</v>
      </c>
      <c r="V15" s="37">
        <v>306</v>
      </c>
      <c r="W15" s="37">
        <v>306</v>
      </c>
      <c r="X15" s="37">
        <v>306</v>
      </c>
      <c r="Y15" s="37">
        <v>306</v>
      </c>
      <c r="Z15" s="37">
        <v>306</v>
      </c>
    </row>
    <row r="16" spans="2:26" ht="23.1" customHeight="1" x14ac:dyDescent="0.2">
      <c r="B16" s="516"/>
      <c r="C16" s="41" t="s">
        <v>1655</v>
      </c>
      <c r="D16" s="29">
        <f>D15</f>
        <v>315</v>
      </c>
      <c r="E16" s="29">
        <f t="shared" ref="E16:Z16" si="4">D16+E15</f>
        <v>630</v>
      </c>
      <c r="F16" s="29">
        <f t="shared" si="4"/>
        <v>945</v>
      </c>
      <c r="G16" s="29">
        <f t="shared" si="4"/>
        <v>1260</v>
      </c>
      <c r="H16" s="197">
        <f t="shared" si="4"/>
        <v>1575</v>
      </c>
      <c r="I16" s="215">
        <v>411</v>
      </c>
      <c r="J16" s="42">
        <f>I16+J15</f>
        <v>822</v>
      </c>
      <c r="K16" s="42">
        <f t="shared" ref="K16" si="5">J16+K15</f>
        <v>1233</v>
      </c>
      <c r="L16" s="42">
        <f t="shared" si="4"/>
        <v>1644</v>
      </c>
      <c r="M16" s="42">
        <f t="shared" si="4"/>
        <v>2055</v>
      </c>
      <c r="N16" s="42">
        <f t="shared" si="4"/>
        <v>2466</v>
      </c>
      <c r="O16" s="42">
        <f t="shared" si="4"/>
        <v>2877</v>
      </c>
      <c r="P16" s="42">
        <f t="shared" si="4"/>
        <v>3288</v>
      </c>
      <c r="Q16" s="42">
        <f t="shared" si="4"/>
        <v>3699</v>
      </c>
      <c r="R16" s="216">
        <f t="shared" si="4"/>
        <v>4110</v>
      </c>
      <c r="S16" s="203">
        <f t="shared" si="4"/>
        <v>4416</v>
      </c>
      <c r="T16" s="42">
        <f t="shared" si="4"/>
        <v>4722</v>
      </c>
      <c r="U16" s="42">
        <f t="shared" si="4"/>
        <v>5028</v>
      </c>
      <c r="V16" s="42">
        <f t="shared" si="4"/>
        <v>5334</v>
      </c>
      <c r="W16" s="42">
        <f t="shared" si="4"/>
        <v>5640</v>
      </c>
      <c r="X16" s="42">
        <f t="shared" si="4"/>
        <v>5946</v>
      </c>
      <c r="Y16" s="42">
        <f t="shared" si="4"/>
        <v>6252</v>
      </c>
      <c r="Z16" s="42">
        <f t="shared" si="4"/>
        <v>6558</v>
      </c>
    </row>
    <row r="17" spans="2:26" ht="23.1" customHeight="1" x14ac:dyDescent="0.2">
      <c r="B17" s="43" t="s">
        <v>1656</v>
      </c>
      <c r="C17" s="258" t="s">
        <v>1657</v>
      </c>
      <c r="D17" s="253">
        <f>D14-D16</f>
        <v>145</v>
      </c>
      <c r="E17" s="253">
        <f t="shared" ref="E17:Z17" si="6">E14-E16</f>
        <v>212</v>
      </c>
      <c r="F17" s="253">
        <f t="shared" si="6"/>
        <v>316</v>
      </c>
      <c r="G17" s="253">
        <f t="shared" si="6"/>
        <v>332</v>
      </c>
      <c r="H17" s="254">
        <f>H14-H16</f>
        <v>223</v>
      </c>
      <c r="I17" s="255">
        <f>I14-I16</f>
        <v>-247</v>
      </c>
      <c r="J17" s="253">
        <f t="shared" si="6"/>
        <v>-517</v>
      </c>
      <c r="K17" s="253">
        <f>K14-K16</f>
        <v>-828</v>
      </c>
      <c r="L17" s="253">
        <f t="shared" si="6"/>
        <v>-1000</v>
      </c>
      <c r="M17" s="253">
        <f>M14-M16</f>
        <v>-1002.25</v>
      </c>
      <c r="N17" s="253">
        <f>N14-N16</f>
        <v>-861.89999999999986</v>
      </c>
      <c r="O17" s="253">
        <f t="shared" si="6"/>
        <v>-535.14999999999964</v>
      </c>
      <c r="P17" s="253">
        <f t="shared" si="6"/>
        <v>245.60000000000036</v>
      </c>
      <c r="Q17" s="253">
        <f t="shared" si="6"/>
        <v>679.60000000000036</v>
      </c>
      <c r="R17" s="256">
        <f t="shared" si="6"/>
        <v>592.60000000000036</v>
      </c>
      <c r="S17" s="257">
        <f t="shared" si="6"/>
        <v>747.60000000000036</v>
      </c>
      <c r="T17" s="253">
        <f>T14-T16</f>
        <v>840.60000000000036</v>
      </c>
      <c r="U17" s="253">
        <f t="shared" si="6"/>
        <v>895.60000000000036</v>
      </c>
      <c r="V17" s="253">
        <f t="shared" si="6"/>
        <v>895.60000000000036</v>
      </c>
      <c r="W17" s="253">
        <f t="shared" si="6"/>
        <v>895.60000000000036</v>
      </c>
      <c r="X17" s="253">
        <f t="shared" si="6"/>
        <v>895.60000000000036</v>
      </c>
      <c r="Y17" s="253">
        <f t="shared" si="6"/>
        <v>895.60000000000036</v>
      </c>
      <c r="Z17" s="253">
        <f t="shared" si="6"/>
        <v>895.60000000000036</v>
      </c>
    </row>
    <row r="18" spans="2:26" ht="15" customHeight="1" thickBot="1" x14ac:dyDescent="0.25">
      <c r="B18" s="508" t="s">
        <v>1658</v>
      </c>
      <c r="C18" s="508"/>
      <c r="D18" s="30"/>
      <c r="E18" s="30"/>
      <c r="F18" s="30"/>
      <c r="G18" s="30"/>
      <c r="H18" s="268"/>
      <c r="I18" s="270">
        <v>210</v>
      </c>
      <c r="J18" s="271">
        <v>210</v>
      </c>
      <c r="K18" s="271">
        <v>210</v>
      </c>
      <c r="L18" s="271">
        <v>210</v>
      </c>
      <c r="M18" s="271">
        <v>420</v>
      </c>
      <c r="N18" s="271">
        <v>420</v>
      </c>
      <c r="O18" s="271">
        <v>420</v>
      </c>
      <c r="P18" s="271">
        <v>670</v>
      </c>
      <c r="Q18" s="271">
        <v>670</v>
      </c>
      <c r="R18" s="272">
        <v>670</v>
      </c>
      <c r="S18" s="269">
        <v>306</v>
      </c>
      <c r="T18" s="29">
        <v>306</v>
      </c>
      <c r="U18" s="29">
        <v>306</v>
      </c>
      <c r="V18" s="29">
        <v>306</v>
      </c>
      <c r="W18" s="29">
        <v>306</v>
      </c>
      <c r="X18" s="29">
        <v>306</v>
      </c>
      <c r="Y18" s="29">
        <v>306</v>
      </c>
      <c r="Z18" s="29">
        <v>306</v>
      </c>
    </row>
  </sheetData>
  <mergeCells count="12">
    <mergeCell ref="L7:U7"/>
    <mergeCell ref="B6:C6"/>
    <mergeCell ref="B2:Z2"/>
    <mergeCell ref="B4:Z4"/>
    <mergeCell ref="B5:C5"/>
    <mergeCell ref="D5:H5"/>
    <mergeCell ref="I5:R5"/>
    <mergeCell ref="B18:C18"/>
    <mergeCell ref="L9:Z9"/>
    <mergeCell ref="B11:C11"/>
    <mergeCell ref="B12:B14"/>
    <mergeCell ref="B15:B16"/>
  </mergeCells>
  <pageMargins left="0.39370078740157483" right="0.39370078740157483" top="0.39370078740157483" bottom="0.39370078740157483" header="0.19685039370078741" footer="0.19685039370078741"/>
  <pageSetup paperSize="8" scale="94" orientation="landscape" horizontalDpi="1200" verticalDpi="1200" r:id="rId1"/>
  <headerFooter alignWithMargins="0">
    <oddHeader>&amp;L&amp;"Calibri"&amp;10&amp;K000000 Official&amp;1#_x000D_</oddHeader>
  </headerFooter>
  <rowBreaks count="1" manualBreakCount="1">
    <brk id="25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170e01-b109-40f9-a371-003a1bb8801d">
      <Terms xmlns="http://schemas.microsoft.com/office/infopath/2007/PartnerControls"/>
    </lcf76f155ced4ddcb4097134ff3c332f>
    <TaxCatchAll xmlns="38a809ab-bf8d-4391-94ea-7f25297ee6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0F3BBB9790784C8BCA740A553ADA9E" ma:contentTypeVersion="15" ma:contentTypeDescription="Create a new document." ma:contentTypeScope="" ma:versionID="6760b76207b4f56ede922ffd949c100f">
  <xsd:schema xmlns:xsd="http://www.w3.org/2001/XMLSchema" xmlns:xs="http://www.w3.org/2001/XMLSchema" xmlns:p="http://schemas.microsoft.com/office/2006/metadata/properties" xmlns:ns2="25170e01-b109-40f9-a371-003a1bb8801d" xmlns:ns3="38a809ab-bf8d-4391-94ea-7f25297ee6a0" targetNamespace="http://schemas.microsoft.com/office/2006/metadata/properties" ma:root="true" ma:fieldsID="393e0dcfeae27d24f9a97c0f2d9867e6" ns2:_="" ns3:_="">
    <xsd:import namespace="25170e01-b109-40f9-a371-003a1bb8801d"/>
    <xsd:import namespace="38a809ab-bf8d-4391-94ea-7f25297ee6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70e01-b109-40f9-a371-003a1bb8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a809ab-bf8d-4391-94ea-7f25297ee6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60c01d-42e7-4b84-bc03-4968ce729ac0}" ma:internalName="TaxCatchAll" ma:showField="CatchAllData" ma:web="38a809ab-bf8d-4391-94ea-7f25297ee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872C05-E9D2-4D14-AA1E-5503FAF805DF}">
  <ds:schemaRefs>
    <ds:schemaRef ds:uri="http://schemas.microsoft.com/sharepoint/v3/contenttype/forms"/>
  </ds:schemaRefs>
</ds:datastoreItem>
</file>

<file path=customXml/itemProps2.xml><?xml version="1.0" encoding="utf-8"?>
<ds:datastoreItem xmlns:ds="http://schemas.openxmlformats.org/officeDocument/2006/customXml" ds:itemID="{96606CED-57CC-4932-B561-01134A123A46}">
  <ds:schemaRefs>
    <ds:schemaRef ds:uri="http://schemas.microsoft.com/office/2006/metadata/properties"/>
    <ds:schemaRef ds:uri="http://schemas.microsoft.com/office/infopath/2007/PartnerControls"/>
    <ds:schemaRef ds:uri="25170e01-b109-40f9-a371-003a1bb8801d"/>
    <ds:schemaRef ds:uri="38a809ab-bf8d-4391-94ea-7f25297ee6a0"/>
  </ds:schemaRefs>
</ds:datastoreItem>
</file>

<file path=customXml/itemProps3.xml><?xml version="1.0" encoding="utf-8"?>
<ds:datastoreItem xmlns:ds="http://schemas.openxmlformats.org/officeDocument/2006/customXml" ds:itemID="{B1D66A46-C23C-48A4-A8DD-A1562DC8B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70e01-b109-40f9-a371-003a1bb8801d"/>
    <ds:schemaRef ds:uri="38a809ab-bf8d-4391-94ea-7f25297ee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Tables</vt:lpstr>
      <vt:lpstr>Pivot</vt:lpstr>
      <vt:lpstr>Data</vt:lpstr>
      <vt:lpstr>Non-Self-Contained</vt:lpstr>
      <vt:lpstr>Trajectory</vt:lpstr>
      <vt:lpstr>Data</vt:lpstr>
      <vt:lpstr>Data!Print_Area</vt:lpstr>
      <vt:lpstr>'Summary Tables'!Print_Area</vt:lpstr>
      <vt:lpstr>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2024-06-25T07:49:49Z</dcterms:created>
  <dcterms:modified xsi:type="dcterms:W3CDTF">2024-09-25T11:14:16Z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0x010100A40F3BBB9790784C8BCA740A553ADA9E</vt:lpwstr>
  </property>
  <property fmtid="{D5CDD505-2E9C-101B-9397-08002B2CF9AE}" pid="4" name="_dlc_DocIdItemGuid">
    <vt:lpwstr>10efc6e6-f6a9-4336-9cab-ce29afbf1c61</vt:lpwstr>
  </property>
</Properties>
</file>